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2" windowWidth="19416" windowHeight="10716" firstSheet="5" activeTab="10"/>
  </bookViews>
  <sheets>
    <sheet name="Прил. 1.1 - конс." sheetId="1" r:id="rId1"/>
    <sheet name="Прил. 1.2 - доходы конс" sheetId="5" r:id="rId2"/>
    <sheet name="Прил. 1.3 - расходы конс." sheetId="8" r:id="rId3"/>
    <sheet name="Прил. 1.4 - исполнение МО" sheetId="4" r:id="rId4"/>
    <sheet name="Прил. 1.5 - доходы МО" sheetId="2" r:id="rId5"/>
    <sheet name="Прил. 1.6 - безвозм.МО" sheetId="12" r:id="rId6"/>
    <sheet name="Безвозмезд." sheetId="7" state="hidden" r:id="rId7"/>
    <sheet name="Черн" sheetId="3" state="hidden" r:id="rId8"/>
    <sheet name="Прил. 3.1- Фонд ЖКХ 1" sheetId="10" r:id="rId9"/>
    <sheet name="Прил.3.2 - Фонд ЖКХ 2" sheetId="11" r:id="rId10"/>
    <sheet name="Прил. 4.1 - учреждения" sheetId="9" r:id="rId11"/>
  </sheets>
  <externalReferences>
    <externalReference r:id="rId12"/>
  </externalReferences>
  <definedNames>
    <definedName name="_xlnm._FilterDatabase" localSheetId="2" hidden="1">'Прил. 1.3 - расходы конс.'!$A$8:$T$54</definedName>
    <definedName name="_xlnm._FilterDatabase" localSheetId="3" hidden="1">'Прил. 1.4 - исполнение МО'!$A$8:$O$36</definedName>
    <definedName name="_xlnm._FilterDatabase" localSheetId="4" hidden="1">'Прил. 1.5 - доходы МО'!$A$9:$T$36</definedName>
    <definedName name="_xlnm.Print_Area" localSheetId="0">'Прил. 1.1 - конс.'!$A$1:$AI$167</definedName>
    <definedName name="_xlnm.Print_Area" localSheetId="1">'Прил. 1.2 - доходы конс'!$A$1:$S$34</definedName>
    <definedName name="_xlnm.Print_Area" localSheetId="2">'Прил. 1.3 - расходы конс.'!$A$1:$S$54</definedName>
    <definedName name="_xlnm.Print_Area" localSheetId="3">'Прил. 1.4 - исполнение МО'!$A$1:$O$35</definedName>
    <definedName name="_xlnm.Print_Area" localSheetId="4">'Прил. 1.5 - доходы МО'!$A$1:$T$36</definedName>
  </definedNames>
  <calcPr calcId="145621"/>
</workbook>
</file>

<file path=xl/calcChain.xml><?xml version="1.0" encoding="utf-8"?>
<calcChain xmlns="http://schemas.openxmlformats.org/spreadsheetml/2006/main">
  <c r="N25" i="5" l="1"/>
  <c r="O25" i="5"/>
  <c r="P25" i="5"/>
  <c r="Q25" i="5"/>
  <c r="R25" i="5"/>
  <c r="S25" i="5"/>
  <c r="AH62" i="1" l="1"/>
  <c r="AH63" i="1"/>
  <c r="AH64" i="1"/>
  <c r="AF27" i="1"/>
  <c r="AG27" i="1"/>
  <c r="AD27" i="1"/>
  <c r="D38" i="11" l="1"/>
  <c r="C38" i="11"/>
  <c r="B38" i="11"/>
  <c r="B37" i="11"/>
  <c r="D36" i="11"/>
  <c r="C36" i="11"/>
  <c r="B36" i="11"/>
  <c r="D35" i="11"/>
  <c r="C35" i="11"/>
  <c r="B35" i="11"/>
  <c r="D34" i="11"/>
  <c r="C34" i="11"/>
  <c r="B34" i="11"/>
  <c r="D33" i="11"/>
  <c r="C33" i="11"/>
  <c r="B33" i="11"/>
  <c r="D32" i="11"/>
  <c r="C32" i="11"/>
  <c r="B32" i="11"/>
  <c r="D31" i="11"/>
  <c r="C31" i="11"/>
  <c r="B31" i="11"/>
  <c r="D30" i="11"/>
  <c r="C30" i="11"/>
  <c r="B30" i="11"/>
  <c r="D29" i="11"/>
  <c r="C29" i="11"/>
  <c r="B29" i="11"/>
  <c r="D28" i="11"/>
  <c r="C28" i="11"/>
  <c r="B28" i="11"/>
  <c r="D27" i="11"/>
  <c r="C27" i="11"/>
  <c r="B27" i="11"/>
  <c r="D26" i="11"/>
  <c r="C26" i="11"/>
  <c r="B26" i="11"/>
  <c r="D25" i="11"/>
  <c r="C25" i="11"/>
  <c r="B25" i="11"/>
  <c r="D24" i="1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D17" i="11"/>
  <c r="C17" i="11"/>
  <c r="B17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D11" i="11"/>
  <c r="C11" i="11"/>
  <c r="B11" i="11"/>
  <c r="D10" i="11"/>
  <c r="C10" i="11"/>
  <c r="B10" i="11"/>
  <c r="D38" i="10"/>
  <c r="B38" i="10"/>
  <c r="B37" i="10"/>
  <c r="D36" i="10"/>
  <c r="C36" i="10"/>
  <c r="C41" i="10" s="1"/>
  <c r="B36" i="10"/>
  <c r="D35" i="10"/>
  <c r="C35" i="10"/>
  <c r="B35" i="10"/>
  <c r="D34" i="10"/>
  <c r="C34" i="10"/>
  <c r="B34" i="10"/>
  <c r="D33" i="10"/>
  <c r="C33" i="10"/>
  <c r="B33" i="10"/>
  <c r="D32" i="10"/>
  <c r="C32" i="10"/>
  <c r="B32" i="10"/>
  <c r="D31" i="10"/>
  <c r="C31" i="10"/>
  <c r="B31" i="10"/>
  <c r="D30" i="10"/>
  <c r="C30" i="10"/>
  <c r="B30" i="10"/>
  <c r="D29" i="10"/>
  <c r="C29" i="10"/>
  <c r="B29" i="10"/>
  <c r="D28" i="10"/>
  <c r="C28" i="10"/>
  <c r="B28" i="10"/>
  <c r="D27" i="10"/>
  <c r="C27" i="10"/>
  <c r="B27" i="10"/>
  <c r="D26" i="10"/>
  <c r="C26" i="10"/>
  <c r="B26" i="10"/>
  <c r="D25" i="10"/>
  <c r="C25" i="10"/>
  <c r="B25" i="10"/>
  <c r="D24" i="10"/>
  <c r="C24" i="10"/>
  <c r="B24" i="10"/>
  <c r="D23" i="10"/>
  <c r="C23" i="10"/>
  <c r="B23" i="10"/>
  <c r="D22" i="10"/>
  <c r="C22" i="10"/>
  <c r="B22" i="10"/>
  <c r="D21" i="10"/>
  <c r="C21" i="10"/>
  <c r="B21" i="10"/>
  <c r="D20" i="10"/>
  <c r="C20" i="10"/>
  <c r="B20" i="10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C38" i="10" l="1"/>
  <c r="T10" i="5" l="1"/>
  <c r="T9" i="5"/>
  <c r="AC150" i="1" l="1"/>
  <c r="AC145" i="1"/>
  <c r="AC146" i="1"/>
  <c r="AC147" i="1"/>
  <c r="AC148" i="1"/>
  <c r="AC149" i="1"/>
  <c r="AC144" i="1"/>
  <c r="I33" i="8" l="1"/>
  <c r="O33" i="8" s="1"/>
  <c r="W89" i="1"/>
  <c r="AC102" i="1"/>
  <c r="AB102" i="1"/>
  <c r="Y102" i="1"/>
  <c r="X102" i="1"/>
  <c r="W102" i="1"/>
  <c r="V102" i="1"/>
  <c r="S102" i="1"/>
  <c r="R102" i="1"/>
  <c r="AC101" i="1"/>
  <c r="M36" i="8" s="1"/>
  <c r="S36" i="8" s="1"/>
  <c r="AB101" i="1"/>
  <c r="L36" i="8" s="1"/>
  <c r="R36" i="8" s="1"/>
  <c r="AA101" i="1"/>
  <c r="K36" i="8" s="1"/>
  <c r="Q36" i="8" s="1"/>
  <c r="Y101" i="1"/>
  <c r="I36" i="8" s="1"/>
  <c r="O36" i="8" s="1"/>
  <c r="X101" i="1"/>
  <c r="H36" i="8" s="1"/>
  <c r="N36" i="8" s="1"/>
  <c r="W101" i="1"/>
  <c r="V101" i="1"/>
  <c r="U101" i="1"/>
  <c r="S101" i="1"/>
  <c r="R101" i="1"/>
  <c r="AC100" i="1"/>
  <c r="AB100" i="1"/>
  <c r="Y100" i="1"/>
  <c r="X100" i="1"/>
  <c r="W100" i="1"/>
  <c r="V100" i="1"/>
  <c r="S100" i="1"/>
  <c r="R100" i="1"/>
  <c r="AC99" i="1"/>
  <c r="M35" i="8" s="1"/>
  <c r="S35" i="8" s="1"/>
  <c r="AB99" i="1"/>
  <c r="L35" i="8" s="1"/>
  <c r="R35" i="8" s="1"/>
  <c r="AA99" i="1"/>
  <c r="K35" i="8" s="1"/>
  <c r="Q35" i="8" s="1"/>
  <c r="Y99" i="1"/>
  <c r="I35" i="8" s="1"/>
  <c r="O35" i="8" s="1"/>
  <c r="X99" i="1"/>
  <c r="H35" i="8" s="1"/>
  <c r="N35" i="8" s="1"/>
  <c r="W99" i="1"/>
  <c r="V99" i="1"/>
  <c r="U99" i="1"/>
  <c r="S99" i="1"/>
  <c r="AE99" i="1" s="1"/>
  <c r="R99" i="1"/>
  <c r="AC98" i="1"/>
  <c r="AB98" i="1"/>
  <c r="Y98" i="1"/>
  <c r="X98" i="1"/>
  <c r="W98" i="1"/>
  <c r="V98" i="1"/>
  <c r="S98" i="1"/>
  <c r="R98" i="1"/>
  <c r="AC97" i="1"/>
  <c r="M34" i="8" s="1"/>
  <c r="S34" i="8" s="1"/>
  <c r="AB97" i="1"/>
  <c r="L34" i="8" s="1"/>
  <c r="R34" i="8" s="1"/>
  <c r="AA97" i="1"/>
  <c r="Y97" i="1"/>
  <c r="I34" i="8" s="1"/>
  <c r="O34" i="8" s="1"/>
  <c r="X97" i="1"/>
  <c r="H34" i="8" s="1"/>
  <c r="W97" i="1"/>
  <c r="V97" i="1"/>
  <c r="U97" i="1"/>
  <c r="S97" i="1"/>
  <c r="R97" i="1"/>
  <c r="AC96" i="1"/>
  <c r="AB96" i="1"/>
  <c r="Y96" i="1"/>
  <c r="X96" i="1"/>
  <c r="W96" i="1"/>
  <c r="V96" i="1"/>
  <c r="S96" i="1"/>
  <c r="R96" i="1"/>
  <c r="AC95" i="1"/>
  <c r="M33" i="8" s="1"/>
  <c r="S33" i="8" s="1"/>
  <c r="AB95" i="1"/>
  <c r="L33" i="8" s="1"/>
  <c r="R33" i="8" s="1"/>
  <c r="AA95" i="1"/>
  <c r="K33" i="8" s="1"/>
  <c r="Q33" i="8" s="1"/>
  <c r="Y95" i="1"/>
  <c r="X95" i="1"/>
  <c r="H33" i="8" s="1"/>
  <c r="W95" i="1"/>
  <c r="V95" i="1"/>
  <c r="U95" i="1"/>
  <c r="S95" i="1"/>
  <c r="AE95" i="1" s="1"/>
  <c r="R95" i="1"/>
  <c r="AC94" i="1"/>
  <c r="AB94" i="1"/>
  <c r="Y94" i="1"/>
  <c r="X94" i="1"/>
  <c r="W94" i="1"/>
  <c r="V94" i="1"/>
  <c r="S94" i="1"/>
  <c r="R94" i="1"/>
  <c r="AC93" i="1"/>
  <c r="M32" i="8" s="1"/>
  <c r="S32" i="8" s="1"/>
  <c r="AB93" i="1"/>
  <c r="L32" i="8" s="1"/>
  <c r="R32" i="8" s="1"/>
  <c r="AA93" i="1"/>
  <c r="Y93" i="1"/>
  <c r="I32" i="8" s="1"/>
  <c r="O32" i="8" s="1"/>
  <c r="X93" i="1"/>
  <c r="H32" i="8" s="1"/>
  <c r="W93" i="1"/>
  <c r="V93" i="1"/>
  <c r="U93" i="1"/>
  <c r="S93" i="1"/>
  <c r="R93" i="1"/>
  <c r="AC92" i="1"/>
  <c r="AB92" i="1"/>
  <c r="Y92" i="1"/>
  <c r="X92" i="1"/>
  <c r="W92" i="1"/>
  <c r="V92" i="1"/>
  <c r="S92" i="1"/>
  <c r="R92" i="1"/>
  <c r="AC91" i="1"/>
  <c r="M31" i="8" s="1"/>
  <c r="S31" i="8" s="1"/>
  <c r="AB91" i="1"/>
  <c r="L31" i="8" s="1"/>
  <c r="R31" i="8" s="1"/>
  <c r="AA91" i="1"/>
  <c r="K31" i="8" s="1"/>
  <c r="Q31" i="8" s="1"/>
  <c r="Y91" i="1"/>
  <c r="I31" i="8" s="1"/>
  <c r="O31" i="8" s="1"/>
  <c r="X91" i="1"/>
  <c r="W91" i="1"/>
  <c r="V91" i="1"/>
  <c r="U91" i="1"/>
  <c r="S91" i="1"/>
  <c r="AE91" i="1" s="1"/>
  <c r="R91" i="1"/>
  <c r="AC90" i="1"/>
  <c r="AB90" i="1"/>
  <c r="Y90" i="1"/>
  <c r="X90" i="1"/>
  <c r="W90" i="1"/>
  <c r="V90" i="1"/>
  <c r="S90" i="1"/>
  <c r="R90" i="1"/>
  <c r="AC89" i="1"/>
  <c r="M30" i="8" s="1"/>
  <c r="S30" i="8" s="1"/>
  <c r="AB89" i="1"/>
  <c r="L30" i="8" s="1"/>
  <c r="R30" i="8" s="1"/>
  <c r="AA89" i="1"/>
  <c r="Y89" i="1"/>
  <c r="I30" i="8" s="1"/>
  <c r="O30" i="8" s="1"/>
  <c r="X89" i="1"/>
  <c r="H30" i="8" s="1"/>
  <c r="V89" i="1"/>
  <c r="AH89" i="1" s="1"/>
  <c r="U89" i="1"/>
  <c r="S89" i="1"/>
  <c r="AE89" i="1" s="1"/>
  <c r="R89" i="1"/>
  <c r="AD89" i="1" s="1"/>
  <c r="M102" i="1"/>
  <c r="M101" i="1" s="1"/>
  <c r="Z101" i="1" s="1"/>
  <c r="J36" i="8" s="1"/>
  <c r="P36" i="8" s="1"/>
  <c r="M100" i="1"/>
  <c r="M99" i="1" s="1"/>
  <c r="Z99" i="1" s="1"/>
  <c r="J35" i="8" s="1"/>
  <c r="P35" i="8" s="1"/>
  <c r="M98" i="1"/>
  <c r="M97" i="1" s="1"/>
  <c r="Z97" i="1" s="1"/>
  <c r="J34" i="8" s="1"/>
  <c r="M96" i="1"/>
  <c r="M95" i="1" s="1"/>
  <c r="Z95" i="1" s="1"/>
  <c r="J33" i="8" s="1"/>
  <c r="M94" i="1"/>
  <c r="M93" i="1" s="1"/>
  <c r="Z93" i="1" s="1"/>
  <c r="J32" i="8" s="1"/>
  <c r="M92" i="1"/>
  <c r="M91" i="1" s="1"/>
  <c r="Z91" i="1" s="1"/>
  <c r="J31" i="8" s="1"/>
  <c r="M90" i="1"/>
  <c r="M89" i="1" s="1"/>
  <c r="Z89" i="1" s="1"/>
  <c r="J30" i="8" s="1"/>
  <c r="E102" i="1"/>
  <c r="E101" i="1" s="1"/>
  <c r="T101" i="1" s="1"/>
  <c r="E100" i="1"/>
  <c r="E99" i="1" s="1"/>
  <c r="T99" i="1" s="1"/>
  <c r="E98" i="1"/>
  <c r="E97" i="1" s="1"/>
  <c r="T97" i="1" s="1"/>
  <c r="E96" i="1"/>
  <c r="E95" i="1" s="1"/>
  <c r="T95" i="1" s="1"/>
  <c r="E94" i="1"/>
  <c r="E93" i="1" s="1"/>
  <c r="T93" i="1" s="1"/>
  <c r="E92" i="1"/>
  <c r="E91" i="1" s="1"/>
  <c r="T91" i="1" s="1"/>
  <c r="E90" i="1"/>
  <c r="E89" i="1" s="1"/>
  <c r="T89" i="1" s="1"/>
  <c r="N34" i="8" l="1"/>
  <c r="N30" i="8"/>
  <c r="N32" i="8"/>
  <c r="P33" i="8"/>
  <c r="P30" i="8"/>
  <c r="P34" i="8"/>
  <c r="P31" i="8"/>
  <c r="N33" i="8"/>
  <c r="P32" i="8"/>
  <c r="AI97" i="1"/>
  <c r="AI101" i="1"/>
  <c r="AD95" i="1"/>
  <c r="AI95" i="1"/>
  <c r="AG89" i="1"/>
  <c r="AD91" i="1"/>
  <c r="AG97" i="1"/>
  <c r="K34" i="8"/>
  <c r="Q34" i="8" s="1"/>
  <c r="K30" i="8"/>
  <c r="Q30" i="8" s="1"/>
  <c r="AG91" i="1"/>
  <c r="AE93" i="1"/>
  <c r="AH95" i="1"/>
  <c r="AG95" i="1"/>
  <c r="AE97" i="1"/>
  <c r="H31" i="8"/>
  <c r="K32" i="8"/>
  <c r="Q32" i="8" s="1"/>
  <c r="AG101" i="1"/>
  <c r="AH101" i="1"/>
  <c r="AE101" i="1"/>
  <c r="AD101" i="1"/>
  <c r="AD100" i="1"/>
  <c r="AE100" i="1"/>
  <c r="AH100" i="1"/>
  <c r="AI99" i="1"/>
  <c r="AF99" i="1"/>
  <c r="AG99" i="1"/>
  <c r="AH99" i="1"/>
  <c r="AD99" i="1"/>
  <c r="AF101" i="1"/>
  <c r="AH102" i="1"/>
  <c r="AE102" i="1"/>
  <c r="AD102" i="1"/>
  <c r="AH98" i="1"/>
  <c r="AD98" i="1"/>
  <c r="AE98" i="1"/>
  <c r="AF97" i="1"/>
  <c r="AH97" i="1"/>
  <c r="AD97" i="1"/>
  <c r="AE96" i="1"/>
  <c r="AH96" i="1"/>
  <c r="AD96" i="1"/>
  <c r="AF95" i="1"/>
  <c r="AH94" i="1"/>
  <c r="AE94" i="1"/>
  <c r="AD94" i="1"/>
  <c r="AD93" i="1"/>
  <c r="AH92" i="1"/>
  <c r="AE92" i="1"/>
  <c r="AD92" i="1"/>
  <c r="AF91" i="1"/>
  <c r="AH91" i="1"/>
  <c r="AF89" i="1"/>
  <c r="AH90" i="1"/>
  <c r="AE90" i="1"/>
  <c r="AD90" i="1"/>
  <c r="N31" i="8" l="1"/>
  <c r="M122" i="1"/>
  <c r="M121" i="1" s="1"/>
  <c r="Z121" i="1" s="1"/>
  <c r="J47" i="8" s="1"/>
  <c r="P47" i="8" s="1"/>
  <c r="E122" i="1"/>
  <c r="E121" i="1" s="1"/>
  <c r="T121" i="1" s="1"/>
  <c r="M120" i="1"/>
  <c r="M119" i="1" s="1"/>
  <c r="Z119" i="1" s="1"/>
  <c r="J46" i="8" s="1"/>
  <c r="P46" i="8" s="1"/>
  <c r="E120" i="1"/>
  <c r="E119" i="1" s="1"/>
  <c r="T119" i="1" s="1"/>
  <c r="M118" i="1"/>
  <c r="Z118" i="1" s="1"/>
  <c r="E118" i="1"/>
  <c r="T118" i="1" s="1"/>
  <c r="AC114" i="1"/>
  <c r="AB114" i="1"/>
  <c r="AA114" i="1"/>
  <c r="Y114" i="1"/>
  <c r="X114" i="1"/>
  <c r="W114" i="1"/>
  <c r="V114" i="1"/>
  <c r="U114" i="1"/>
  <c r="S114" i="1"/>
  <c r="R114" i="1"/>
  <c r="M114" i="1"/>
  <c r="Z114" i="1" s="1"/>
  <c r="E114" i="1"/>
  <c r="T114" i="1" s="1"/>
  <c r="AC113" i="1"/>
  <c r="M43" i="8" s="1"/>
  <c r="S43" i="8" s="1"/>
  <c r="AB113" i="1"/>
  <c r="L43" i="8" s="1"/>
  <c r="R43" i="8" s="1"/>
  <c r="AA113" i="1"/>
  <c r="K43" i="8" s="1"/>
  <c r="Q43" i="8" s="1"/>
  <c r="Y113" i="1"/>
  <c r="I43" i="8" s="1"/>
  <c r="O43" i="8" s="1"/>
  <c r="X113" i="1"/>
  <c r="H43" i="8" s="1"/>
  <c r="N43" i="8" s="1"/>
  <c r="W113" i="1"/>
  <c r="V113" i="1"/>
  <c r="U113" i="1"/>
  <c r="S113" i="1"/>
  <c r="R113" i="1"/>
  <c r="M113" i="1"/>
  <c r="Z113" i="1" s="1"/>
  <c r="J43" i="8" s="1"/>
  <c r="P43" i="8" s="1"/>
  <c r="M116" i="1"/>
  <c r="Z116" i="1" s="1"/>
  <c r="R116" i="1"/>
  <c r="S116" i="1"/>
  <c r="U116" i="1"/>
  <c r="V116" i="1"/>
  <c r="W116" i="1"/>
  <c r="X116" i="1"/>
  <c r="Y116" i="1"/>
  <c r="AA116" i="1"/>
  <c r="AB116" i="1"/>
  <c r="AC116" i="1"/>
  <c r="R117" i="1"/>
  <c r="S117" i="1"/>
  <c r="U117" i="1"/>
  <c r="V117" i="1"/>
  <c r="W117" i="1"/>
  <c r="X117" i="1"/>
  <c r="H45" i="8" s="1"/>
  <c r="N45" i="8" s="1"/>
  <c r="Y117" i="1"/>
  <c r="I45" i="8" s="1"/>
  <c r="O45" i="8" s="1"/>
  <c r="AA117" i="1"/>
  <c r="AB117" i="1"/>
  <c r="AC117" i="1"/>
  <c r="M45" i="8" s="1"/>
  <c r="S45" i="8" s="1"/>
  <c r="R118" i="1"/>
  <c r="S118" i="1"/>
  <c r="U118" i="1"/>
  <c r="V118" i="1"/>
  <c r="W118" i="1"/>
  <c r="X118" i="1"/>
  <c r="Y118" i="1"/>
  <c r="AA118" i="1"/>
  <c r="AB118" i="1"/>
  <c r="AC118" i="1"/>
  <c r="R119" i="1"/>
  <c r="S119" i="1"/>
  <c r="U119" i="1"/>
  <c r="V119" i="1"/>
  <c r="W119" i="1"/>
  <c r="X119" i="1"/>
  <c r="H46" i="8" s="1"/>
  <c r="N46" i="8" s="1"/>
  <c r="Y119" i="1"/>
  <c r="I46" i="8" s="1"/>
  <c r="O46" i="8" s="1"/>
  <c r="AA119" i="1"/>
  <c r="AB119" i="1"/>
  <c r="L46" i="8" s="1"/>
  <c r="R46" i="8" s="1"/>
  <c r="AC119" i="1"/>
  <c r="M46" i="8" s="1"/>
  <c r="S46" i="8" s="1"/>
  <c r="R120" i="1"/>
  <c r="S120" i="1"/>
  <c r="U120" i="1"/>
  <c r="V120" i="1"/>
  <c r="W120" i="1"/>
  <c r="X120" i="1"/>
  <c r="Y120" i="1"/>
  <c r="AA120" i="1"/>
  <c r="AB120" i="1"/>
  <c r="AC120" i="1"/>
  <c r="R121" i="1"/>
  <c r="S121" i="1"/>
  <c r="U121" i="1"/>
  <c r="V121" i="1"/>
  <c r="W121" i="1"/>
  <c r="X121" i="1"/>
  <c r="H47" i="8" s="1"/>
  <c r="N47" i="8" s="1"/>
  <c r="Y121" i="1"/>
  <c r="I47" i="8" s="1"/>
  <c r="O47" i="8" s="1"/>
  <c r="AA121" i="1"/>
  <c r="K47" i="8" s="1"/>
  <c r="Q47" i="8" s="1"/>
  <c r="AB121" i="1"/>
  <c r="L47" i="8" s="1"/>
  <c r="R47" i="8" s="1"/>
  <c r="AC121" i="1"/>
  <c r="R122" i="1"/>
  <c r="S122" i="1"/>
  <c r="U122" i="1"/>
  <c r="V122" i="1"/>
  <c r="W122" i="1"/>
  <c r="X122" i="1"/>
  <c r="Y122" i="1"/>
  <c r="AA122" i="1"/>
  <c r="AB122" i="1"/>
  <c r="AC122" i="1"/>
  <c r="AC115" i="1"/>
  <c r="M44" i="8" s="1"/>
  <c r="S44" i="8" s="1"/>
  <c r="AB115" i="1"/>
  <c r="L44" i="8" s="1"/>
  <c r="R44" i="8" s="1"/>
  <c r="AA115" i="1"/>
  <c r="K44" i="8" s="1"/>
  <c r="Q44" i="8" s="1"/>
  <c r="Y115" i="1"/>
  <c r="I44" i="8" s="1"/>
  <c r="O44" i="8" s="1"/>
  <c r="X115" i="1"/>
  <c r="H44" i="8" s="1"/>
  <c r="N44" i="8" s="1"/>
  <c r="W115" i="1"/>
  <c r="V115" i="1"/>
  <c r="U115" i="1"/>
  <c r="S115" i="1"/>
  <c r="R115" i="1"/>
  <c r="E116" i="1"/>
  <c r="E115" i="1" s="1"/>
  <c r="T115" i="1" s="1"/>
  <c r="AH116" i="1" l="1"/>
  <c r="AG116" i="1"/>
  <c r="AD118" i="1"/>
  <c r="T122" i="1"/>
  <c r="AE116" i="1"/>
  <c r="AH115" i="1"/>
  <c r="AH122" i="1"/>
  <c r="AE122" i="1"/>
  <c r="AG119" i="1"/>
  <c r="AE118" i="1"/>
  <c r="AH117" i="1"/>
  <c r="K46" i="8"/>
  <c r="Q46" i="8" s="1"/>
  <c r="L45" i="8"/>
  <c r="R45" i="8" s="1"/>
  <c r="AD115" i="1"/>
  <c r="AG117" i="1"/>
  <c r="AI116" i="1"/>
  <c r="AD116" i="1"/>
  <c r="AI113" i="1"/>
  <c r="K45" i="8"/>
  <c r="Q45" i="8" s="1"/>
  <c r="AI121" i="1"/>
  <c r="M47" i="8"/>
  <c r="S47" i="8" s="1"/>
  <c r="AD122" i="1"/>
  <c r="AD121" i="1"/>
  <c r="AI120" i="1"/>
  <c r="AD120" i="1"/>
  <c r="AH119" i="1"/>
  <c r="AI122" i="1"/>
  <c r="AG122" i="1"/>
  <c r="AE121" i="1"/>
  <c r="AG121" i="1"/>
  <c r="AE120" i="1"/>
  <c r="AD119" i="1"/>
  <c r="Z120" i="1"/>
  <c r="AH120" i="1"/>
  <c r="AI118" i="1"/>
  <c r="E117" i="1"/>
  <c r="T117" i="1" s="1"/>
  <c r="M117" i="1"/>
  <c r="Z117" i="1" s="1"/>
  <c r="J45" i="8" s="1"/>
  <c r="P45" i="8" s="1"/>
  <c r="AH118" i="1"/>
  <c r="AF118" i="1"/>
  <c r="AD117" i="1"/>
  <c r="T116" i="1"/>
  <c r="AF116" i="1" s="1"/>
  <c r="M115" i="1"/>
  <c r="Z115" i="1" s="1"/>
  <c r="J44" i="8" s="1"/>
  <c r="P44" i="8" s="1"/>
  <c r="AE115" i="1"/>
  <c r="E113" i="1"/>
  <c r="T113" i="1" s="1"/>
  <c r="AF113" i="1" s="1"/>
  <c r="AG114" i="1"/>
  <c r="AH114" i="1"/>
  <c r="AE114" i="1"/>
  <c r="AD114" i="1"/>
  <c r="AI114" i="1"/>
  <c r="AF121" i="1"/>
  <c r="Z122" i="1"/>
  <c r="AF122" i="1" s="1"/>
  <c r="AH121" i="1"/>
  <c r="AF119" i="1"/>
  <c r="T120" i="1"/>
  <c r="AG120" i="1"/>
  <c r="AI119" i="1"/>
  <c r="AE119" i="1"/>
  <c r="AG118" i="1"/>
  <c r="AI117" i="1"/>
  <c r="AE117" i="1"/>
  <c r="AG113" i="1"/>
  <c r="AH113" i="1"/>
  <c r="AE113" i="1"/>
  <c r="AD113" i="1"/>
  <c r="AF114" i="1"/>
  <c r="AF115" i="1" l="1"/>
  <c r="AF120" i="1"/>
  <c r="AF117" i="1"/>
  <c r="M167" i="1" l="1"/>
  <c r="M166" i="1"/>
  <c r="M165" i="1"/>
  <c r="M164" i="1"/>
  <c r="I163" i="1"/>
  <c r="I162" i="1" s="1"/>
  <c r="E164" i="1"/>
  <c r="E166" i="1"/>
  <c r="E10" i="7"/>
  <c r="C10" i="7"/>
  <c r="F10" i="7"/>
  <c r="B11" i="7"/>
  <c r="D11" i="7"/>
  <c r="B10" i="7"/>
  <c r="B9" i="7"/>
  <c r="B8" i="7"/>
  <c r="B7" i="7"/>
  <c r="B6" i="7"/>
  <c r="D9" i="7"/>
  <c r="D8" i="7"/>
  <c r="D7" i="7"/>
  <c r="D6" i="7"/>
  <c r="G10" i="7" l="1"/>
  <c r="J51" i="8"/>
  <c r="P11" i="2" l="1"/>
  <c r="Q11" i="2"/>
  <c r="R11" i="2"/>
  <c r="P12" i="2"/>
  <c r="R12" i="2" s="1"/>
  <c r="Q12" i="2"/>
  <c r="P13" i="2"/>
  <c r="Q13" i="2"/>
  <c r="R13" i="2" s="1"/>
  <c r="P14" i="2"/>
  <c r="Q14" i="2"/>
  <c r="R14" i="2"/>
  <c r="P15" i="2"/>
  <c r="Q15" i="2"/>
  <c r="R15" i="2"/>
  <c r="P16" i="2"/>
  <c r="R16" i="2" s="1"/>
  <c r="Q16" i="2"/>
  <c r="P17" i="2"/>
  <c r="Q17" i="2"/>
  <c r="R17" i="2" s="1"/>
  <c r="P18" i="2"/>
  <c r="Q18" i="2"/>
  <c r="R18" i="2"/>
  <c r="P19" i="2"/>
  <c r="Q19" i="2"/>
  <c r="R19" i="2"/>
  <c r="P20" i="2"/>
  <c r="Q20" i="2"/>
  <c r="R20" i="2" s="1"/>
  <c r="P21" i="2"/>
  <c r="Q21" i="2"/>
  <c r="R21" i="2" s="1"/>
  <c r="P22" i="2"/>
  <c r="Q22" i="2"/>
  <c r="R22" i="2"/>
  <c r="P23" i="2"/>
  <c r="Q23" i="2"/>
  <c r="R23" i="2"/>
  <c r="P24" i="2"/>
  <c r="Q24" i="2"/>
  <c r="R24" i="2" s="1"/>
  <c r="P25" i="2"/>
  <c r="Q25" i="2"/>
  <c r="R25" i="2" s="1"/>
  <c r="P26" i="2"/>
  <c r="Q26" i="2"/>
  <c r="R26" i="2"/>
  <c r="P27" i="2"/>
  <c r="Q27" i="2"/>
  <c r="R27" i="2"/>
  <c r="P28" i="2"/>
  <c r="Q28" i="2"/>
  <c r="R28" i="2" s="1"/>
  <c r="P29" i="2"/>
  <c r="Q29" i="2"/>
  <c r="R29" i="2" s="1"/>
  <c r="P30" i="2"/>
  <c r="Q30" i="2"/>
  <c r="R30" i="2"/>
  <c r="P31" i="2"/>
  <c r="Q31" i="2"/>
  <c r="R31" i="2"/>
  <c r="P32" i="2"/>
  <c r="Q32" i="2"/>
  <c r="R32" i="2" s="1"/>
  <c r="P33" i="2"/>
  <c r="Q33" i="2"/>
  <c r="R33" i="2" s="1"/>
  <c r="P34" i="2"/>
  <c r="Q34" i="2"/>
  <c r="R34" i="2"/>
  <c r="P35" i="2"/>
  <c r="Q35" i="2"/>
  <c r="R35" i="2"/>
  <c r="P36" i="2"/>
  <c r="Q36" i="2"/>
  <c r="R36" i="2" s="1"/>
  <c r="R10" i="2"/>
  <c r="Q10" i="2"/>
  <c r="P10" i="2"/>
  <c r="M11" i="2"/>
  <c r="N11" i="2"/>
  <c r="O11" i="2"/>
  <c r="M12" i="2"/>
  <c r="N12" i="2"/>
  <c r="O12" i="2" s="1"/>
  <c r="M13" i="2"/>
  <c r="N13" i="2"/>
  <c r="O13" i="2" s="1"/>
  <c r="M14" i="2"/>
  <c r="N14" i="2"/>
  <c r="O14" i="2"/>
  <c r="M15" i="2"/>
  <c r="N15" i="2"/>
  <c r="O15" i="2"/>
  <c r="M16" i="2"/>
  <c r="N16" i="2"/>
  <c r="O16" i="2" s="1"/>
  <c r="M17" i="2"/>
  <c r="N17" i="2"/>
  <c r="O17" i="2" s="1"/>
  <c r="M18" i="2"/>
  <c r="N18" i="2"/>
  <c r="O18" i="2"/>
  <c r="M19" i="2"/>
  <c r="N19" i="2"/>
  <c r="O19" i="2"/>
  <c r="M20" i="2"/>
  <c r="N20" i="2"/>
  <c r="O20" i="2" s="1"/>
  <c r="M21" i="2"/>
  <c r="N21" i="2"/>
  <c r="O21" i="2" s="1"/>
  <c r="M22" i="2"/>
  <c r="N22" i="2"/>
  <c r="O22" i="2"/>
  <c r="M23" i="2"/>
  <c r="N23" i="2"/>
  <c r="O23" i="2"/>
  <c r="M24" i="2"/>
  <c r="N24" i="2"/>
  <c r="O24" i="2" s="1"/>
  <c r="M25" i="2"/>
  <c r="N25" i="2"/>
  <c r="O25" i="2" s="1"/>
  <c r="M26" i="2"/>
  <c r="N26" i="2"/>
  <c r="O26" i="2"/>
  <c r="M27" i="2"/>
  <c r="N27" i="2"/>
  <c r="O27" i="2"/>
  <c r="M28" i="2"/>
  <c r="N28" i="2"/>
  <c r="O28" i="2" s="1"/>
  <c r="M29" i="2"/>
  <c r="N29" i="2"/>
  <c r="O29" i="2" s="1"/>
  <c r="M30" i="2"/>
  <c r="N30" i="2"/>
  <c r="O30" i="2"/>
  <c r="M31" i="2"/>
  <c r="N31" i="2"/>
  <c r="O31" i="2"/>
  <c r="M32" i="2"/>
  <c r="N32" i="2"/>
  <c r="O32" i="2" s="1"/>
  <c r="M33" i="2"/>
  <c r="N33" i="2"/>
  <c r="O33" i="2" s="1"/>
  <c r="M34" i="2"/>
  <c r="N34" i="2"/>
  <c r="O34" i="2"/>
  <c r="M35" i="2"/>
  <c r="N35" i="2"/>
  <c r="O35" i="2"/>
  <c r="M36" i="2"/>
  <c r="N36" i="2"/>
  <c r="O36" i="2" s="1"/>
  <c r="O10" i="2"/>
  <c r="N10" i="2"/>
  <c r="M10" i="2"/>
  <c r="H11" i="2"/>
  <c r="I11" i="2"/>
  <c r="J11" i="2"/>
  <c r="K11" i="2"/>
  <c r="L11" i="2"/>
  <c r="H12" i="2"/>
  <c r="I12" i="2"/>
  <c r="L12" i="2" s="1"/>
  <c r="J12" i="2"/>
  <c r="K12" i="2"/>
  <c r="H13" i="2"/>
  <c r="K13" i="2" s="1"/>
  <c r="I13" i="2"/>
  <c r="J13" i="2" s="1"/>
  <c r="H14" i="2"/>
  <c r="K14" i="2" s="1"/>
  <c r="I14" i="2"/>
  <c r="J14" i="2" s="1"/>
  <c r="L14" i="2"/>
  <c r="H15" i="2"/>
  <c r="I15" i="2"/>
  <c r="J15" i="2"/>
  <c r="K15" i="2"/>
  <c r="L15" i="2"/>
  <c r="H16" i="2"/>
  <c r="I16" i="2"/>
  <c r="L16" i="2" s="1"/>
  <c r="J16" i="2"/>
  <c r="K16" i="2"/>
  <c r="H17" i="2"/>
  <c r="K17" i="2" s="1"/>
  <c r="I17" i="2"/>
  <c r="J17" i="2" s="1"/>
  <c r="H18" i="2"/>
  <c r="K18" i="2" s="1"/>
  <c r="I18" i="2"/>
  <c r="J18" i="2" s="1"/>
  <c r="L18" i="2"/>
  <c r="H19" i="2"/>
  <c r="I19" i="2"/>
  <c r="J19" i="2"/>
  <c r="K19" i="2"/>
  <c r="L19" i="2"/>
  <c r="H20" i="2"/>
  <c r="I20" i="2"/>
  <c r="L20" i="2" s="1"/>
  <c r="J20" i="2"/>
  <c r="K20" i="2"/>
  <c r="H21" i="2"/>
  <c r="K21" i="2" s="1"/>
  <c r="I21" i="2"/>
  <c r="J21" i="2" s="1"/>
  <c r="H22" i="2"/>
  <c r="K22" i="2" s="1"/>
  <c r="I22" i="2"/>
  <c r="J22" i="2" s="1"/>
  <c r="L22" i="2"/>
  <c r="H23" i="2"/>
  <c r="I23" i="2"/>
  <c r="J23" i="2"/>
  <c r="K23" i="2"/>
  <c r="L23" i="2"/>
  <c r="H24" i="2"/>
  <c r="I24" i="2"/>
  <c r="L24" i="2" s="1"/>
  <c r="J24" i="2"/>
  <c r="K24" i="2"/>
  <c r="H25" i="2"/>
  <c r="K25" i="2" s="1"/>
  <c r="I25" i="2"/>
  <c r="J25" i="2" s="1"/>
  <c r="H26" i="2"/>
  <c r="K26" i="2" s="1"/>
  <c r="I26" i="2"/>
  <c r="J26" i="2" s="1"/>
  <c r="L26" i="2"/>
  <c r="H27" i="2"/>
  <c r="I27" i="2"/>
  <c r="J27" i="2"/>
  <c r="K27" i="2"/>
  <c r="L27" i="2"/>
  <c r="H28" i="2"/>
  <c r="I28" i="2"/>
  <c r="L28" i="2" s="1"/>
  <c r="J28" i="2"/>
  <c r="K28" i="2"/>
  <c r="H29" i="2"/>
  <c r="K29" i="2" s="1"/>
  <c r="I29" i="2"/>
  <c r="J29" i="2" s="1"/>
  <c r="H30" i="2"/>
  <c r="K30" i="2" s="1"/>
  <c r="I30" i="2"/>
  <c r="J30" i="2" s="1"/>
  <c r="L30" i="2"/>
  <c r="H31" i="2"/>
  <c r="I31" i="2"/>
  <c r="J31" i="2"/>
  <c r="K31" i="2"/>
  <c r="L31" i="2"/>
  <c r="H32" i="2"/>
  <c r="I32" i="2"/>
  <c r="L32" i="2" s="1"/>
  <c r="J32" i="2"/>
  <c r="K32" i="2"/>
  <c r="H33" i="2"/>
  <c r="K33" i="2" s="1"/>
  <c r="I33" i="2"/>
  <c r="J33" i="2" s="1"/>
  <c r="H34" i="2"/>
  <c r="K34" i="2" s="1"/>
  <c r="I34" i="2"/>
  <c r="J34" i="2" s="1"/>
  <c r="L34" i="2"/>
  <c r="H35" i="2"/>
  <c r="I35" i="2"/>
  <c r="J35" i="2"/>
  <c r="K35" i="2"/>
  <c r="L35" i="2"/>
  <c r="H36" i="2"/>
  <c r="I36" i="2"/>
  <c r="L36" i="2" s="1"/>
  <c r="J36" i="2"/>
  <c r="K36" i="2"/>
  <c r="L10" i="2"/>
  <c r="K10" i="2"/>
  <c r="J10" i="2"/>
  <c r="I10" i="2"/>
  <c r="H10" i="2"/>
  <c r="E11" i="2"/>
  <c r="F11" i="2"/>
  <c r="G11" i="2"/>
  <c r="E12" i="2"/>
  <c r="G12" i="2" s="1"/>
  <c r="F12" i="2"/>
  <c r="E13" i="2"/>
  <c r="F13" i="2"/>
  <c r="G13" i="2" s="1"/>
  <c r="E14" i="2"/>
  <c r="F14" i="2"/>
  <c r="G14" i="2"/>
  <c r="E15" i="2"/>
  <c r="F15" i="2"/>
  <c r="G15" i="2"/>
  <c r="E16" i="2"/>
  <c r="F16" i="2"/>
  <c r="G16" i="2" s="1"/>
  <c r="E17" i="2"/>
  <c r="F17" i="2"/>
  <c r="G17" i="2" s="1"/>
  <c r="E18" i="2"/>
  <c r="F18" i="2"/>
  <c r="G18" i="2"/>
  <c r="E19" i="2"/>
  <c r="F19" i="2"/>
  <c r="G19" i="2"/>
  <c r="E20" i="2"/>
  <c r="F20" i="2"/>
  <c r="G20" i="2" s="1"/>
  <c r="E21" i="2"/>
  <c r="F21" i="2"/>
  <c r="G21" i="2" s="1"/>
  <c r="E22" i="2"/>
  <c r="F22" i="2"/>
  <c r="G22" i="2"/>
  <c r="E23" i="2"/>
  <c r="F23" i="2"/>
  <c r="G23" i="2"/>
  <c r="E24" i="2"/>
  <c r="F24" i="2"/>
  <c r="G24" i="2" s="1"/>
  <c r="E25" i="2"/>
  <c r="F25" i="2"/>
  <c r="G25" i="2" s="1"/>
  <c r="E26" i="2"/>
  <c r="F26" i="2"/>
  <c r="G26" i="2"/>
  <c r="E27" i="2"/>
  <c r="F27" i="2"/>
  <c r="G27" i="2"/>
  <c r="E28" i="2"/>
  <c r="F28" i="2"/>
  <c r="G28" i="2" s="1"/>
  <c r="E29" i="2"/>
  <c r="F29" i="2"/>
  <c r="G29" i="2" s="1"/>
  <c r="E30" i="2"/>
  <c r="F30" i="2"/>
  <c r="G30" i="2"/>
  <c r="E31" i="2"/>
  <c r="F31" i="2"/>
  <c r="G31" i="2"/>
  <c r="E32" i="2"/>
  <c r="F32" i="2"/>
  <c r="G32" i="2" s="1"/>
  <c r="E33" i="2"/>
  <c r="F33" i="2"/>
  <c r="G33" i="2" s="1"/>
  <c r="E34" i="2"/>
  <c r="F34" i="2"/>
  <c r="G34" i="2"/>
  <c r="E35" i="2"/>
  <c r="F35" i="2"/>
  <c r="G35" i="2"/>
  <c r="E36" i="2"/>
  <c r="F36" i="2"/>
  <c r="G36" i="2" s="1"/>
  <c r="G10" i="2"/>
  <c r="F10" i="2"/>
  <c r="E10" i="2"/>
  <c r="B36" i="2"/>
  <c r="S36" i="2" s="1"/>
  <c r="C36" i="2"/>
  <c r="B11" i="2"/>
  <c r="S11" i="2" s="1"/>
  <c r="C11" i="2"/>
  <c r="B12" i="2"/>
  <c r="S12" i="2" s="1"/>
  <c r="C12" i="2"/>
  <c r="B13" i="2"/>
  <c r="S13" i="2" s="1"/>
  <c r="C13" i="2"/>
  <c r="T13" i="2" s="1"/>
  <c r="B14" i="2"/>
  <c r="S14" i="2" s="1"/>
  <c r="C14" i="2"/>
  <c r="T14" i="2" s="1"/>
  <c r="B15" i="2"/>
  <c r="S15" i="2" s="1"/>
  <c r="C15" i="2"/>
  <c r="B16" i="2"/>
  <c r="S16" i="2" s="1"/>
  <c r="C16" i="2"/>
  <c r="T16" i="2" s="1"/>
  <c r="B17" i="2"/>
  <c r="S17" i="2" s="1"/>
  <c r="C17" i="2"/>
  <c r="B18" i="2"/>
  <c r="C18" i="2"/>
  <c r="T18" i="2" s="1"/>
  <c r="B19" i="2"/>
  <c r="S19" i="2" s="1"/>
  <c r="C19" i="2"/>
  <c r="B20" i="2"/>
  <c r="S20" i="2" s="1"/>
  <c r="C20" i="2"/>
  <c r="B21" i="2"/>
  <c r="S21" i="2" s="1"/>
  <c r="C21" i="2"/>
  <c r="T21" i="2" s="1"/>
  <c r="B22" i="2"/>
  <c r="S22" i="2" s="1"/>
  <c r="C22" i="2"/>
  <c r="T22" i="2" s="1"/>
  <c r="B23" i="2"/>
  <c r="S23" i="2" s="1"/>
  <c r="C23" i="2"/>
  <c r="B24" i="2"/>
  <c r="S24" i="2" s="1"/>
  <c r="C24" i="2"/>
  <c r="T24" i="2" s="1"/>
  <c r="B25" i="2"/>
  <c r="S25" i="2" s="1"/>
  <c r="C25" i="2"/>
  <c r="B26" i="2"/>
  <c r="C26" i="2"/>
  <c r="T26" i="2" s="1"/>
  <c r="B27" i="2"/>
  <c r="S27" i="2" s="1"/>
  <c r="C27" i="2"/>
  <c r="B28" i="2"/>
  <c r="S28" i="2" s="1"/>
  <c r="C28" i="2"/>
  <c r="B29" i="2"/>
  <c r="S29" i="2" s="1"/>
  <c r="C29" i="2"/>
  <c r="T29" i="2" s="1"/>
  <c r="B30" i="2"/>
  <c r="S30" i="2" s="1"/>
  <c r="C30" i="2"/>
  <c r="T30" i="2" s="1"/>
  <c r="B31" i="2"/>
  <c r="S31" i="2" s="1"/>
  <c r="C31" i="2"/>
  <c r="B32" i="2"/>
  <c r="S32" i="2" s="1"/>
  <c r="C32" i="2"/>
  <c r="T32" i="2" s="1"/>
  <c r="B33" i="2"/>
  <c r="S33" i="2" s="1"/>
  <c r="C33" i="2"/>
  <c r="B34" i="2"/>
  <c r="C34" i="2"/>
  <c r="T34" i="2" s="1"/>
  <c r="B35" i="2"/>
  <c r="S35" i="2" s="1"/>
  <c r="C35" i="2"/>
  <c r="C10" i="2"/>
  <c r="T10" i="2" s="1"/>
  <c r="B10" i="2"/>
  <c r="S10" i="2" s="1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L25" i="4"/>
  <c r="M25" i="4"/>
  <c r="L26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M9" i="4"/>
  <c r="L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I9" i="4"/>
  <c r="H9" i="4"/>
  <c r="E10" i="4"/>
  <c r="F10" i="4"/>
  <c r="G10" i="4"/>
  <c r="E11" i="4"/>
  <c r="F11" i="4"/>
  <c r="G11" i="4" s="1"/>
  <c r="E12" i="4"/>
  <c r="F12" i="4"/>
  <c r="G12" i="4" s="1"/>
  <c r="E13" i="4"/>
  <c r="F13" i="4"/>
  <c r="G13" i="4"/>
  <c r="E14" i="4"/>
  <c r="F14" i="4"/>
  <c r="G14" i="4"/>
  <c r="E15" i="4"/>
  <c r="F15" i="4"/>
  <c r="G15" i="4" s="1"/>
  <c r="E16" i="4"/>
  <c r="F16" i="4"/>
  <c r="G16" i="4" s="1"/>
  <c r="E17" i="4"/>
  <c r="F17" i="4"/>
  <c r="G17" i="4"/>
  <c r="E18" i="4"/>
  <c r="F18" i="4"/>
  <c r="G18" i="4"/>
  <c r="E19" i="4"/>
  <c r="F19" i="4"/>
  <c r="G19" i="4" s="1"/>
  <c r="E20" i="4"/>
  <c r="F20" i="4"/>
  <c r="G20" i="4" s="1"/>
  <c r="E21" i="4"/>
  <c r="F21" i="4"/>
  <c r="G21" i="4"/>
  <c r="E22" i="4"/>
  <c r="F22" i="4"/>
  <c r="G22" i="4"/>
  <c r="E23" i="4"/>
  <c r="F23" i="4"/>
  <c r="G23" i="4" s="1"/>
  <c r="E24" i="4"/>
  <c r="F24" i="4"/>
  <c r="G24" i="4" s="1"/>
  <c r="E25" i="4"/>
  <c r="F25" i="4"/>
  <c r="G25" i="4"/>
  <c r="E26" i="4"/>
  <c r="F26" i="4"/>
  <c r="G26" i="4"/>
  <c r="E27" i="4"/>
  <c r="F27" i="4"/>
  <c r="G27" i="4" s="1"/>
  <c r="E28" i="4"/>
  <c r="F28" i="4"/>
  <c r="G28" i="4" s="1"/>
  <c r="E29" i="4"/>
  <c r="F29" i="4"/>
  <c r="G29" i="4"/>
  <c r="E30" i="4"/>
  <c r="F30" i="4"/>
  <c r="G30" i="4"/>
  <c r="E31" i="4"/>
  <c r="F31" i="4"/>
  <c r="G31" i="4" s="1"/>
  <c r="E32" i="4"/>
  <c r="F32" i="4"/>
  <c r="G32" i="4" s="1"/>
  <c r="E33" i="4"/>
  <c r="F33" i="4"/>
  <c r="G33" i="4"/>
  <c r="E34" i="4"/>
  <c r="F34" i="4"/>
  <c r="G34" i="4"/>
  <c r="E35" i="4"/>
  <c r="F35" i="4"/>
  <c r="G35" i="4" s="1"/>
  <c r="G9" i="4"/>
  <c r="F9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9" i="4"/>
  <c r="L166" i="1"/>
  <c r="L164" i="1"/>
  <c r="D35" i="2" l="1"/>
  <c r="D33" i="2"/>
  <c r="D31" i="2"/>
  <c r="D27" i="2"/>
  <c r="D25" i="2"/>
  <c r="D23" i="2"/>
  <c r="D19" i="2"/>
  <c r="D17" i="2"/>
  <c r="D15" i="2"/>
  <c r="D11" i="2"/>
  <c r="D34" i="2"/>
  <c r="D26" i="2"/>
  <c r="D18" i="2"/>
  <c r="D32" i="2"/>
  <c r="D28" i="2"/>
  <c r="D24" i="2"/>
  <c r="D20" i="2"/>
  <c r="D16" i="2"/>
  <c r="D12" i="2"/>
  <c r="D36" i="2"/>
  <c r="T36" i="2"/>
  <c r="T28" i="2"/>
  <c r="T20" i="2"/>
  <c r="T12" i="2"/>
  <c r="D30" i="2"/>
  <c r="D22" i="2"/>
  <c r="D14" i="2"/>
  <c r="D10" i="2"/>
  <c r="D29" i="2"/>
  <c r="D21" i="2"/>
  <c r="D13" i="2"/>
  <c r="S34" i="2"/>
  <c r="S26" i="2"/>
  <c r="S18" i="2"/>
  <c r="T35" i="2"/>
  <c r="T33" i="2"/>
  <c r="T31" i="2"/>
  <c r="T27" i="2"/>
  <c r="T25" i="2"/>
  <c r="T23" i="2"/>
  <c r="T19" i="2"/>
  <c r="T17" i="2"/>
  <c r="T15" i="2"/>
  <c r="T11" i="2"/>
  <c r="L33" i="2"/>
  <c r="L29" i="2"/>
  <c r="L25" i="2"/>
  <c r="L21" i="2"/>
  <c r="L17" i="2"/>
  <c r="L13" i="2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C9" i="4"/>
  <c r="B9" i="4"/>
  <c r="S7" i="3"/>
  <c r="X7" i="3"/>
  <c r="AK7" i="3" s="1"/>
  <c r="AC7" i="3"/>
  <c r="AL7" i="3" l="1"/>
  <c r="AM7" i="3" s="1"/>
  <c r="N33" i="3"/>
  <c r="E53" i="1"/>
  <c r="M53" i="1"/>
  <c r="R53" i="1"/>
  <c r="S53" i="1"/>
  <c r="V53" i="1"/>
  <c r="W53" i="1"/>
  <c r="X53" i="1"/>
  <c r="Y53" i="1"/>
  <c r="AE53" i="1" s="1"/>
  <c r="AB53" i="1"/>
  <c r="AH53" i="1" s="1"/>
  <c r="AC53" i="1"/>
  <c r="G161" i="1" l="1"/>
  <c r="F9" i="7" l="1"/>
  <c r="F8" i="7"/>
  <c r="F6" i="7"/>
  <c r="E8" i="7"/>
  <c r="F7" i="7"/>
  <c r="E7" i="7"/>
  <c r="C11" i="7"/>
  <c r="C7" i="7"/>
  <c r="C8" i="7"/>
  <c r="C9" i="7"/>
  <c r="C6" i="7"/>
  <c r="G7" i="7" l="1"/>
  <c r="G8" i="7"/>
  <c r="F11" i="7"/>
  <c r="E6" i="7"/>
  <c r="G6" i="7" s="1"/>
  <c r="E11" i="7"/>
  <c r="G11" i="7" s="1"/>
  <c r="E9" i="7"/>
  <c r="G9" i="7" s="1"/>
  <c r="CR32" i="3" l="1"/>
  <c r="CR31" i="3"/>
  <c r="CR30" i="3"/>
  <c r="CR29" i="3"/>
  <c r="CR28" i="3"/>
  <c r="CR27" i="3"/>
  <c r="CR26" i="3"/>
  <c r="CR25" i="3"/>
  <c r="CR24" i="3"/>
  <c r="CR23" i="3"/>
  <c r="CR22" i="3"/>
  <c r="CR21" i="3"/>
  <c r="CR20" i="3"/>
  <c r="CR19" i="3"/>
  <c r="CR18" i="3"/>
  <c r="CR17" i="3"/>
  <c r="CR16" i="3"/>
  <c r="CR15" i="3"/>
  <c r="CR14" i="3"/>
  <c r="CR13" i="3"/>
  <c r="CR12" i="3"/>
  <c r="CR11" i="3"/>
  <c r="CR10" i="3"/>
  <c r="CR9" i="3"/>
  <c r="CR8" i="3"/>
  <c r="CR7" i="3"/>
  <c r="CM8" i="3"/>
  <c r="CM9" i="3"/>
  <c r="CM10" i="3"/>
  <c r="CM11" i="3"/>
  <c r="CM12" i="3"/>
  <c r="CM13" i="3"/>
  <c r="CM14" i="3"/>
  <c r="CM15" i="3"/>
  <c r="CM16" i="3"/>
  <c r="CM17" i="3"/>
  <c r="CM18" i="3"/>
  <c r="CM19" i="3"/>
  <c r="CM20" i="3"/>
  <c r="CM21" i="3"/>
  <c r="CM22" i="3"/>
  <c r="CM23" i="3"/>
  <c r="CM24" i="3"/>
  <c r="CM25" i="3"/>
  <c r="CM26" i="3"/>
  <c r="CM27" i="3"/>
  <c r="CM28" i="3"/>
  <c r="CM29" i="3"/>
  <c r="CM30" i="3"/>
  <c r="CM31" i="3"/>
  <c r="CM32" i="3"/>
  <c r="CM7" i="3"/>
  <c r="BL32" i="3"/>
  <c r="BL31" i="3"/>
  <c r="BL30" i="3"/>
  <c r="BL29" i="3"/>
  <c r="BL28" i="3"/>
  <c r="BL27" i="3"/>
  <c r="BL26" i="3"/>
  <c r="BL25" i="3"/>
  <c r="BL24" i="3"/>
  <c r="BL23" i="3"/>
  <c r="BL22" i="3"/>
  <c r="BL21" i="3"/>
  <c r="BL20" i="3"/>
  <c r="BL19" i="3"/>
  <c r="BL18" i="3"/>
  <c r="BL17" i="3"/>
  <c r="BL16" i="3"/>
  <c r="BL15" i="3"/>
  <c r="BL14" i="3"/>
  <c r="BL13" i="3"/>
  <c r="BL12" i="3"/>
  <c r="BL11" i="3"/>
  <c r="BL10" i="3"/>
  <c r="BL9" i="3"/>
  <c r="BL8" i="3"/>
  <c r="BL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Y8" i="3"/>
  <c r="AY9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7" i="3"/>
  <c r="AS7" i="3"/>
  <c r="AC32" i="3" l="1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AE7" i="3" s="1"/>
  <c r="AJ7" i="3" s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7" i="3"/>
  <c r="AD7" i="3" s="1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7" i="3"/>
  <c r="AH7" i="3" l="1"/>
  <c r="AF7" i="3"/>
  <c r="S33" i="3"/>
  <c r="O33" i="3"/>
  <c r="CV33" i="3" l="1"/>
  <c r="CP33" i="3"/>
  <c r="CO33" i="3"/>
  <c r="CN33" i="3"/>
  <c r="CK33" i="3"/>
  <c r="CJ33" i="3"/>
  <c r="CI33" i="3"/>
  <c r="CG33" i="3"/>
  <c r="N35" i="4" s="1"/>
  <c r="CF33" i="3"/>
  <c r="BZ33" i="3"/>
  <c r="BW33" i="3"/>
  <c r="BV33" i="3"/>
  <c r="BS33" i="3"/>
  <c r="BR33" i="3"/>
  <c r="BQ33" i="3"/>
  <c r="BO33" i="3"/>
  <c r="BN33" i="3"/>
  <c r="BM33" i="3"/>
  <c r="AV33" i="3"/>
  <c r="AU33" i="3"/>
  <c r="AT33" i="3"/>
  <c r="AI33" i="3"/>
  <c r="AG33" i="3"/>
  <c r="Q33" i="3"/>
  <c r="P33" i="3"/>
  <c r="M33" i="3"/>
  <c r="I33" i="3"/>
  <c r="H33" i="3"/>
  <c r="G33" i="3"/>
  <c r="D33" i="3"/>
  <c r="C33" i="3"/>
  <c r="B33" i="3"/>
  <c r="DC32" i="3"/>
  <c r="DA32" i="3"/>
  <c r="CY32" i="3"/>
  <c r="CW32" i="3"/>
  <c r="CH32" i="3"/>
  <c r="O34" i="4" s="1"/>
  <c r="CA32" i="3"/>
  <c r="CC32" i="3" s="1"/>
  <c r="BY32" i="3"/>
  <c r="CB32" i="3" s="1"/>
  <c r="BT32" i="3"/>
  <c r="BP32" i="3"/>
  <c r="BA32" i="3"/>
  <c r="AL32" i="3"/>
  <c r="DC31" i="3"/>
  <c r="DA31" i="3"/>
  <c r="CY31" i="3"/>
  <c r="CW31" i="3"/>
  <c r="CH31" i="3"/>
  <c r="O33" i="4" s="1"/>
  <c r="CA31" i="3"/>
  <c r="CC31" i="3" s="1"/>
  <c r="BY31" i="3"/>
  <c r="CB31" i="3" s="1"/>
  <c r="BT31" i="3"/>
  <c r="BP31" i="3"/>
  <c r="DC30" i="3"/>
  <c r="DA30" i="3"/>
  <c r="CY30" i="3"/>
  <c r="CW30" i="3"/>
  <c r="CH30" i="3"/>
  <c r="O32" i="4" s="1"/>
  <c r="CA30" i="3"/>
  <c r="CC30" i="3" s="1"/>
  <c r="BY30" i="3"/>
  <c r="CB30" i="3" s="1"/>
  <c r="BT30" i="3"/>
  <c r="BP30" i="3"/>
  <c r="DC29" i="3"/>
  <c r="DA29" i="3"/>
  <c r="CY29" i="3"/>
  <c r="CW29" i="3"/>
  <c r="CH29" i="3"/>
  <c r="O31" i="4" s="1"/>
  <c r="CA29" i="3"/>
  <c r="CC29" i="3" s="1"/>
  <c r="BY29" i="3"/>
  <c r="CB29" i="3" s="1"/>
  <c r="BT29" i="3"/>
  <c r="BP29" i="3"/>
  <c r="DC28" i="3"/>
  <c r="DA28" i="3"/>
  <c r="CY28" i="3"/>
  <c r="CW28" i="3"/>
  <c r="CH28" i="3"/>
  <c r="O30" i="4" s="1"/>
  <c r="CA28" i="3"/>
  <c r="CC28" i="3" s="1"/>
  <c r="BY28" i="3"/>
  <c r="CB28" i="3" s="1"/>
  <c r="BT28" i="3"/>
  <c r="BP28" i="3"/>
  <c r="BU28" i="3" s="1"/>
  <c r="DC27" i="3"/>
  <c r="DA27" i="3"/>
  <c r="CY27" i="3"/>
  <c r="CW27" i="3"/>
  <c r="CH27" i="3"/>
  <c r="O29" i="4" s="1"/>
  <c r="CA27" i="3"/>
  <c r="CC27" i="3" s="1"/>
  <c r="BY27" i="3"/>
  <c r="CB27" i="3" s="1"/>
  <c r="BT27" i="3"/>
  <c r="BP27" i="3"/>
  <c r="BA27" i="3"/>
  <c r="DC26" i="3"/>
  <c r="DA26" i="3"/>
  <c r="CY26" i="3"/>
  <c r="CW26" i="3"/>
  <c r="CH26" i="3"/>
  <c r="O28" i="4" s="1"/>
  <c r="CA26" i="3"/>
  <c r="CC26" i="3" s="1"/>
  <c r="BY26" i="3"/>
  <c r="CB26" i="3" s="1"/>
  <c r="BT26" i="3"/>
  <c r="BP26" i="3"/>
  <c r="DC25" i="3"/>
  <c r="DA25" i="3"/>
  <c r="CY25" i="3"/>
  <c r="CW25" i="3"/>
  <c r="CS25" i="3"/>
  <c r="CH25" i="3"/>
  <c r="O27" i="4" s="1"/>
  <c r="CA25" i="3"/>
  <c r="CC25" i="3" s="1"/>
  <c r="BY25" i="3"/>
  <c r="CB25" i="3" s="1"/>
  <c r="BT25" i="3"/>
  <c r="BP25" i="3"/>
  <c r="DC24" i="3"/>
  <c r="DA24" i="3"/>
  <c r="CY24" i="3"/>
  <c r="CW24" i="3"/>
  <c r="CH24" i="3"/>
  <c r="O26" i="4" s="1"/>
  <c r="CA24" i="3"/>
  <c r="CC24" i="3" s="1"/>
  <c r="BY24" i="3"/>
  <c r="CB24" i="3" s="1"/>
  <c r="BT24" i="3"/>
  <c r="BP24" i="3"/>
  <c r="AE24" i="3"/>
  <c r="DC23" i="3"/>
  <c r="DA23" i="3"/>
  <c r="CY23" i="3"/>
  <c r="CW23" i="3"/>
  <c r="CH23" i="3"/>
  <c r="O25" i="4" s="1"/>
  <c r="CA23" i="3"/>
  <c r="CC23" i="3" s="1"/>
  <c r="BY23" i="3"/>
  <c r="CB23" i="3" s="1"/>
  <c r="BT23" i="3"/>
  <c r="BP23" i="3"/>
  <c r="DC22" i="3"/>
  <c r="DA22" i="3"/>
  <c r="CY22" i="3"/>
  <c r="CW22" i="3"/>
  <c r="CH22" i="3"/>
  <c r="O24" i="4" s="1"/>
  <c r="CA22" i="3"/>
  <c r="CC22" i="3" s="1"/>
  <c r="BY22" i="3"/>
  <c r="CB22" i="3" s="1"/>
  <c r="BT22" i="3"/>
  <c r="BP22" i="3"/>
  <c r="DC21" i="3"/>
  <c r="DA21" i="3"/>
  <c r="CY21" i="3"/>
  <c r="CW21" i="3"/>
  <c r="CH21" i="3"/>
  <c r="O23" i="4" s="1"/>
  <c r="CA21" i="3"/>
  <c r="CC21" i="3" s="1"/>
  <c r="BY21" i="3"/>
  <c r="CB21" i="3" s="1"/>
  <c r="BT21" i="3"/>
  <c r="BU21" i="3" s="1"/>
  <c r="BP21" i="3"/>
  <c r="DC20" i="3"/>
  <c r="DA20" i="3"/>
  <c r="CY20" i="3"/>
  <c r="CW20" i="3"/>
  <c r="CH20" i="3"/>
  <c r="O22" i="4" s="1"/>
  <c r="CA20" i="3"/>
  <c r="CC20" i="3" s="1"/>
  <c r="BY20" i="3"/>
  <c r="CB20" i="3" s="1"/>
  <c r="BT20" i="3"/>
  <c r="BP20" i="3"/>
  <c r="DC19" i="3"/>
  <c r="DA19" i="3"/>
  <c r="CY19" i="3"/>
  <c r="CW19" i="3"/>
  <c r="CH19" i="3"/>
  <c r="O21" i="4" s="1"/>
  <c r="CA19" i="3"/>
  <c r="CC19" i="3" s="1"/>
  <c r="BY19" i="3"/>
  <c r="CB19" i="3" s="1"/>
  <c r="BT19" i="3"/>
  <c r="BP19" i="3"/>
  <c r="BA19" i="3"/>
  <c r="DC18" i="3"/>
  <c r="DA18" i="3"/>
  <c r="CY18" i="3"/>
  <c r="CW18" i="3"/>
  <c r="CH18" i="3"/>
  <c r="O20" i="4" s="1"/>
  <c r="CA18" i="3"/>
  <c r="CC18" i="3" s="1"/>
  <c r="BY18" i="3"/>
  <c r="CB18" i="3" s="1"/>
  <c r="BT18" i="3"/>
  <c r="BP18" i="3"/>
  <c r="AE18" i="3"/>
  <c r="AJ18" i="3" s="1"/>
  <c r="DC17" i="3"/>
  <c r="DA17" i="3"/>
  <c r="CY17" i="3"/>
  <c r="CW17" i="3"/>
  <c r="CH17" i="3"/>
  <c r="O19" i="4" s="1"/>
  <c r="CA17" i="3"/>
  <c r="CC17" i="3" s="1"/>
  <c r="BY17" i="3"/>
  <c r="CB17" i="3" s="1"/>
  <c r="BT17" i="3"/>
  <c r="BP17" i="3"/>
  <c r="DC16" i="3"/>
  <c r="DA16" i="3"/>
  <c r="DD16" i="3" s="1"/>
  <c r="CY16" i="3"/>
  <c r="CW16" i="3"/>
  <c r="CS16" i="3"/>
  <c r="CH16" i="3"/>
  <c r="O18" i="4" s="1"/>
  <c r="CA16" i="3"/>
  <c r="CC16" i="3" s="1"/>
  <c r="BY16" i="3"/>
  <c r="CB16" i="3" s="1"/>
  <c r="BT16" i="3"/>
  <c r="BP16" i="3"/>
  <c r="DC15" i="3"/>
  <c r="DA15" i="3"/>
  <c r="CY15" i="3"/>
  <c r="CW15" i="3"/>
  <c r="CH15" i="3"/>
  <c r="O17" i="4" s="1"/>
  <c r="CA15" i="3"/>
  <c r="CC15" i="3" s="1"/>
  <c r="BY15" i="3"/>
  <c r="CB15" i="3" s="1"/>
  <c r="BT15" i="3"/>
  <c r="BP15" i="3"/>
  <c r="DC14" i="3"/>
  <c r="DA14" i="3"/>
  <c r="CY14" i="3"/>
  <c r="CW14" i="3"/>
  <c r="CH14" i="3"/>
  <c r="O16" i="4" s="1"/>
  <c r="CA14" i="3"/>
  <c r="CC14" i="3" s="1"/>
  <c r="BY14" i="3"/>
  <c r="CB14" i="3" s="1"/>
  <c r="BT14" i="3"/>
  <c r="BP14" i="3"/>
  <c r="AZ14" i="3"/>
  <c r="DC13" i="3"/>
  <c r="DA13" i="3"/>
  <c r="CY13" i="3"/>
  <c r="CW13" i="3"/>
  <c r="CS13" i="3"/>
  <c r="CH13" i="3"/>
  <c r="O15" i="4" s="1"/>
  <c r="CA13" i="3"/>
  <c r="CC13" i="3" s="1"/>
  <c r="BY13" i="3"/>
  <c r="CB13" i="3" s="1"/>
  <c r="BT13" i="3"/>
  <c r="BP13" i="3"/>
  <c r="AK13" i="3"/>
  <c r="AD13" i="3"/>
  <c r="DC12" i="3"/>
  <c r="DA12" i="3"/>
  <c r="CY12" i="3"/>
  <c r="CW12" i="3"/>
  <c r="CH12" i="3"/>
  <c r="O14" i="4" s="1"/>
  <c r="CA12" i="3"/>
  <c r="CC12" i="3" s="1"/>
  <c r="BY12" i="3"/>
  <c r="CB12" i="3" s="1"/>
  <c r="BT12" i="3"/>
  <c r="BP12" i="3"/>
  <c r="DC11" i="3"/>
  <c r="DA11" i="3"/>
  <c r="CY11" i="3"/>
  <c r="CW11" i="3"/>
  <c r="CH11" i="3"/>
  <c r="O13" i="4" s="1"/>
  <c r="CA11" i="3"/>
  <c r="CC11" i="3" s="1"/>
  <c r="BY11" i="3"/>
  <c r="CB11" i="3" s="1"/>
  <c r="BT11" i="3"/>
  <c r="BP11" i="3"/>
  <c r="AZ11" i="3"/>
  <c r="DC10" i="3"/>
  <c r="DA10" i="3"/>
  <c r="CY10" i="3"/>
  <c r="CW10" i="3"/>
  <c r="CH10" i="3"/>
  <c r="O12" i="4" s="1"/>
  <c r="CA10" i="3"/>
  <c r="CC10" i="3" s="1"/>
  <c r="BY10" i="3"/>
  <c r="CB10" i="3" s="1"/>
  <c r="BT10" i="3"/>
  <c r="BP10" i="3"/>
  <c r="DC9" i="3"/>
  <c r="DA9" i="3"/>
  <c r="CY9" i="3"/>
  <c r="CW9" i="3"/>
  <c r="CH9" i="3"/>
  <c r="O11" i="4" s="1"/>
  <c r="CA9" i="3"/>
  <c r="CC9" i="3" s="1"/>
  <c r="BY9" i="3"/>
  <c r="CB9" i="3" s="1"/>
  <c r="BT9" i="3"/>
  <c r="BP9" i="3"/>
  <c r="DC8" i="3"/>
  <c r="DA8" i="3"/>
  <c r="CY8" i="3"/>
  <c r="CW8" i="3"/>
  <c r="CH8" i="3"/>
  <c r="O10" i="4" s="1"/>
  <c r="CA8" i="3"/>
  <c r="CC8" i="3" s="1"/>
  <c r="BY8" i="3"/>
  <c r="CB8" i="3" s="1"/>
  <c r="BT8" i="3"/>
  <c r="BP8" i="3"/>
  <c r="DC7" i="3"/>
  <c r="DA7" i="3"/>
  <c r="CY7" i="3"/>
  <c r="CW7" i="3"/>
  <c r="CH7" i="3"/>
  <c r="O9" i="4" s="1"/>
  <c r="CA7" i="3"/>
  <c r="CC7" i="3" s="1"/>
  <c r="BY7" i="3"/>
  <c r="BT7" i="3"/>
  <c r="BP7" i="3"/>
  <c r="BU17" i="3" l="1"/>
  <c r="DD23" i="3"/>
  <c r="BU27" i="3"/>
  <c r="CT16" i="3"/>
  <c r="CU16" i="3" s="1"/>
  <c r="CS26" i="3"/>
  <c r="BU8" i="3"/>
  <c r="AK8" i="3"/>
  <c r="AK17" i="3"/>
  <c r="BA16" i="3"/>
  <c r="AL29" i="3"/>
  <c r="CS23" i="3"/>
  <c r="AE21" i="3"/>
  <c r="AJ21" i="3" s="1"/>
  <c r="DD13" i="3"/>
  <c r="CT19" i="3"/>
  <c r="AZ21" i="3"/>
  <c r="CT10" i="3"/>
  <c r="BA11" i="3"/>
  <c r="BB11" i="3" s="1"/>
  <c r="CT17" i="3"/>
  <c r="DD17" i="3"/>
  <c r="AZ18" i="3"/>
  <c r="BU26" i="3"/>
  <c r="BU30" i="3"/>
  <c r="DD18" i="3"/>
  <c r="AZ9" i="3"/>
  <c r="AE14" i="3"/>
  <c r="AJ14" i="3" s="1"/>
  <c r="CS20" i="3"/>
  <c r="CT22" i="3"/>
  <c r="AK29" i="3"/>
  <c r="BU29" i="3"/>
  <c r="CS30" i="3"/>
  <c r="CS19" i="3"/>
  <c r="BU7" i="3"/>
  <c r="BU14" i="3"/>
  <c r="CS15" i="3"/>
  <c r="AZ17" i="3"/>
  <c r="AZ19" i="3"/>
  <c r="BB19" i="3" s="1"/>
  <c r="AZ25" i="3"/>
  <c r="AZ26" i="3"/>
  <c r="CS32" i="3"/>
  <c r="CR33" i="3"/>
  <c r="DD9" i="3"/>
  <c r="AE10" i="3"/>
  <c r="AJ10" i="3" s="1"/>
  <c r="AZ10" i="3"/>
  <c r="BA14" i="3"/>
  <c r="BB14" i="3" s="1"/>
  <c r="DD15" i="3"/>
  <c r="AD19" i="3"/>
  <c r="AH19" i="3" s="1"/>
  <c r="AK19" i="3"/>
  <c r="AE20" i="3"/>
  <c r="AJ20" i="3" s="1"/>
  <c r="AL20" i="3"/>
  <c r="BA20" i="3"/>
  <c r="AE23" i="3"/>
  <c r="AJ23" i="3" s="1"/>
  <c r="AD25" i="3"/>
  <c r="AH25" i="3" s="1"/>
  <c r="AK25" i="3"/>
  <c r="AK26" i="3"/>
  <c r="AL28" i="3"/>
  <c r="AD30" i="3"/>
  <c r="AH30" i="3" s="1"/>
  <c r="AK31" i="3"/>
  <c r="BU11" i="3"/>
  <c r="AZ12" i="3"/>
  <c r="AZ13" i="3"/>
  <c r="AD14" i="3"/>
  <c r="AK14" i="3"/>
  <c r="AD15" i="3"/>
  <c r="AH15" i="3" s="1"/>
  <c r="AK15" i="3"/>
  <c r="AE17" i="3"/>
  <c r="AJ17" i="3" s="1"/>
  <c r="AL17" i="3"/>
  <c r="BA17" i="3"/>
  <c r="AK18" i="3"/>
  <c r="CT20" i="3"/>
  <c r="AD23" i="3"/>
  <c r="AH23" i="3" s="1"/>
  <c r="AK28" i="3"/>
  <c r="DD30" i="3"/>
  <c r="AD32" i="3"/>
  <c r="AK32" i="3"/>
  <c r="AZ32" i="3"/>
  <c r="BB32" i="3" s="1"/>
  <c r="AZ31" i="3"/>
  <c r="BU15" i="3"/>
  <c r="BU22" i="3"/>
  <c r="CS24" i="3"/>
  <c r="DD29" i="3"/>
  <c r="CS8" i="3"/>
  <c r="BU12" i="3"/>
  <c r="CT14" i="3"/>
  <c r="DD10" i="3"/>
  <c r="CT11" i="3"/>
  <c r="BU16" i="3"/>
  <c r="CT18" i="3"/>
  <c r="AL18" i="3"/>
  <c r="BU18" i="3"/>
  <c r="CS18" i="3"/>
  <c r="AK24" i="3"/>
  <c r="AZ24" i="3"/>
  <c r="DA33" i="3"/>
  <c r="AK30" i="3"/>
  <c r="BG33" i="3"/>
  <c r="CT8" i="3"/>
  <c r="BU9" i="3"/>
  <c r="BL33" i="3"/>
  <c r="AE8" i="3"/>
  <c r="AL8" i="3"/>
  <c r="BA8" i="3"/>
  <c r="AL9" i="3"/>
  <c r="CT9" i="3"/>
  <c r="BU10" i="3"/>
  <c r="AE13" i="3"/>
  <c r="AF13" i="3" s="1"/>
  <c r="CS14" i="3"/>
  <c r="BA15" i="3"/>
  <c r="AZ15" i="3"/>
  <c r="AD16" i="3"/>
  <c r="AH16" i="3" s="1"/>
  <c r="AK16" i="3"/>
  <c r="AZ16" i="3"/>
  <c r="AD17" i="3"/>
  <c r="AH17" i="3" s="1"/>
  <c r="BU19" i="3"/>
  <c r="BU20" i="3"/>
  <c r="AK21" i="3"/>
  <c r="AZ23" i="3"/>
  <c r="DD28" i="3"/>
  <c r="BA29" i="3"/>
  <c r="CT29" i="3"/>
  <c r="AZ30" i="3"/>
  <c r="BU23" i="3"/>
  <c r="DD26" i="3"/>
  <c r="DD11" i="3"/>
  <c r="BA12" i="3"/>
  <c r="CT12" i="3"/>
  <c r="CS17" i="3"/>
  <c r="AD18" i="3"/>
  <c r="AF18" i="3" s="1"/>
  <c r="BA18" i="3"/>
  <c r="AZ20" i="3"/>
  <c r="AE22" i="3"/>
  <c r="AJ22" i="3" s="1"/>
  <c r="AL22" i="3"/>
  <c r="BA22" i="3"/>
  <c r="AL23" i="3"/>
  <c r="BU25" i="3"/>
  <c r="AD26" i="3"/>
  <c r="AH26" i="3" s="1"/>
  <c r="DD27" i="3"/>
  <c r="BA28" i="3"/>
  <c r="CT28" i="3"/>
  <c r="AZ29" i="3"/>
  <c r="AE32" i="3"/>
  <c r="CT32" i="3"/>
  <c r="AJ24" i="3"/>
  <c r="AL25" i="3"/>
  <c r="AE25" i="3"/>
  <c r="BA26" i="3"/>
  <c r="AE26" i="3"/>
  <c r="CT31" i="3"/>
  <c r="BA31" i="3"/>
  <c r="AE31" i="3"/>
  <c r="BY33" i="3"/>
  <c r="CB7" i="3"/>
  <c r="CB33" i="3" s="1"/>
  <c r="CW33" i="3"/>
  <c r="CD13" i="3"/>
  <c r="AH13" i="3"/>
  <c r="BA13" i="3"/>
  <c r="AC33" i="3"/>
  <c r="CM33" i="3"/>
  <c r="CS7" i="3"/>
  <c r="AR33" i="3"/>
  <c r="AZ7" i="3"/>
  <c r="CC33" i="3"/>
  <c r="AK9" i="3"/>
  <c r="CS9" i="3"/>
  <c r="AD9" i="3"/>
  <c r="CS10" i="3"/>
  <c r="AK10" i="3"/>
  <c r="AD10" i="3"/>
  <c r="CS11" i="3"/>
  <c r="AK11" i="3"/>
  <c r="AD11" i="3"/>
  <c r="CS12" i="3"/>
  <c r="AK12" i="3"/>
  <c r="AD12" i="3"/>
  <c r="CT13" i="3"/>
  <c r="CU13" i="3" s="1"/>
  <c r="AL13" i="3"/>
  <c r="BU13" i="3"/>
  <c r="AL14" i="3"/>
  <c r="AL15" i="3"/>
  <c r="CT15" i="3"/>
  <c r="AE15" i="3"/>
  <c r="AL24" i="3"/>
  <c r="CE24" i="3" s="1"/>
  <c r="BA24" i="3"/>
  <c r="K33" i="3"/>
  <c r="AY33" i="3"/>
  <c r="BA7" i="3"/>
  <c r="AK22" i="3"/>
  <c r="AZ22" i="3"/>
  <c r="AD22" i="3"/>
  <c r="AK27" i="3"/>
  <c r="CS27" i="3"/>
  <c r="AD27" i="3"/>
  <c r="BA9" i="3"/>
  <c r="BA10" i="3"/>
  <c r="AE11" i="3"/>
  <c r="AE12" i="3"/>
  <c r="AD21" i="3"/>
  <c r="DD21" i="3"/>
  <c r="CT25" i="3"/>
  <c r="CU25" i="3" s="1"/>
  <c r="AS33" i="3"/>
  <c r="CA33" i="3"/>
  <c r="AL10" i="3"/>
  <c r="AL11" i="3"/>
  <c r="AL12" i="3"/>
  <c r="F33" i="3"/>
  <c r="X33" i="3"/>
  <c r="AX33" i="3"/>
  <c r="BT33" i="3"/>
  <c r="CH33" i="3"/>
  <c r="O35" i="4" s="1"/>
  <c r="CT7" i="3"/>
  <c r="BA21" i="3"/>
  <c r="CT21" i="3"/>
  <c r="AD24" i="3"/>
  <c r="AZ27" i="3"/>
  <c r="BB27" i="3" s="1"/>
  <c r="CS28" i="3"/>
  <c r="AZ28" i="3"/>
  <c r="AD28" i="3"/>
  <c r="DC33" i="3"/>
  <c r="DD33" i="3" s="1"/>
  <c r="AD8" i="3"/>
  <c r="AZ8" i="3"/>
  <c r="AE9" i="3"/>
  <c r="CT24" i="3"/>
  <c r="AE27" i="3"/>
  <c r="BP33" i="3"/>
  <c r="CY33" i="3"/>
  <c r="DD7" i="3"/>
  <c r="AE16" i="3"/>
  <c r="AL16" i="3"/>
  <c r="AL19" i="3"/>
  <c r="AE19" i="3"/>
  <c r="AD20" i="3"/>
  <c r="CS21" i="3"/>
  <c r="BA23" i="3"/>
  <c r="BU24" i="3"/>
  <c r="AE30" i="3"/>
  <c r="BA30" i="3"/>
  <c r="AK23" i="3"/>
  <c r="CT27" i="3"/>
  <c r="CS31" i="3"/>
  <c r="AK20" i="3"/>
  <c r="AL21" i="3"/>
  <c r="CS22" i="3"/>
  <c r="CT23" i="3"/>
  <c r="AD31" i="3"/>
  <c r="CT26" i="3"/>
  <c r="AL27" i="3"/>
  <c r="AE29" i="3"/>
  <c r="CS29" i="3"/>
  <c r="CT30" i="3"/>
  <c r="AL31" i="3"/>
  <c r="BA25" i="3"/>
  <c r="AL26" i="3"/>
  <c r="AE28" i="3"/>
  <c r="AD29" i="3"/>
  <c r="AL30" i="3"/>
  <c r="BB21" i="3" l="1"/>
  <c r="CU23" i="3"/>
  <c r="BB9" i="3"/>
  <c r="AF22" i="3"/>
  <c r="AM8" i="3"/>
  <c r="CE22" i="3"/>
  <c r="CU11" i="3"/>
  <c r="BB16" i="3"/>
  <c r="AM26" i="3"/>
  <c r="CU30" i="3"/>
  <c r="CD26" i="3"/>
  <c r="CU26" i="3"/>
  <c r="BB12" i="3"/>
  <c r="CD19" i="3"/>
  <c r="CU10" i="3"/>
  <c r="CU19" i="3"/>
  <c r="CU22" i="3"/>
  <c r="CU17" i="3"/>
  <c r="BB20" i="3"/>
  <c r="AM17" i="3"/>
  <c r="AM18" i="3"/>
  <c r="CE18" i="3"/>
  <c r="CU14" i="3"/>
  <c r="CE14" i="3"/>
  <c r="CU20" i="3"/>
  <c r="CD14" i="3"/>
  <c r="AH18" i="3"/>
  <c r="AM30" i="3"/>
  <c r="BB25" i="3"/>
  <c r="AM21" i="3"/>
  <c r="CD25" i="3"/>
  <c r="BB10" i="3"/>
  <c r="CU15" i="3"/>
  <c r="AF21" i="3"/>
  <c r="AJ13" i="3"/>
  <c r="CE23" i="3"/>
  <c r="CE13" i="3"/>
  <c r="CD17" i="3"/>
  <c r="CU24" i="3"/>
  <c r="AM29" i="3"/>
  <c r="AM28" i="3"/>
  <c r="AF23" i="3"/>
  <c r="CU9" i="3"/>
  <c r="BB18" i="3"/>
  <c r="CU18" i="3"/>
  <c r="AF17" i="3"/>
  <c r="CD30" i="3"/>
  <c r="BB24" i="3"/>
  <c r="CU12" i="3"/>
  <c r="AM9" i="3"/>
  <c r="AM32" i="3"/>
  <c r="AM23" i="3"/>
  <c r="AH14" i="3"/>
  <c r="AF14" i="3"/>
  <c r="CD32" i="3"/>
  <c r="CD23" i="3"/>
  <c r="CD16" i="3"/>
  <c r="BB8" i="3"/>
  <c r="BB13" i="3"/>
  <c r="BB26" i="3"/>
  <c r="CE8" i="3"/>
  <c r="AF32" i="3"/>
  <c r="AH32" i="3"/>
  <c r="BB29" i="3"/>
  <c r="CD18" i="3"/>
  <c r="CE17" i="3"/>
  <c r="CE20" i="3"/>
  <c r="BB22" i="3"/>
  <c r="AF10" i="3"/>
  <c r="CU32" i="3"/>
  <c r="AF8" i="3"/>
  <c r="CD15" i="3"/>
  <c r="BB17" i="3"/>
  <c r="AM22" i="3"/>
  <c r="AJ32" i="3"/>
  <c r="AM27" i="3"/>
  <c r="CE32" i="3"/>
  <c r="CU29" i="3"/>
  <c r="BB23" i="3"/>
  <c r="CU28" i="3"/>
  <c r="CE21" i="3"/>
  <c r="AJ8" i="3"/>
  <c r="BB30" i="3"/>
  <c r="BB28" i="3"/>
  <c r="BB31" i="3"/>
  <c r="BB15" i="3"/>
  <c r="CU8" i="3"/>
  <c r="AM20" i="3"/>
  <c r="AH11" i="3"/>
  <c r="CD11" i="3"/>
  <c r="AF26" i="3"/>
  <c r="CE26" i="3"/>
  <c r="AJ26" i="3"/>
  <c r="AM10" i="3"/>
  <c r="AF12" i="3"/>
  <c r="CE12" i="3"/>
  <c r="AJ12" i="3"/>
  <c r="BA33" i="3"/>
  <c r="BB7" i="3"/>
  <c r="AD33" i="3"/>
  <c r="CD7" i="3"/>
  <c r="CS33" i="3"/>
  <c r="AF31" i="3"/>
  <c r="AJ31" i="3"/>
  <c r="CE31" i="3"/>
  <c r="AF29" i="3"/>
  <c r="CE29" i="3"/>
  <c r="AJ29" i="3"/>
  <c r="CD31" i="3"/>
  <c r="AH31" i="3"/>
  <c r="AH20" i="3"/>
  <c r="CD20" i="3"/>
  <c r="CD8" i="3"/>
  <c r="AH8" i="3"/>
  <c r="AM24" i="3"/>
  <c r="AK33" i="3"/>
  <c r="CE25" i="3"/>
  <c r="AJ25" i="3"/>
  <c r="AF25" i="3"/>
  <c r="AF28" i="3"/>
  <c r="CE28" i="3"/>
  <c r="AJ28" i="3"/>
  <c r="AM31" i="3"/>
  <c r="AJ19" i="3"/>
  <c r="AF19" i="3"/>
  <c r="CE19" i="3"/>
  <c r="AM16" i="3"/>
  <c r="AF20" i="3"/>
  <c r="CU21" i="3"/>
  <c r="BU33" i="3"/>
  <c r="AM12" i="3"/>
  <c r="CD21" i="3"/>
  <c r="AH21" i="3"/>
  <c r="AH27" i="3"/>
  <c r="CD27" i="3"/>
  <c r="AE33" i="3"/>
  <c r="CE7" i="3"/>
  <c r="AM15" i="3"/>
  <c r="CE10" i="3"/>
  <c r="AH12" i="3"/>
  <c r="CD12" i="3"/>
  <c r="AZ33" i="3"/>
  <c r="AL33" i="3"/>
  <c r="CU31" i="3"/>
  <c r="AM25" i="3"/>
  <c r="AH29" i="3"/>
  <c r="CD29" i="3"/>
  <c r="AM19" i="3"/>
  <c r="AJ16" i="3"/>
  <c r="AF16" i="3"/>
  <c r="CE16" i="3"/>
  <c r="AF27" i="3"/>
  <c r="AJ27" i="3"/>
  <c r="CE27" i="3"/>
  <c r="CE9" i="3"/>
  <c r="AF9" i="3"/>
  <c r="AJ9" i="3"/>
  <c r="AM11" i="3"/>
  <c r="AM14" i="3"/>
  <c r="AH24" i="3"/>
  <c r="CD24" i="3"/>
  <c r="CT33" i="3"/>
  <c r="CU7" i="3"/>
  <c r="AH22" i="3"/>
  <c r="CD22" i="3"/>
  <c r="AJ15" i="3"/>
  <c r="CE15" i="3"/>
  <c r="AF15" i="3"/>
  <c r="AM13" i="3"/>
  <c r="AH10" i="3"/>
  <c r="CD10" i="3"/>
  <c r="CU27" i="3"/>
  <c r="AF30" i="3"/>
  <c r="CE30" i="3"/>
  <c r="AJ30" i="3"/>
  <c r="AH28" i="3"/>
  <c r="CD28" i="3"/>
  <c r="AF11" i="3"/>
  <c r="CE11" i="3"/>
  <c r="AJ11" i="3"/>
  <c r="AH9" i="3"/>
  <c r="CD9" i="3"/>
  <c r="AF24" i="3"/>
  <c r="AH33" i="3" l="1"/>
  <c r="AF33" i="3"/>
  <c r="CD33" i="3"/>
  <c r="AJ33" i="3"/>
  <c r="BB33" i="3"/>
  <c r="CU33" i="3"/>
  <c r="AM33" i="3"/>
  <c r="CE33" i="3"/>
  <c r="W167" i="1" l="1"/>
  <c r="W164" i="1"/>
  <c r="W165" i="1"/>
  <c r="W166" i="1"/>
  <c r="W161" i="1"/>
  <c r="W159" i="1"/>
  <c r="W158" i="1"/>
  <c r="W157" i="1"/>
  <c r="AC164" i="1"/>
  <c r="AC165" i="1"/>
  <c r="AC166" i="1"/>
  <c r="AC167" i="1"/>
  <c r="AC161" i="1"/>
  <c r="AC159" i="1"/>
  <c r="AC158" i="1"/>
  <c r="AC157" i="1"/>
  <c r="AC136" i="1"/>
  <c r="AC133" i="1"/>
  <c r="M53" i="8" s="1"/>
  <c r="S53" i="8" s="1"/>
  <c r="AC129" i="1"/>
  <c r="AC130" i="1"/>
  <c r="AC128" i="1"/>
  <c r="AC127" i="1"/>
  <c r="M51" i="8" s="1"/>
  <c r="S51" i="8" s="1"/>
  <c r="AC126" i="1"/>
  <c r="M50" i="8" s="1"/>
  <c r="S50" i="8" s="1"/>
  <c r="AC124" i="1"/>
  <c r="AC123" i="1"/>
  <c r="M48" i="8" s="1"/>
  <c r="S48" i="8" s="1"/>
  <c r="AC112" i="1"/>
  <c r="AC111" i="1"/>
  <c r="M42" i="8" s="1"/>
  <c r="S42" i="8" s="1"/>
  <c r="AC108" i="1"/>
  <c r="M40" i="8" s="1"/>
  <c r="S40" i="8" s="1"/>
  <c r="AC109" i="1"/>
  <c r="M41" i="8" s="1"/>
  <c r="S41" i="8" s="1"/>
  <c r="AC107" i="1"/>
  <c r="M39" i="8" s="1"/>
  <c r="S39" i="8" s="1"/>
  <c r="AC106" i="1"/>
  <c r="AC105" i="1"/>
  <c r="M38" i="8" s="1"/>
  <c r="S38" i="8" s="1"/>
  <c r="AC104" i="1"/>
  <c r="AC103" i="1"/>
  <c r="M37" i="8" s="1"/>
  <c r="S37" i="8" s="1"/>
  <c r="AC88" i="1"/>
  <c r="AC87" i="1"/>
  <c r="M29" i="8" s="1"/>
  <c r="S29" i="8" s="1"/>
  <c r="AC85" i="1"/>
  <c r="M28" i="8" s="1"/>
  <c r="S28" i="8" s="1"/>
  <c r="AC77" i="1"/>
  <c r="M24" i="8" s="1"/>
  <c r="S24" i="8" s="1"/>
  <c r="AC78" i="1"/>
  <c r="AC79" i="1"/>
  <c r="M25" i="8" s="1"/>
  <c r="S25" i="8" s="1"/>
  <c r="AC80" i="1"/>
  <c r="AC81" i="1"/>
  <c r="M26" i="8" s="1"/>
  <c r="S26" i="8" s="1"/>
  <c r="AC82" i="1"/>
  <c r="AC83" i="1"/>
  <c r="M27" i="8" s="1"/>
  <c r="S27" i="8" s="1"/>
  <c r="AC84" i="1"/>
  <c r="AC76" i="1"/>
  <c r="AC75" i="1"/>
  <c r="M23" i="8" s="1"/>
  <c r="S23" i="8" s="1"/>
  <c r="AC74" i="1"/>
  <c r="AC73" i="1"/>
  <c r="M22" i="8" s="1"/>
  <c r="S22" i="8" s="1"/>
  <c r="AC68" i="1"/>
  <c r="AC69" i="1"/>
  <c r="M20" i="8" s="1"/>
  <c r="S20" i="8" s="1"/>
  <c r="AC70" i="1"/>
  <c r="AC71" i="1"/>
  <c r="M21" i="8" s="1"/>
  <c r="S21" i="8" s="1"/>
  <c r="AC67" i="1"/>
  <c r="M19" i="8" s="1"/>
  <c r="S19" i="8" s="1"/>
  <c r="AC58" i="1"/>
  <c r="M14" i="8" s="1"/>
  <c r="S14" i="8" s="1"/>
  <c r="AC59" i="1"/>
  <c r="M15" i="8" s="1"/>
  <c r="S15" i="8" s="1"/>
  <c r="AC60" i="1"/>
  <c r="AC61" i="1"/>
  <c r="M16" i="8" s="1"/>
  <c r="S16" i="8" s="1"/>
  <c r="AC62" i="1"/>
  <c r="AC63" i="1"/>
  <c r="M17" i="8" s="1"/>
  <c r="S17" i="8" s="1"/>
  <c r="AC64" i="1"/>
  <c r="AC65" i="1"/>
  <c r="M18" i="8" s="1"/>
  <c r="S18" i="8" s="1"/>
  <c r="AC57" i="1"/>
  <c r="AC56" i="1"/>
  <c r="M13" i="8" s="1"/>
  <c r="S13" i="8" s="1"/>
  <c r="AC55" i="1"/>
  <c r="AC54" i="1"/>
  <c r="M12" i="8" s="1"/>
  <c r="S12" i="8" s="1"/>
  <c r="AC52" i="1"/>
  <c r="M11" i="8" s="1"/>
  <c r="S11" i="8" s="1"/>
  <c r="AC51" i="1"/>
  <c r="AC49" i="1"/>
  <c r="AC50" i="1"/>
  <c r="M10" i="8" s="1"/>
  <c r="S10" i="8" s="1"/>
  <c r="AC125" i="1"/>
  <c r="M49" i="8" s="1"/>
  <c r="S49" i="8" s="1"/>
  <c r="W136" i="1"/>
  <c r="W133" i="1"/>
  <c r="W129" i="1"/>
  <c r="W130" i="1"/>
  <c r="W128" i="1"/>
  <c r="W126" i="1"/>
  <c r="W127" i="1"/>
  <c r="W125" i="1"/>
  <c r="W124" i="1"/>
  <c r="W123" i="1"/>
  <c r="W112" i="1"/>
  <c r="W111" i="1"/>
  <c r="W107" i="1"/>
  <c r="W108" i="1"/>
  <c r="W109" i="1"/>
  <c r="W106" i="1"/>
  <c r="W105" i="1"/>
  <c r="W104" i="1"/>
  <c r="W103" i="1"/>
  <c r="W88" i="1"/>
  <c r="W87" i="1"/>
  <c r="W85" i="1"/>
  <c r="W77" i="1"/>
  <c r="W78" i="1"/>
  <c r="W79" i="1"/>
  <c r="W80" i="1"/>
  <c r="W81" i="1"/>
  <c r="W82" i="1"/>
  <c r="W83" i="1"/>
  <c r="W84" i="1"/>
  <c r="W76" i="1"/>
  <c r="W75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57" i="1"/>
  <c r="W56" i="1"/>
  <c r="W55" i="1"/>
  <c r="W51" i="1"/>
  <c r="W54" i="1"/>
  <c r="W52" i="1"/>
  <c r="W50" i="1"/>
  <c r="W49" i="1"/>
  <c r="AC143" i="1"/>
  <c r="W144" i="1"/>
  <c r="W145" i="1"/>
  <c r="W146" i="1"/>
  <c r="W147" i="1"/>
  <c r="W148" i="1"/>
  <c r="W149" i="1"/>
  <c r="W150" i="1"/>
  <c r="W143" i="1"/>
  <c r="Q163" i="1"/>
  <c r="Q162" i="1" s="1"/>
  <c r="M161" i="1"/>
  <c r="M159" i="1"/>
  <c r="M158" i="1"/>
  <c r="M157" i="1"/>
  <c r="R143" i="1"/>
  <c r="S143" i="1"/>
  <c r="M150" i="1"/>
  <c r="M149" i="1"/>
  <c r="M148" i="1"/>
  <c r="M147" i="1"/>
  <c r="M146" i="1"/>
  <c r="M145" i="1"/>
  <c r="M144" i="1"/>
  <c r="M143" i="1"/>
  <c r="E144" i="1"/>
  <c r="E145" i="1"/>
  <c r="E146" i="1"/>
  <c r="E147" i="1"/>
  <c r="E148" i="1"/>
  <c r="E149" i="1"/>
  <c r="E150" i="1"/>
  <c r="E143" i="1"/>
  <c r="T143" i="1" s="1"/>
  <c r="M136" i="1"/>
  <c r="M126" i="1" l="1"/>
  <c r="M125" i="1"/>
  <c r="M124" i="1"/>
  <c r="M123" i="1"/>
  <c r="M112" i="1"/>
  <c r="M111" i="1" s="1"/>
  <c r="M110" i="1"/>
  <c r="M109" i="1" s="1"/>
  <c r="M108" i="1"/>
  <c r="M107" i="1"/>
  <c r="M106" i="1"/>
  <c r="M105" i="1" s="1"/>
  <c r="M104" i="1"/>
  <c r="M103" i="1" s="1"/>
  <c r="M88" i="1"/>
  <c r="M87" i="1" s="1"/>
  <c r="M86" i="1"/>
  <c r="M85" i="1" s="1"/>
  <c r="M84" i="1"/>
  <c r="M83" i="1" s="1"/>
  <c r="M82" i="1"/>
  <c r="M81" i="1" s="1"/>
  <c r="M80" i="1"/>
  <c r="M79" i="1" s="1"/>
  <c r="M78" i="1"/>
  <c r="M77" i="1" s="1"/>
  <c r="M76" i="1"/>
  <c r="M75" i="1" s="1"/>
  <c r="M74" i="1"/>
  <c r="M73" i="1" s="1"/>
  <c r="M72" i="1"/>
  <c r="M71" i="1" s="1"/>
  <c r="M70" i="1"/>
  <c r="M69" i="1" s="1"/>
  <c r="M68" i="1"/>
  <c r="M67" i="1" s="1"/>
  <c r="M66" i="1"/>
  <c r="M65" i="1" s="1"/>
  <c r="M64" i="1"/>
  <c r="M63" i="1" s="1"/>
  <c r="M62" i="1"/>
  <c r="M61" i="1" s="1"/>
  <c r="M60" i="1"/>
  <c r="M59" i="1" s="1"/>
  <c r="M58" i="1"/>
  <c r="M57" i="1"/>
  <c r="M56" i="1" s="1"/>
  <c r="M55" i="1"/>
  <c r="M54" i="1" s="1"/>
  <c r="M52" i="1"/>
  <c r="M51" i="1"/>
  <c r="M50" i="1" s="1"/>
  <c r="E126" i="1"/>
  <c r="E125" i="1"/>
  <c r="E124" i="1"/>
  <c r="E123" i="1" s="1"/>
  <c r="E112" i="1"/>
  <c r="E111" i="1" s="1"/>
  <c r="E110" i="1"/>
  <c r="E109" i="1" s="1"/>
  <c r="E108" i="1"/>
  <c r="E107" i="1"/>
  <c r="E58" i="1"/>
  <c r="E106" i="1"/>
  <c r="E105" i="1" s="1"/>
  <c r="E104" i="1"/>
  <c r="E103" i="1" s="1"/>
  <c r="E88" i="1"/>
  <c r="E87" i="1" s="1"/>
  <c r="E86" i="1"/>
  <c r="E85" i="1" s="1"/>
  <c r="E84" i="1"/>
  <c r="E83" i="1" s="1"/>
  <c r="E82" i="1"/>
  <c r="E81" i="1" s="1"/>
  <c r="E80" i="1"/>
  <c r="E79" i="1" s="1"/>
  <c r="E78" i="1"/>
  <c r="E77" i="1" s="1"/>
  <c r="E76" i="1"/>
  <c r="E75" i="1" s="1"/>
  <c r="E74" i="1"/>
  <c r="E73" i="1" s="1"/>
  <c r="E72" i="1"/>
  <c r="E71" i="1" s="1"/>
  <c r="E70" i="1"/>
  <c r="E69" i="1" s="1"/>
  <c r="E68" i="1"/>
  <c r="E67" i="1" s="1"/>
  <c r="E66" i="1"/>
  <c r="E65" i="1" s="1"/>
  <c r="E64" i="1"/>
  <c r="E63" i="1" s="1"/>
  <c r="E62" i="1"/>
  <c r="E61" i="1" s="1"/>
  <c r="E60" i="1"/>
  <c r="E59" i="1" s="1"/>
  <c r="E57" i="1"/>
  <c r="E56" i="1" s="1"/>
  <c r="E55" i="1"/>
  <c r="E54" i="1" s="1"/>
  <c r="E52" i="1"/>
  <c r="E51" i="1"/>
  <c r="E50" i="1" s="1"/>
  <c r="N37" i="1" l="1"/>
  <c r="O37" i="1"/>
  <c r="AB37" i="1" s="1"/>
  <c r="L34" i="5" s="1"/>
  <c r="R34" i="5" s="1"/>
  <c r="P37" i="1"/>
  <c r="Q37" i="1"/>
  <c r="Q38" i="1" s="1"/>
  <c r="F37" i="1"/>
  <c r="U37" i="1" s="1"/>
  <c r="G37" i="1"/>
  <c r="H37" i="1"/>
  <c r="I37" i="1"/>
  <c r="I38" i="1" s="1"/>
  <c r="J37" i="1"/>
  <c r="K37" i="1"/>
  <c r="K38" i="1" s="1"/>
  <c r="L37" i="1"/>
  <c r="B37" i="1"/>
  <c r="C37" i="1"/>
  <c r="C38" i="1" s="1"/>
  <c r="D37" i="1"/>
  <c r="S37" i="1" s="1"/>
  <c r="Q39" i="1"/>
  <c r="Q40" i="1"/>
  <c r="I39" i="1"/>
  <c r="I40" i="1" s="1"/>
  <c r="M34" i="1"/>
  <c r="Z34" i="1" s="1"/>
  <c r="E34" i="1"/>
  <c r="T34" i="1" s="1"/>
  <c r="M42" i="1"/>
  <c r="E42" i="1"/>
  <c r="AC11" i="1"/>
  <c r="M9" i="5" s="1"/>
  <c r="S9" i="5" s="1"/>
  <c r="AC12" i="1"/>
  <c r="M10" i="5" s="1"/>
  <c r="S10" i="5" s="1"/>
  <c r="AC13" i="1"/>
  <c r="M11" i="5" s="1"/>
  <c r="S11" i="5" s="1"/>
  <c r="AC14" i="1"/>
  <c r="M12" i="5" s="1"/>
  <c r="S12" i="5" s="1"/>
  <c r="AC15" i="1"/>
  <c r="M13" i="5" s="1"/>
  <c r="S13" i="5" s="1"/>
  <c r="AC16" i="1"/>
  <c r="M14" i="5" s="1"/>
  <c r="S14" i="5" s="1"/>
  <c r="AC17" i="1"/>
  <c r="M15" i="5" s="1"/>
  <c r="S15" i="5" s="1"/>
  <c r="AC18" i="1"/>
  <c r="M16" i="5" s="1"/>
  <c r="S16" i="5" s="1"/>
  <c r="AC19" i="1"/>
  <c r="M17" i="5" s="1"/>
  <c r="S17" i="5" s="1"/>
  <c r="AC20" i="1"/>
  <c r="M18" i="5" s="1"/>
  <c r="S18" i="5" s="1"/>
  <c r="AC21" i="1"/>
  <c r="M19" i="5" s="1"/>
  <c r="S19" i="5" s="1"/>
  <c r="AC22" i="1"/>
  <c r="M20" i="5" s="1"/>
  <c r="S20" i="5" s="1"/>
  <c r="AC23" i="1"/>
  <c r="M21" i="5" s="1"/>
  <c r="S21" i="5" s="1"/>
  <c r="AC24" i="1"/>
  <c r="M22" i="5" s="1"/>
  <c r="S22" i="5" s="1"/>
  <c r="AC25" i="1"/>
  <c r="M23" i="5" s="1"/>
  <c r="S23" i="5" s="1"/>
  <c r="AC26" i="1"/>
  <c r="M24" i="5" s="1"/>
  <c r="S24" i="5" s="1"/>
  <c r="AC27" i="1"/>
  <c r="AC28" i="1"/>
  <c r="M25" i="5" s="1"/>
  <c r="AC29" i="1"/>
  <c r="M26" i="5" s="1"/>
  <c r="S26" i="5" s="1"/>
  <c r="AC30" i="1"/>
  <c r="M27" i="5" s="1"/>
  <c r="S27" i="5" s="1"/>
  <c r="AC31" i="1"/>
  <c r="M28" i="5" s="1"/>
  <c r="S28" i="5" s="1"/>
  <c r="AC32" i="1"/>
  <c r="M29" i="5" s="1"/>
  <c r="S29" i="5" s="1"/>
  <c r="AC33" i="1"/>
  <c r="M30" i="5" s="1"/>
  <c r="S30" i="5" s="1"/>
  <c r="AC34" i="1"/>
  <c r="AC35" i="1"/>
  <c r="M32" i="5" s="1"/>
  <c r="S32" i="5" s="1"/>
  <c r="AC36" i="1"/>
  <c r="M33" i="5" s="1"/>
  <c r="S33" i="5" s="1"/>
  <c r="W30" i="1"/>
  <c r="W31" i="1"/>
  <c r="W32" i="1"/>
  <c r="W33" i="1"/>
  <c r="W34" i="1"/>
  <c r="W35" i="1"/>
  <c r="W36" i="1"/>
  <c r="W27" i="1"/>
  <c r="W28" i="1"/>
  <c r="W29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11" i="1"/>
  <c r="W12" i="1"/>
  <c r="AC10" i="1"/>
  <c r="W10" i="1"/>
  <c r="Q9" i="1"/>
  <c r="Q131" i="1"/>
  <c r="Q132" i="1" s="1"/>
  <c r="Q134" i="1"/>
  <c r="I131" i="1"/>
  <c r="I132" i="1" s="1"/>
  <c r="M133" i="1"/>
  <c r="Z133" i="1" s="1"/>
  <c r="M36" i="1"/>
  <c r="Z36" i="1" s="1"/>
  <c r="J33" i="5" s="1"/>
  <c r="P33" i="5" s="1"/>
  <c r="M35" i="1"/>
  <c r="Z35" i="1" s="1"/>
  <c r="J32" i="5" s="1"/>
  <c r="P32" i="5" s="1"/>
  <c r="M33" i="1"/>
  <c r="Z33" i="1" s="1"/>
  <c r="J30" i="5" s="1"/>
  <c r="P30" i="5" s="1"/>
  <c r="M32" i="1"/>
  <c r="Z32" i="1" s="1"/>
  <c r="J29" i="5" s="1"/>
  <c r="P29" i="5" s="1"/>
  <c r="M31" i="1"/>
  <c r="Z31" i="1" s="1"/>
  <c r="J28" i="5" s="1"/>
  <c r="P28" i="5" s="1"/>
  <c r="M30" i="1"/>
  <c r="M28" i="1"/>
  <c r="Z28" i="1" s="1"/>
  <c r="J25" i="5" s="1"/>
  <c r="M27" i="1"/>
  <c r="M26" i="1"/>
  <c r="Z26" i="1" s="1"/>
  <c r="J24" i="5" s="1"/>
  <c r="P24" i="5" s="1"/>
  <c r="M25" i="1"/>
  <c r="Z25" i="1" s="1"/>
  <c r="J23" i="5" s="1"/>
  <c r="P23" i="5" s="1"/>
  <c r="M24" i="1"/>
  <c r="Z24" i="1" s="1"/>
  <c r="J22" i="5" s="1"/>
  <c r="P22" i="5" s="1"/>
  <c r="M23" i="1"/>
  <c r="Z23" i="1" s="1"/>
  <c r="J21" i="5" s="1"/>
  <c r="P21" i="5" s="1"/>
  <c r="M22" i="1"/>
  <c r="Z22" i="1" s="1"/>
  <c r="J20" i="5" s="1"/>
  <c r="P20" i="5" s="1"/>
  <c r="M21" i="1"/>
  <c r="Z21" i="1" s="1"/>
  <c r="J19" i="5" s="1"/>
  <c r="P19" i="5" s="1"/>
  <c r="M20" i="1"/>
  <c r="Z20" i="1" s="1"/>
  <c r="J18" i="5" s="1"/>
  <c r="P18" i="5" s="1"/>
  <c r="M19" i="1"/>
  <c r="Z19" i="1" s="1"/>
  <c r="J17" i="5" s="1"/>
  <c r="P17" i="5" s="1"/>
  <c r="M18" i="1"/>
  <c r="Z18" i="1" s="1"/>
  <c r="J16" i="5" s="1"/>
  <c r="P16" i="5" s="1"/>
  <c r="M17" i="1"/>
  <c r="Z17" i="1" s="1"/>
  <c r="J15" i="5" s="1"/>
  <c r="P15" i="5" s="1"/>
  <c r="M16" i="1"/>
  <c r="Z16" i="1" s="1"/>
  <c r="J14" i="5" s="1"/>
  <c r="P14" i="5" s="1"/>
  <c r="M15" i="1"/>
  <c r="Z15" i="1" s="1"/>
  <c r="J13" i="5" s="1"/>
  <c r="P13" i="5" s="1"/>
  <c r="M14" i="1"/>
  <c r="M13" i="1"/>
  <c r="M12" i="1"/>
  <c r="Z12" i="1" s="1"/>
  <c r="J10" i="5" s="1"/>
  <c r="P10" i="5" s="1"/>
  <c r="M11" i="1"/>
  <c r="Z11" i="1" s="1"/>
  <c r="J9" i="5" s="1"/>
  <c r="E136" i="1"/>
  <c r="T136" i="1" s="1"/>
  <c r="E133" i="1"/>
  <c r="E35" i="1"/>
  <c r="T35" i="1" s="1"/>
  <c r="E33" i="1"/>
  <c r="T33" i="1" s="1"/>
  <c r="E32" i="1"/>
  <c r="T32" i="1" s="1"/>
  <c r="E31" i="1"/>
  <c r="T31" i="1" s="1"/>
  <c r="E30" i="1"/>
  <c r="E28" i="1"/>
  <c r="T28" i="1" s="1"/>
  <c r="E27" i="1"/>
  <c r="T27" i="1" s="1"/>
  <c r="E26" i="1"/>
  <c r="T26" i="1" s="1"/>
  <c r="E13" i="1"/>
  <c r="T13" i="1" s="1"/>
  <c r="CW34" i="3" s="1"/>
  <c r="CW35" i="3" s="1"/>
  <c r="E14" i="1"/>
  <c r="T14" i="1" s="1"/>
  <c r="E15" i="1"/>
  <c r="T15" i="1" s="1"/>
  <c r="E16" i="1"/>
  <c r="T16" i="1" s="1"/>
  <c r="E17" i="1"/>
  <c r="T17" i="1" s="1"/>
  <c r="E18" i="1"/>
  <c r="T18" i="1" s="1"/>
  <c r="E19" i="1"/>
  <c r="T19" i="1" s="1"/>
  <c r="E20" i="1"/>
  <c r="T20" i="1" s="1"/>
  <c r="E21" i="1"/>
  <c r="T21" i="1" s="1"/>
  <c r="E22" i="1"/>
  <c r="T22" i="1" s="1"/>
  <c r="E23" i="1"/>
  <c r="T23" i="1" s="1"/>
  <c r="E24" i="1"/>
  <c r="T24" i="1" s="1"/>
  <c r="E25" i="1"/>
  <c r="T25" i="1" s="1"/>
  <c r="E12" i="1"/>
  <c r="E11" i="1"/>
  <c r="T11" i="1" s="1"/>
  <c r="BG34" i="3" s="1"/>
  <c r="BG35" i="3" s="1"/>
  <c r="I9" i="1"/>
  <c r="F131" i="1"/>
  <c r="G131" i="1"/>
  <c r="H131" i="1"/>
  <c r="J131" i="1"/>
  <c r="J132" i="1" s="1"/>
  <c r="X132" i="1" s="1"/>
  <c r="K131" i="1"/>
  <c r="K132" i="1" s="1"/>
  <c r="L131" i="1"/>
  <c r="L132" i="1" s="1"/>
  <c r="Y132" i="1" s="1"/>
  <c r="B131" i="1"/>
  <c r="R131" i="1" s="1"/>
  <c r="C131" i="1"/>
  <c r="C132" i="1" s="1"/>
  <c r="D131" i="1"/>
  <c r="D132" i="1" s="1"/>
  <c r="S132" i="1" s="1"/>
  <c r="E167" i="1"/>
  <c r="T167" i="1" s="1"/>
  <c r="D167" i="1"/>
  <c r="D166" i="1"/>
  <c r="E165" i="1"/>
  <c r="T165" i="1" s="1"/>
  <c r="B165" i="1"/>
  <c r="R165" i="1" s="1"/>
  <c r="T164" i="1"/>
  <c r="D164" i="1"/>
  <c r="B164" i="1" s="1"/>
  <c r="R164" i="1" s="1"/>
  <c r="H163" i="1"/>
  <c r="G163" i="1"/>
  <c r="G162" i="1" s="1"/>
  <c r="F163" i="1"/>
  <c r="D163" i="1"/>
  <c r="E161" i="1"/>
  <c r="H160" i="1"/>
  <c r="W160" i="1" s="1"/>
  <c r="G160" i="1"/>
  <c r="F160" i="1"/>
  <c r="E159" i="1"/>
  <c r="D159" i="1"/>
  <c r="B159" i="1" s="1"/>
  <c r="R159" i="1" s="1"/>
  <c r="E158" i="1"/>
  <c r="B158" i="1" s="1"/>
  <c r="R158" i="1" s="1"/>
  <c r="E157" i="1"/>
  <c r="T157" i="1" s="1"/>
  <c r="BV34" i="3" s="1"/>
  <c r="BV35" i="3" s="1"/>
  <c r="D157" i="1"/>
  <c r="B157" i="1" s="1"/>
  <c r="AB167" i="1"/>
  <c r="AA167" i="1"/>
  <c r="V167" i="1"/>
  <c r="U167" i="1"/>
  <c r="Z167" i="1"/>
  <c r="Y167" i="1"/>
  <c r="AB166" i="1"/>
  <c r="AA166" i="1"/>
  <c r="V166" i="1"/>
  <c r="U166" i="1"/>
  <c r="Z166" i="1"/>
  <c r="Y166" i="1"/>
  <c r="AB165" i="1"/>
  <c r="AA165" i="1"/>
  <c r="Y165" i="1"/>
  <c r="V165" i="1"/>
  <c r="U165" i="1"/>
  <c r="S165" i="1"/>
  <c r="Z165" i="1"/>
  <c r="J165" i="1"/>
  <c r="X165" i="1" s="1"/>
  <c r="AB164" i="1"/>
  <c r="AA164" i="1"/>
  <c r="V164" i="1"/>
  <c r="U164" i="1"/>
  <c r="Z164" i="1"/>
  <c r="J164" i="1"/>
  <c r="X164" i="1" s="1"/>
  <c r="P163" i="1"/>
  <c r="AC163" i="1" s="1"/>
  <c r="O163" i="1"/>
  <c r="N163" i="1"/>
  <c r="AA161" i="1"/>
  <c r="Y161" i="1"/>
  <c r="U161" i="1"/>
  <c r="S161" i="1"/>
  <c r="AB161" i="1"/>
  <c r="P160" i="1"/>
  <c r="AC160" i="1" s="1"/>
  <c r="O160" i="1"/>
  <c r="AB160" i="1" s="1"/>
  <c r="N160" i="1"/>
  <c r="V160" i="1"/>
  <c r="AB159" i="1"/>
  <c r="AA159" i="1"/>
  <c r="V159" i="1"/>
  <c r="U159" i="1"/>
  <c r="Z159" i="1"/>
  <c r="L159" i="1"/>
  <c r="Y159" i="1" s="1"/>
  <c r="AB158" i="1"/>
  <c r="AA158" i="1"/>
  <c r="Y158" i="1"/>
  <c r="AI158" i="1"/>
  <c r="V158" i="1"/>
  <c r="U158" i="1"/>
  <c r="S158" i="1"/>
  <c r="AB157" i="1"/>
  <c r="AA157" i="1"/>
  <c r="V157" i="1"/>
  <c r="U157" i="1"/>
  <c r="Z157" i="1"/>
  <c r="BY34" i="3" s="1"/>
  <c r="BY35" i="3" s="1"/>
  <c r="K151" i="1"/>
  <c r="C151" i="1"/>
  <c r="AB150" i="1"/>
  <c r="AA150" i="1"/>
  <c r="Y150" i="1"/>
  <c r="X150" i="1"/>
  <c r="V150" i="1"/>
  <c r="U150" i="1"/>
  <c r="S150" i="1"/>
  <c r="R150" i="1"/>
  <c r="Z150" i="1"/>
  <c r="T150" i="1"/>
  <c r="AB149" i="1"/>
  <c r="AA149" i="1"/>
  <c r="Y149" i="1"/>
  <c r="X149" i="1"/>
  <c r="V149" i="1"/>
  <c r="U149" i="1"/>
  <c r="S149" i="1"/>
  <c r="R149" i="1"/>
  <c r="Z149" i="1"/>
  <c r="T149" i="1"/>
  <c r="AI148" i="1"/>
  <c r="AB148" i="1"/>
  <c r="AA148" i="1"/>
  <c r="Y148" i="1"/>
  <c r="X148" i="1"/>
  <c r="V148" i="1"/>
  <c r="U148" i="1"/>
  <c r="S148" i="1"/>
  <c r="R148" i="1"/>
  <c r="Z148" i="1"/>
  <c r="T148" i="1"/>
  <c r="AB147" i="1"/>
  <c r="AA147" i="1"/>
  <c r="Y147" i="1"/>
  <c r="X147" i="1"/>
  <c r="V147" i="1"/>
  <c r="U147" i="1"/>
  <c r="S147" i="1"/>
  <c r="R147" i="1"/>
  <c r="Z147" i="1"/>
  <c r="T147" i="1"/>
  <c r="AB146" i="1"/>
  <c r="AA146" i="1"/>
  <c r="Y146" i="1"/>
  <c r="X146" i="1"/>
  <c r="V146" i="1"/>
  <c r="U146" i="1"/>
  <c r="S146" i="1"/>
  <c r="R146" i="1"/>
  <c r="Z146" i="1"/>
  <c r="T146" i="1"/>
  <c r="AB145" i="1"/>
  <c r="AA145" i="1"/>
  <c r="Y145" i="1"/>
  <c r="X145" i="1"/>
  <c r="V145" i="1"/>
  <c r="U145" i="1"/>
  <c r="S145" i="1"/>
  <c r="R145" i="1"/>
  <c r="Z145" i="1"/>
  <c r="T145" i="1"/>
  <c r="AB144" i="1"/>
  <c r="AA144" i="1"/>
  <c r="Y144" i="1"/>
  <c r="X144" i="1"/>
  <c r="V144" i="1"/>
  <c r="U144" i="1"/>
  <c r="S144" i="1"/>
  <c r="R144" i="1"/>
  <c r="Z144" i="1"/>
  <c r="T144" i="1"/>
  <c r="AB143" i="1"/>
  <c r="AA143" i="1"/>
  <c r="Y143" i="1"/>
  <c r="X143" i="1"/>
  <c r="V143" i="1"/>
  <c r="U143" i="1"/>
  <c r="Z143" i="1"/>
  <c r="AB136" i="1"/>
  <c r="AA136" i="1"/>
  <c r="Y136" i="1"/>
  <c r="X136" i="1"/>
  <c r="V136" i="1"/>
  <c r="U136" i="1"/>
  <c r="S136" i="1"/>
  <c r="R136" i="1"/>
  <c r="Z136" i="1"/>
  <c r="P134" i="1"/>
  <c r="O134" i="1"/>
  <c r="N134" i="1"/>
  <c r="L134" i="1"/>
  <c r="K134" i="1"/>
  <c r="J134" i="1"/>
  <c r="H134" i="1"/>
  <c r="G134" i="1"/>
  <c r="F134" i="1"/>
  <c r="D134" i="1"/>
  <c r="C134" i="1"/>
  <c r="B134" i="1"/>
  <c r="AB133" i="1"/>
  <c r="AA133" i="1"/>
  <c r="K53" i="8" s="1"/>
  <c r="Q53" i="8" s="1"/>
  <c r="Y133" i="1"/>
  <c r="I53" i="8" s="1"/>
  <c r="O53" i="8" s="1"/>
  <c r="X133" i="1"/>
  <c r="H53" i="8" s="1"/>
  <c r="N53" i="8" s="1"/>
  <c r="V133" i="1"/>
  <c r="U133" i="1"/>
  <c r="S133" i="1"/>
  <c r="R133" i="1"/>
  <c r="P131" i="1"/>
  <c r="O131" i="1"/>
  <c r="AB131" i="1" s="1"/>
  <c r="L52" i="8" s="1"/>
  <c r="R52" i="8" s="1"/>
  <c r="N131" i="1"/>
  <c r="AB130" i="1"/>
  <c r="AA130" i="1"/>
  <c r="Y130" i="1"/>
  <c r="X130" i="1"/>
  <c r="V130" i="1"/>
  <c r="U130" i="1"/>
  <c r="S130" i="1"/>
  <c r="R130" i="1"/>
  <c r="AB129" i="1"/>
  <c r="AA129" i="1"/>
  <c r="Y129" i="1"/>
  <c r="X129" i="1"/>
  <c r="V129" i="1"/>
  <c r="U129" i="1"/>
  <c r="S129" i="1"/>
  <c r="R129" i="1"/>
  <c r="AB128" i="1"/>
  <c r="AA128" i="1"/>
  <c r="Y128" i="1"/>
  <c r="X128" i="1"/>
  <c r="V128" i="1"/>
  <c r="U128" i="1"/>
  <c r="S128" i="1"/>
  <c r="R128" i="1"/>
  <c r="AB127" i="1"/>
  <c r="L51" i="8" s="1"/>
  <c r="R51" i="8" s="1"/>
  <c r="AA127" i="1"/>
  <c r="K51" i="8" s="1"/>
  <c r="Q51" i="8" s="1"/>
  <c r="Y127" i="1"/>
  <c r="I51" i="8" s="1"/>
  <c r="O51" i="8" s="1"/>
  <c r="X127" i="1"/>
  <c r="H51" i="8" s="1"/>
  <c r="V127" i="1"/>
  <c r="U127" i="1"/>
  <c r="S127" i="1"/>
  <c r="R127" i="1"/>
  <c r="AB126" i="1"/>
  <c r="L50" i="8" s="1"/>
  <c r="R50" i="8" s="1"/>
  <c r="AA126" i="1"/>
  <c r="K50" i="8" s="1"/>
  <c r="Q50" i="8" s="1"/>
  <c r="Y126" i="1"/>
  <c r="I50" i="8" s="1"/>
  <c r="O50" i="8" s="1"/>
  <c r="X126" i="1"/>
  <c r="H50" i="8" s="1"/>
  <c r="N50" i="8" s="1"/>
  <c r="V126" i="1"/>
  <c r="U126" i="1"/>
  <c r="S126" i="1"/>
  <c r="AE126" i="1" s="1"/>
  <c r="R126" i="1"/>
  <c r="Z126" i="1"/>
  <c r="J50" i="8" s="1"/>
  <c r="P50" i="8" s="1"/>
  <c r="T126" i="1"/>
  <c r="AB125" i="1"/>
  <c r="L49" i="8" s="1"/>
  <c r="R49" i="8" s="1"/>
  <c r="AA125" i="1"/>
  <c r="K49" i="8" s="1"/>
  <c r="Q49" i="8" s="1"/>
  <c r="Y125" i="1"/>
  <c r="I49" i="8" s="1"/>
  <c r="O49" i="8" s="1"/>
  <c r="X125" i="1"/>
  <c r="H49" i="8" s="1"/>
  <c r="N49" i="8" s="1"/>
  <c r="V125" i="1"/>
  <c r="U125" i="1"/>
  <c r="S125" i="1"/>
  <c r="R125" i="1"/>
  <c r="Z125" i="1"/>
  <c r="J49" i="8" s="1"/>
  <c r="P49" i="8" s="1"/>
  <c r="T125" i="1"/>
  <c r="AB124" i="1"/>
  <c r="Y124" i="1"/>
  <c r="V124" i="1"/>
  <c r="S124" i="1"/>
  <c r="AB123" i="1"/>
  <c r="L48" i="8" s="1"/>
  <c r="R48" i="8" s="1"/>
  <c r="AA123" i="1"/>
  <c r="K48" i="8" s="1"/>
  <c r="Q48" i="8" s="1"/>
  <c r="Y123" i="1"/>
  <c r="I48" i="8" s="1"/>
  <c r="O48" i="8" s="1"/>
  <c r="X123" i="1"/>
  <c r="H48" i="8" s="1"/>
  <c r="V123" i="1"/>
  <c r="U123" i="1"/>
  <c r="S123" i="1"/>
  <c r="R123" i="1"/>
  <c r="Z123" i="1"/>
  <c r="J48" i="8" s="1"/>
  <c r="P48" i="8" s="1"/>
  <c r="T123" i="1"/>
  <c r="AB112" i="1"/>
  <c r="Y112" i="1"/>
  <c r="X112" i="1"/>
  <c r="V112" i="1"/>
  <c r="S112" i="1"/>
  <c r="R112" i="1"/>
  <c r="Z111" i="1"/>
  <c r="J42" i="8" s="1"/>
  <c r="T111" i="1"/>
  <c r="AB111" i="1"/>
  <c r="L42" i="8" s="1"/>
  <c r="R42" i="8" s="1"/>
  <c r="AA111" i="1"/>
  <c r="K42" i="8" s="1"/>
  <c r="Q42" i="8" s="1"/>
  <c r="Y111" i="1"/>
  <c r="I42" i="8" s="1"/>
  <c r="O42" i="8" s="1"/>
  <c r="X111" i="1"/>
  <c r="H42" i="8" s="1"/>
  <c r="V111" i="1"/>
  <c r="U111" i="1"/>
  <c r="S111" i="1"/>
  <c r="R111" i="1"/>
  <c r="AB110" i="1"/>
  <c r="Y110" i="1"/>
  <c r="X110" i="1"/>
  <c r="V110" i="1"/>
  <c r="S110" i="1"/>
  <c r="R110" i="1"/>
  <c r="Z109" i="1"/>
  <c r="J41" i="8" s="1"/>
  <c r="P41" i="8" s="1"/>
  <c r="T109" i="1"/>
  <c r="AB109" i="1"/>
  <c r="L41" i="8" s="1"/>
  <c r="R41" i="8" s="1"/>
  <c r="AA109" i="1"/>
  <c r="K41" i="8" s="1"/>
  <c r="Q41" i="8" s="1"/>
  <c r="Y109" i="1"/>
  <c r="I41" i="8" s="1"/>
  <c r="O41" i="8" s="1"/>
  <c r="X109" i="1"/>
  <c r="H41" i="8" s="1"/>
  <c r="N41" i="8" s="1"/>
  <c r="V109" i="1"/>
  <c r="U109" i="1"/>
  <c r="S109" i="1"/>
  <c r="R109" i="1"/>
  <c r="AB108" i="1"/>
  <c r="L40" i="8" s="1"/>
  <c r="R40" i="8" s="1"/>
  <c r="AA108" i="1"/>
  <c r="K40" i="8" s="1"/>
  <c r="Q40" i="8" s="1"/>
  <c r="Y108" i="1"/>
  <c r="I40" i="8" s="1"/>
  <c r="O40" i="8" s="1"/>
  <c r="X108" i="1"/>
  <c r="H40" i="8" s="1"/>
  <c r="N40" i="8" s="1"/>
  <c r="V108" i="1"/>
  <c r="U108" i="1"/>
  <c r="S108" i="1"/>
  <c r="R108" i="1"/>
  <c r="Z108" i="1"/>
  <c r="J40" i="8" s="1"/>
  <c r="P40" i="8" s="1"/>
  <c r="T108" i="1"/>
  <c r="AB107" i="1"/>
  <c r="L39" i="8" s="1"/>
  <c r="R39" i="8" s="1"/>
  <c r="AA107" i="1"/>
  <c r="K39" i="8" s="1"/>
  <c r="Q39" i="8" s="1"/>
  <c r="Y107" i="1"/>
  <c r="I39" i="8" s="1"/>
  <c r="O39" i="8" s="1"/>
  <c r="X107" i="1"/>
  <c r="H39" i="8" s="1"/>
  <c r="N39" i="8" s="1"/>
  <c r="V107" i="1"/>
  <c r="U107" i="1"/>
  <c r="S107" i="1"/>
  <c r="R107" i="1"/>
  <c r="Z107" i="1"/>
  <c r="J39" i="8" s="1"/>
  <c r="P39" i="8" s="1"/>
  <c r="T107" i="1"/>
  <c r="AB106" i="1"/>
  <c r="AA106" i="1"/>
  <c r="Y106" i="1"/>
  <c r="X106" i="1"/>
  <c r="V106" i="1"/>
  <c r="U106" i="1"/>
  <c r="S106" i="1"/>
  <c r="Z105" i="1"/>
  <c r="J38" i="8" s="1"/>
  <c r="P38" i="8" s="1"/>
  <c r="T105" i="1"/>
  <c r="AB105" i="1"/>
  <c r="L38" i="8" s="1"/>
  <c r="R38" i="8" s="1"/>
  <c r="AA105" i="1"/>
  <c r="K38" i="8" s="1"/>
  <c r="Q38" i="8" s="1"/>
  <c r="Y105" i="1"/>
  <c r="I38" i="8" s="1"/>
  <c r="O38" i="8" s="1"/>
  <c r="X105" i="1"/>
  <c r="H38" i="8" s="1"/>
  <c r="V105" i="1"/>
  <c r="U105" i="1"/>
  <c r="S105" i="1"/>
  <c r="R105" i="1"/>
  <c r="AB104" i="1"/>
  <c r="Y104" i="1"/>
  <c r="V104" i="1"/>
  <c r="S104" i="1"/>
  <c r="R104" i="1"/>
  <c r="AB103" i="1"/>
  <c r="L37" i="8" s="1"/>
  <c r="R37" i="8" s="1"/>
  <c r="AA103" i="1"/>
  <c r="K37" i="8" s="1"/>
  <c r="Q37" i="8" s="1"/>
  <c r="Y103" i="1"/>
  <c r="I37" i="8" s="1"/>
  <c r="O37" i="8" s="1"/>
  <c r="X103" i="1"/>
  <c r="H37" i="8" s="1"/>
  <c r="V103" i="1"/>
  <c r="U103" i="1"/>
  <c r="S103" i="1"/>
  <c r="R103" i="1"/>
  <c r="Z103" i="1"/>
  <c r="J37" i="8" s="1"/>
  <c r="P37" i="8" s="1"/>
  <c r="T103" i="1"/>
  <c r="AB88" i="1"/>
  <c r="Y88" i="1"/>
  <c r="X88" i="1"/>
  <c r="V88" i="1"/>
  <c r="S88" i="1"/>
  <c r="R88" i="1"/>
  <c r="Z87" i="1"/>
  <c r="J29" i="8" s="1"/>
  <c r="P29" i="8" s="1"/>
  <c r="T87" i="1"/>
  <c r="AB87" i="1"/>
  <c r="L29" i="8" s="1"/>
  <c r="R29" i="8" s="1"/>
  <c r="AA87" i="1"/>
  <c r="K29" i="8" s="1"/>
  <c r="Q29" i="8" s="1"/>
  <c r="Y87" i="1"/>
  <c r="I29" i="8" s="1"/>
  <c r="O29" i="8" s="1"/>
  <c r="X87" i="1"/>
  <c r="H29" i="8" s="1"/>
  <c r="V87" i="1"/>
  <c r="U87" i="1"/>
  <c r="S87" i="1"/>
  <c r="R87" i="1"/>
  <c r="AB86" i="1"/>
  <c r="Y86" i="1"/>
  <c r="V86" i="1"/>
  <c r="S86" i="1"/>
  <c r="AB85" i="1"/>
  <c r="L28" i="8" s="1"/>
  <c r="R28" i="8" s="1"/>
  <c r="AA85" i="1"/>
  <c r="K28" i="8" s="1"/>
  <c r="Q28" i="8" s="1"/>
  <c r="Y85" i="1"/>
  <c r="I28" i="8" s="1"/>
  <c r="O28" i="8" s="1"/>
  <c r="X85" i="1"/>
  <c r="H28" i="8" s="1"/>
  <c r="V85" i="1"/>
  <c r="U85" i="1"/>
  <c r="S85" i="1"/>
  <c r="R85" i="1"/>
  <c r="Z85" i="1"/>
  <c r="J28" i="8" s="1"/>
  <c r="P28" i="8" s="1"/>
  <c r="T85" i="1"/>
  <c r="AB84" i="1"/>
  <c r="Y84" i="1"/>
  <c r="V84" i="1"/>
  <c r="S84" i="1"/>
  <c r="AB83" i="1"/>
  <c r="L27" i="8" s="1"/>
  <c r="R27" i="8" s="1"/>
  <c r="AA83" i="1"/>
  <c r="K27" i="8" s="1"/>
  <c r="Q27" i="8" s="1"/>
  <c r="Y83" i="1"/>
  <c r="I27" i="8" s="1"/>
  <c r="O27" i="8" s="1"/>
  <c r="X83" i="1"/>
  <c r="H27" i="8" s="1"/>
  <c r="N27" i="8" s="1"/>
  <c r="V83" i="1"/>
  <c r="U83" i="1"/>
  <c r="S83" i="1"/>
  <c r="R83" i="1"/>
  <c r="Z83" i="1"/>
  <c r="J27" i="8" s="1"/>
  <c r="P27" i="8" s="1"/>
  <c r="T83" i="1"/>
  <c r="AB82" i="1"/>
  <c r="Y82" i="1"/>
  <c r="V82" i="1"/>
  <c r="S82" i="1"/>
  <c r="AB81" i="1"/>
  <c r="L26" i="8" s="1"/>
  <c r="R26" i="8" s="1"/>
  <c r="AA81" i="1"/>
  <c r="K26" i="8" s="1"/>
  <c r="Q26" i="8" s="1"/>
  <c r="Y81" i="1"/>
  <c r="I26" i="8" s="1"/>
  <c r="O26" i="8" s="1"/>
  <c r="X81" i="1"/>
  <c r="H26" i="8" s="1"/>
  <c r="N26" i="8" s="1"/>
  <c r="V81" i="1"/>
  <c r="U81" i="1"/>
  <c r="S81" i="1"/>
  <c r="R81" i="1"/>
  <c r="Z81" i="1"/>
  <c r="J26" i="8" s="1"/>
  <c r="P26" i="8" s="1"/>
  <c r="T81" i="1"/>
  <c r="AB80" i="1"/>
  <c r="Y80" i="1"/>
  <c r="V80" i="1"/>
  <c r="S80" i="1"/>
  <c r="T79" i="1"/>
  <c r="AB79" i="1"/>
  <c r="L25" i="8" s="1"/>
  <c r="R25" i="8" s="1"/>
  <c r="AA79" i="1"/>
  <c r="K25" i="8" s="1"/>
  <c r="Q25" i="8" s="1"/>
  <c r="Y79" i="1"/>
  <c r="I25" i="8" s="1"/>
  <c r="O25" i="8" s="1"/>
  <c r="X79" i="1"/>
  <c r="H25" i="8" s="1"/>
  <c r="N25" i="8" s="1"/>
  <c r="V79" i="1"/>
  <c r="U79" i="1"/>
  <c r="S79" i="1"/>
  <c r="R79" i="1"/>
  <c r="Z79" i="1"/>
  <c r="J25" i="8" s="1"/>
  <c r="P25" i="8" s="1"/>
  <c r="AB78" i="1"/>
  <c r="Y78" i="1"/>
  <c r="V78" i="1"/>
  <c r="S78" i="1"/>
  <c r="AB77" i="1"/>
  <c r="L24" i="8" s="1"/>
  <c r="R24" i="8" s="1"/>
  <c r="AA77" i="1"/>
  <c r="K24" i="8" s="1"/>
  <c r="Q24" i="8" s="1"/>
  <c r="Y77" i="1"/>
  <c r="I24" i="8" s="1"/>
  <c r="O24" i="8" s="1"/>
  <c r="X77" i="1"/>
  <c r="H24" i="8" s="1"/>
  <c r="N24" i="8" s="1"/>
  <c r="V77" i="1"/>
  <c r="U77" i="1"/>
  <c r="S77" i="1"/>
  <c r="R77" i="1"/>
  <c r="Z77" i="1"/>
  <c r="J24" i="8" s="1"/>
  <c r="P24" i="8" s="1"/>
  <c r="T77" i="1"/>
  <c r="AB76" i="1"/>
  <c r="Y76" i="1"/>
  <c r="X76" i="1"/>
  <c r="V76" i="1"/>
  <c r="S76" i="1"/>
  <c r="R76" i="1"/>
  <c r="AB75" i="1"/>
  <c r="L23" i="8" s="1"/>
  <c r="R23" i="8" s="1"/>
  <c r="AA75" i="1"/>
  <c r="K23" i="8" s="1"/>
  <c r="Q23" i="8" s="1"/>
  <c r="Y75" i="1"/>
  <c r="I23" i="8" s="1"/>
  <c r="O23" i="8" s="1"/>
  <c r="X75" i="1"/>
  <c r="H23" i="8" s="1"/>
  <c r="V75" i="1"/>
  <c r="U75" i="1"/>
  <c r="S75" i="1"/>
  <c r="R75" i="1"/>
  <c r="Z75" i="1"/>
  <c r="J23" i="8" s="1"/>
  <c r="P23" i="8" s="1"/>
  <c r="T75" i="1"/>
  <c r="AB74" i="1"/>
  <c r="Y74" i="1"/>
  <c r="X74" i="1"/>
  <c r="V74" i="1"/>
  <c r="U74" i="1"/>
  <c r="S74" i="1"/>
  <c r="R74" i="1"/>
  <c r="T74" i="1"/>
  <c r="AB73" i="1"/>
  <c r="L22" i="8" s="1"/>
  <c r="R22" i="8" s="1"/>
  <c r="AA73" i="1"/>
  <c r="K22" i="8" s="1"/>
  <c r="Q22" i="8" s="1"/>
  <c r="Y73" i="1"/>
  <c r="I22" i="8" s="1"/>
  <c r="O22" i="8" s="1"/>
  <c r="X73" i="1"/>
  <c r="H22" i="8" s="1"/>
  <c r="N22" i="8" s="1"/>
  <c r="V73" i="1"/>
  <c r="U73" i="1"/>
  <c r="S73" i="1"/>
  <c r="R73" i="1"/>
  <c r="Z73" i="1"/>
  <c r="J22" i="8" s="1"/>
  <c r="P22" i="8" s="1"/>
  <c r="T73" i="1"/>
  <c r="AB72" i="1"/>
  <c r="Y72" i="1"/>
  <c r="V72" i="1"/>
  <c r="S72" i="1"/>
  <c r="AB71" i="1"/>
  <c r="L21" i="8" s="1"/>
  <c r="R21" i="8" s="1"/>
  <c r="AA71" i="1"/>
  <c r="K21" i="8" s="1"/>
  <c r="Q21" i="8" s="1"/>
  <c r="Y71" i="1"/>
  <c r="I21" i="8" s="1"/>
  <c r="O21" i="8" s="1"/>
  <c r="X71" i="1"/>
  <c r="H21" i="8" s="1"/>
  <c r="N21" i="8" s="1"/>
  <c r="V71" i="1"/>
  <c r="U71" i="1"/>
  <c r="S71" i="1"/>
  <c r="R71" i="1"/>
  <c r="Z71" i="1"/>
  <c r="J21" i="8" s="1"/>
  <c r="P21" i="8" s="1"/>
  <c r="T71" i="1"/>
  <c r="AB70" i="1"/>
  <c r="Y70" i="1"/>
  <c r="X70" i="1"/>
  <c r="V70" i="1"/>
  <c r="S70" i="1"/>
  <c r="R70" i="1"/>
  <c r="Z69" i="1"/>
  <c r="J20" i="8" s="1"/>
  <c r="P20" i="8" s="1"/>
  <c r="T69" i="1"/>
  <c r="AB69" i="1"/>
  <c r="L20" i="8" s="1"/>
  <c r="R20" i="8" s="1"/>
  <c r="AA69" i="1"/>
  <c r="K20" i="8" s="1"/>
  <c r="Q20" i="8" s="1"/>
  <c r="Y69" i="1"/>
  <c r="I20" i="8" s="1"/>
  <c r="O20" i="8" s="1"/>
  <c r="X69" i="1"/>
  <c r="H20" i="8" s="1"/>
  <c r="N20" i="8" s="1"/>
  <c r="V69" i="1"/>
  <c r="U69" i="1"/>
  <c r="S69" i="1"/>
  <c r="R69" i="1"/>
  <c r="AB68" i="1"/>
  <c r="Y68" i="1"/>
  <c r="V68" i="1"/>
  <c r="S68" i="1"/>
  <c r="T67" i="1"/>
  <c r="AB67" i="1"/>
  <c r="L19" i="8" s="1"/>
  <c r="R19" i="8" s="1"/>
  <c r="AA67" i="1"/>
  <c r="K19" i="8" s="1"/>
  <c r="Q19" i="8" s="1"/>
  <c r="Y67" i="1"/>
  <c r="I19" i="8" s="1"/>
  <c r="O19" i="8" s="1"/>
  <c r="X67" i="1"/>
  <c r="H19" i="8" s="1"/>
  <c r="N19" i="8" s="1"/>
  <c r="V67" i="1"/>
  <c r="U67" i="1"/>
  <c r="S67" i="1"/>
  <c r="R67" i="1"/>
  <c r="Z67" i="1"/>
  <c r="J19" i="8" s="1"/>
  <c r="P19" i="8" s="1"/>
  <c r="AB66" i="1"/>
  <c r="Y66" i="1"/>
  <c r="V66" i="1"/>
  <c r="S66" i="1"/>
  <c r="T65" i="1"/>
  <c r="AB65" i="1"/>
  <c r="L18" i="8" s="1"/>
  <c r="R18" i="8" s="1"/>
  <c r="AA65" i="1"/>
  <c r="K18" i="8" s="1"/>
  <c r="Q18" i="8" s="1"/>
  <c r="Y65" i="1"/>
  <c r="I18" i="8" s="1"/>
  <c r="O18" i="8" s="1"/>
  <c r="X65" i="1"/>
  <c r="H18" i="8" s="1"/>
  <c r="N18" i="8" s="1"/>
  <c r="V65" i="1"/>
  <c r="U65" i="1"/>
  <c r="S65" i="1"/>
  <c r="R65" i="1"/>
  <c r="Z65" i="1"/>
  <c r="J18" i="8" s="1"/>
  <c r="P18" i="8" s="1"/>
  <c r="AB64" i="1"/>
  <c r="Y64" i="1"/>
  <c r="V64" i="1"/>
  <c r="S64" i="1"/>
  <c r="T63" i="1"/>
  <c r="AB63" i="1"/>
  <c r="L17" i="8" s="1"/>
  <c r="R17" i="8" s="1"/>
  <c r="AA63" i="1"/>
  <c r="K17" i="8" s="1"/>
  <c r="Q17" i="8" s="1"/>
  <c r="Y63" i="1"/>
  <c r="I17" i="8" s="1"/>
  <c r="O17" i="8" s="1"/>
  <c r="X63" i="1"/>
  <c r="H17" i="8" s="1"/>
  <c r="N17" i="8" s="1"/>
  <c r="V63" i="1"/>
  <c r="U63" i="1"/>
  <c r="S63" i="1"/>
  <c r="R63" i="1"/>
  <c r="Z63" i="1"/>
  <c r="J17" i="8" s="1"/>
  <c r="P17" i="8" s="1"/>
  <c r="AB62" i="1"/>
  <c r="Y62" i="1"/>
  <c r="V62" i="1"/>
  <c r="S62" i="1"/>
  <c r="Z61" i="1"/>
  <c r="J16" i="8" s="1"/>
  <c r="P16" i="8" s="1"/>
  <c r="T61" i="1"/>
  <c r="AB61" i="1"/>
  <c r="L16" i="8" s="1"/>
  <c r="R16" i="8" s="1"/>
  <c r="AA61" i="1"/>
  <c r="K16" i="8" s="1"/>
  <c r="Q16" i="8" s="1"/>
  <c r="Y61" i="1"/>
  <c r="I16" i="8" s="1"/>
  <c r="O16" i="8" s="1"/>
  <c r="X61" i="1"/>
  <c r="H16" i="8" s="1"/>
  <c r="N16" i="8" s="1"/>
  <c r="V61" i="1"/>
  <c r="U61" i="1"/>
  <c r="S61" i="1"/>
  <c r="R61" i="1"/>
  <c r="AB60" i="1"/>
  <c r="Y60" i="1"/>
  <c r="V60" i="1"/>
  <c r="S60" i="1"/>
  <c r="Z59" i="1"/>
  <c r="J15" i="8" s="1"/>
  <c r="P15" i="8" s="1"/>
  <c r="T59" i="1"/>
  <c r="AB59" i="1"/>
  <c r="L15" i="8" s="1"/>
  <c r="R15" i="8" s="1"/>
  <c r="AA59" i="1"/>
  <c r="K15" i="8" s="1"/>
  <c r="Q15" i="8" s="1"/>
  <c r="Y59" i="1"/>
  <c r="I15" i="8" s="1"/>
  <c r="O15" i="8" s="1"/>
  <c r="X59" i="1"/>
  <c r="H15" i="8" s="1"/>
  <c r="N15" i="8" s="1"/>
  <c r="V59" i="1"/>
  <c r="U59" i="1"/>
  <c r="AG59" i="1" s="1"/>
  <c r="S59" i="1"/>
  <c r="R59" i="1"/>
  <c r="AB58" i="1"/>
  <c r="L14" i="8" s="1"/>
  <c r="R14" i="8" s="1"/>
  <c r="AA58" i="1"/>
  <c r="K14" i="8" s="1"/>
  <c r="Q14" i="8" s="1"/>
  <c r="Y58" i="1"/>
  <c r="I14" i="8" s="1"/>
  <c r="O14" i="8" s="1"/>
  <c r="X58" i="1"/>
  <c r="H14" i="8" s="1"/>
  <c r="N14" i="8" s="1"/>
  <c r="V58" i="1"/>
  <c r="U58" i="1"/>
  <c r="S58" i="1"/>
  <c r="R58" i="1"/>
  <c r="Z58" i="1"/>
  <c r="J14" i="8" s="1"/>
  <c r="P14" i="8" s="1"/>
  <c r="T58" i="1"/>
  <c r="AB57" i="1"/>
  <c r="Y57" i="1"/>
  <c r="X57" i="1"/>
  <c r="V57" i="1"/>
  <c r="S57" i="1"/>
  <c r="R57" i="1"/>
  <c r="Z56" i="1"/>
  <c r="J13" i="8" s="1"/>
  <c r="P13" i="8" s="1"/>
  <c r="T56" i="1"/>
  <c r="AB56" i="1"/>
  <c r="L13" i="8" s="1"/>
  <c r="R13" i="8" s="1"/>
  <c r="AA56" i="1"/>
  <c r="K13" i="8" s="1"/>
  <c r="Q13" i="8" s="1"/>
  <c r="Y56" i="1"/>
  <c r="I13" i="8" s="1"/>
  <c r="O13" i="8" s="1"/>
  <c r="X56" i="1"/>
  <c r="H13" i="8" s="1"/>
  <c r="V56" i="1"/>
  <c r="U56" i="1"/>
  <c r="S56" i="1"/>
  <c r="R56" i="1"/>
  <c r="AB55" i="1"/>
  <c r="AA55" i="1"/>
  <c r="Y55" i="1"/>
  <c r="V55" i="1"/>
  <c r="S55" i="1"/>
  <c r="Z54" i="1"/>
  <c r="J12" i="8" s="1"/>
  <c r="P12" i="8" s="1"/>
  <c r="T54" i="1"/>
  <c r="AB54" i="1"/>
  <c r="L12" i="8" s="1"/>
  <c r="R12" i="8" s="1"/>
  <c r="AA54" i="1"/>
  <c r="K12" i="8" s="1"/>
  <c r="Q12" i="8" s="1"/>
  <c r="Y54" i="1"/>
  <c r="I12" i="8" s="1"/>
  <c r="O12" i="8" s="1"/>
  <c r="X54" i="1"/>
  <c r="H12" i="8" s="1"/>
  <c r="V54" i="1"/>
  <c r="U54" i="1"/>
  <c r="AG54" i="1" s="1"/>
  <c r="S54" i="1"/>
  <c r="R54" i="1"/>
  <c r="AB52" i="1"/>
  <c r="L11" i="8" s="1"/>
  <c r="R11" i="8" s="1"/>
  <c r="AA52" i="1"/>
  <c r="K11" i="8" s="1"/>
  <c r="Q11" i="8" s="1"/>
  <c r="Y52" i="1"/>
  <c r="I11" i="8" s="1"/>
  <c r="O11" i="8" s="1"/>
  <c r="X52" i="1"/>
  <c r="H11" i="8" s="1"/>
  <c r="V52" i="1"/>
  <c r="U52" i="1"/>
  <c r="S52" i="1"/>
  <c r="R52" i="1"/>
  <c r="Z52" i="1"/>
  <c r="J11" i="8" s="1"/>
  <c r="P11" i="8" s="1"/>
  <c r="T52" i="1"/>
  <c r="AB51" i="1"/>
  <c r="Y51" i="1"/>
  <c r="V51" i="1"/>
  <c r="S51" i="1"/>
  <c r="R51" i="1"/>
  <c r="AD51" i="1" s="1"/>
  <c r="Z50" i="1"/>
  <c r="J10" i="8" s="1"/>
  <c r="AB50" i="1"/>
  <c r="L10" i="8" s="1"/>
  <c r="R10" i="8" s="1"/>
  <c r="AA50" i="1"/>
  <c r="K10" i="8" s="1"/>
  <c r="Q10" i="8" s="1"/>
  <c r="Y50" i="1"/>
  <c r="I10" i="8" s="1"/>
  <c r="O10" i="8" s="1"/>
  <c r="X50" i="1"/>
  <c r="H10" i="8" s="1"/>
  <c r="V50" i="1"/>
  <c r="U50" i="1"/>
  <c r="S50" i="1"/>
  <c r="R50" i="1"/>
  <c r="AB49" i="1"/>
  <c r="AA49" i="1"/>
  <c r="Y49" i="1"/>
  <c r="X49" i="1"/>
  <c r="V49" i="1"/>
  <c r="U49" i="1"/>
  <c r="S49" i="1"/>
  <c r="R49" i="1"/>
  <c r="P39" i="1"/>
  <c r="P40" i="1" s="1"/>
  <c r="O39" i="1"/>
  <c r="O40" i="1" s="1"/>
  <c r="N39" i="1"/>
  <c r="N40" i="1" s="1"/>
  <c r="L39" i="1"/>
  <c r="L40" i="1" s="1"/>
  <c r="K39" i="1"/>
  <c r="K40" i="1" s="1"/>
  <c r="J39" i="1"/>
  <c r="J40" i="1" s="1"/>
  <c r="H39" i="1"/>
  <c r="H40" i="1" s="1"/>
  <c r="G39" i="1"/>
  <c r="G40" i="1" s="1"/>
  <c r="F39" i="1"/>
  <c r="F40" i="1" s="1"/>
  <c r="D39" i="1"/>
  <c r="D40" i="1" s="1"/>
  <c r="C39" i="1"/>
  <c r="C40" i="1" s="1"/>
  <c r="B39" i="1"/>
  <c r="B40" i="1" s="1"/>
  <c r="AB36" i="1"/>
  <c r="L33" i="5" s="1"/>
  <c r="R33" i="5" s="1"/>
  <c r="AA36" i="1"/>
  <c r="K33" i="5" s="1"/>
  <c r="Q33" i="5" s="1"/>
  <c r="Y36" i="1"/>
  <c r="I33" i="5" s="1"/>
  <c r="O33" i="5" s="1"/>
  <c r="X36" i="1"/>
  <c r="H33" i="5" s="1"/>
  <c r="N33" i="5" s="1"/>
  <c r="V36" i="1"/>
  <c r="U36" i="1"/>
  <c r="S36" i="1"/>
  <c r="R36" i="1"/>
  <c r="E36" i="1"/>
  <c r="T36" i="1" s="1"/>
  <c r="AB35" i="1"/>
  <c r="L32" i="5" s="1"/>
  <c r="R32" i="5" s="1"/>
  <c r="AA35" i="1"/>
  <c r="K32" i="5" s="1"/>
  <c r="Q32" i="5" s="1"/>
  <c r="Y35" i="1"/>
  <c r="I32" i="5" s="1"/>
  <c r="O32" i="5" s="1"/>
  <c r="X35" i="1"/>
  <c r="H32" i="5" s="1"/>
  <c r="N32" i="5" s="1"/>
  <c r="V35" i="1"/>
  <c r="U35" i="1"/>
  <c r="S35" i="1"/>
  <c r="R35" i="1"/>
  <c r="AB34" i="1"/>
  <c r="AA34" i="1"/>
  <c r="Y34" i="1"/>
  <c r="X34" i="1"/>
  <c r="V34" i="1"/>
  <c r="U34" i="1"/>
  <c r="S34" i="1"/>
  <c r="R34" i="1"/>
  <c r="AB33" i="1"/>
  <c r="L30" i="5" s="1"/>
  <c r="R30" i="5" s="1"/>
  <c r="AA33" i="1"/>
  <c r="K30" i="5" s="1"/>
  <c r="Q30" i="5" s="1"/>
  <c r="Y33" i="1"/>
  <c r="I30" i="5" s="1"/>
  <c r="O30" i="5" s="1"/>
  <c r="X33" i="1"/>
  <c r="H30" i="5" s="1"/>
  <c r="N30" i="5" s="1"/>
  <c r="V33" i="1"/>
  <c r="U33" i="1"/>
  <c r="S33" i="1"/>
  <c r="R33" i="1"/>
  <c r="AB32" i="1"/>
  <c r="L29" i="5" s="1"/>
  <c r="R29" i="5" s="1"/>
  <c r="AA32" i="1"/>
  <c r="K29" i="5" s="1"/>
  <c r="Q29" i="5" s="1"/>
  <c r="Y32" i="1"/>
  <c r="I29" i="5" s="1"/>
  <c r="O29" i="5" s="1"/>
  <c r="X32" i="1"/>
  <c r="H29" i="5" s="1"/>
  <c r="N29" i="5" s="1"/>
  <c r="V32" i="1"/>
  <c r="U32" i="1"/>
  <c r="S32" i="1"/>
  <c r="R32" i="1"/>
  <c r="AD32" i="1" s="1"/>
  <c r="AB31" i="1"/>
  <c r="L28" i="5" s="1"/>
  <c r="R28" i="5" s="1"/>
  <c r="AA31" i="1"/>
  <c r="K28" i="5" s="1"/>
  <c r="Q28" i="5" s="1"/>
  <c r="Y31" i="1"/>
  <c r="I28" i="5" s="1"/>
  <c r="O28" i="5" s="1"/>
  <c r="X31" i="1"/>
  <c r="H28" i="5" s="1"/>
  <c r="N28" i="5" s="1"/>
  <c r="V31" i="1"/>
  <c r="U31" i="1"/>
  <c r="S31" i="1"/>
  <c r="R31" i="1"/>
  <c r="AB30" i="1"/>
  <c r="L27" i="5" s="1"/>
  <c r="R27" i="5" s="1"/>
  <c r="AA30" i="1"/>
  <c r="K27" i="5" s="1"/>
  <c r="Q27" i="5" s="1"/>
  <c r="Y30" i="1"/>
  <c r="I27" i="5" s="1"/>
  <c r="O27" i="5" s="1"/>
  <c r="X30" i="1"/>
  <c r="H27" i="5" s="1"/>
  <c r="N27" i="5" s="1"/>
  <c r="V30" i="1"/>
  <c r="U30" i="1"/>
  <c r="S30" i="1"/>
  <c r="R30" i="1"/>
  <c r="AB29" i="1"/>
  <c r="L26" i="5" s="1"/>
  <c r="R26" i="5" s="1"/>
  <c r="AA29" i="1"/>
  <c r="K26" i="5" s="1"/>
  <c r="Q26" i="5" s="1"/>
  <c r="Y29" i="1"/>
  <c r="I26" i="5" s="1"/>
  <c r="O26" i="5" s="1"/>
  <c r="X29" i="1"/>
  <c r="H26" i="5" s="1"/>
  <c r="N26" i="5" s="1"/>
  <c r="V29" i="1"/>
  <c r="U29" i="1"/>
  <c r="S29" i="1"/>
  <c r="R29" i="1"/>
  <c r="AB28" i="1"/>
  <c r="L25" i="5" s="1"/>
  <c r="AA28" i="1"/>
  <c r="K25" i="5" s="1"/>
  <c r="Y28" i="1"/>
  <c r="I25" i="5" s="1"/>
  <c r="X28" i="1"/>
  <c r="H25" i="5" s="1"/>
  <c r="V28" i="1"/>
  <c r="U28" i="1"/>
  <c r="S28" i="1"/>
  <c r="R28" i="1"/>
  <c r="AB27" i="1"/>
  <c r="AA27" i="1"/>
  <c r="Y27" i="1"/>
  <c r="X27" i="1"/>
  <c r="U27" i="1"/>
  <c r="R27" i="1"/>
  <c r="AB26" i="1"/>
  <c r="L24" i="5" s="1"/>
  <c r="R24" i="5" s="1"/>
  <c r="AA26" i="1"/>
  <c r="K24" i="5" s="1"/>
  <c r="Q24" i="5" s="1"/>
  <c r="Y26" i="1"/>
  <c r="I24" i="5" s="1"/>
  <c r="O24" i="5" s="1"/>
  <c r="X26" i="1"/>
  <c r="H24" i="5" s="1"/>
  <c r="N24" i="5" s="1"/>
  <c r="V26" i="1"/>
  <c r="U26" i="1"/>
  <c r="S26" i="1"/>
  <c r="R26" i="1"/>
  <c r="AB25" i="1"/>
  <c r="L23" i="5" s="1"/>
  <c r="R23" i="5" s="1"/>
  <c r="AA25" i="1"/>
  <c r="K23" i="5" s="1"/>
  <c r="Q23" i="5" s="1"/>
  <c r="Y25" i="1"/>
  <c r="I23" i="5" s="1"/>
  <c r="O23" i="5" s="1"/>
  <c r="X25" i="1"/>
  <c r="H23" i="5" s="1"/>
  <c r="N23" i="5" s="1"/>
  <c r="V25" i="1"/>
  <c r="U25" i="1"/>
  <c r="S25" i="1"/>
  <c r="R25" i="1"/>
  <c r="AB24" i="1"/>
  <c r="L22" i="5" s="1"/>
  <c r="R22" i="5" s="1"/>
  <c r="AA24" i="1"/>
  <c r="K22" i="5" s="1"/>
  <c r="Q22" i="5" s="1"/>
  <c r="Y24" i="1"/>
  <c r="I22" i="5" s="1"/>
  <c r="O22" i="5" s="1"/>
  <c r="X24" i="1"/>
  <c r="H22" i="5" s="1"/>
  <c r="N22" i="5" s="1"/>
  <c r="V24" i="1"/>
  <c r="U24" i="1"/>
  <c r="S24" i="1"/>
  <c r="R24" i="1"/>
  <c r="AB23" i="1"/>
  <c r="L21" i="5" s="1"/>
  <c r="R21" i="5" s="1"/>
  <c r="AA23" i="1"/>
  <c r="K21" i="5" s="1"/>
  <c r="Q21" i="5" s="1"/>
  <c r="Y23" i="1"/>
  <c r="I21" i="5" s="1"/>
  <c r="O21" i="5" s="1"/>
  <c r="X23" i="1"/>
  <c r="H21" i="5" s="1"/>
  <c r="N21" i="5" s="1"/>
  <c r="V23" i="1"/>
  <c r="U23" i="1"/>
  <c r="S23" i="1"/>
  <c r="R23" i="1"/>
  <c r="AB22" i="1"/>
  <c r="L20" i="5" s="1"/>
  <c r="R20" i="5" s="1"/>
  <c r="AA22" i="1"/>
  <c r="K20" i="5" s="1"/>
  <c r="Q20" i="5" s="1"/>
  <c r="Y22" i="1"/>
  <c r="I20" i="5" s="1"/>
  <c r="O20" i="5" s="1"/>
  <c r="X22" i="1"/>
  <c r="H20" i="5" s="1"/>
  <c r="N20" i="5" s="1"/>
  <c r="V22" i="1"/>
  <c r="U22" i="1"/>
  <c r="S22" i="1"/>
  <c r="R22" i="1"/>
  <c r="AB21" i="1"/>
  <c r="L19" i="5" s="1"/>
  <c r="R19" i="5" s="1"/>
  <c r="AA21" i="1"/>
  <c r="K19" i="5" s="1"/>
  <c r="Q19" i="5" s="1"/>
  <c r="Y21" i="1"/>
  <c r="I19" i="5" s="1"/>
  <c r="O19" i="5" s="1"/>
  <c r="X21" i="1"/>
  <c r="H19" i="5" s="1"/>
  <c r="N19" i="5" s="1"/>
  <c r="V21" i="1"/>
  <c r="U21" i="1"/>
  <c r="S21" i="1"/>
  <c r="R21" i="1"/>
  <c r="AB20" i="1"/>
  <c r="L18" i="5" s="1"/>
  <c r="R18" i="5" s="1"/>
  <c r="AA20" i="1"/>
  <c r="K18" i="5" s="1"/>
  <c r="Q18" i="5" s="1"/>
  <c r="Y20" i="1"/>
  <c r="I18" i="5" s="1"/>
  <c r="O18" i="5" s="1"/>
  <c r="X20" i="1"/>
  <c r="H18" i="5" s="1"/>
  <c r="N18" i="5" s="1"/>
  <c r="V20" i="1"/>
  <c r="U20" i="1"/>
  <c r="S20" i="1"/>
  <c r="R20" i="1"/>
  <c r="AB19" i="1"/>
  <c r="L17" i="5" s="1"/>
  <c r="R17" i="5" s="1"/>
  <c r="AA19" i="1"/>
  <c r="K17" i="5" s="1"/>
  <c r="Q17" i="5" s="1"/>
  <c r="Y19" i="1"/>
  <c r="I17" i="5" s="1"/>
  <c r="O17" i="5" s="1"/>
  <c r="X19" i="1"/>
  <c r="H17" i="5" s="1"/>
  <c r="N17" i="5" s="1"/>
  <c r="V19" i="1"/>
  <c r="U19" i="1"/>
  <c r="S19" i="1"/>
  <c r="R19" i="1"/>
  <c r="AB18" i="1"/>
  <c r="L16" i="5" s="1"/>
  <c r="R16" i="5" s="1"/>
  <c r="AA18" i="1"/>
  <c r="K16" i="5" s="1"/>
  <c r="Q16" i="5" s="1"/>
  <c r="Y18" i="1"/>
  <c r="I16" i="5" s="1"/>
  <c r="O16" i="5" s="1"/>
  <c r="X18" i="1"/>
  <c r="H16" i="5" s="1"/>
  <c r="N16" i="5" s="1"/>
  <c r="V18" i="1"/>
  <c r="U18" i="1"/>
  <c r="S18" i="1"/>
  <c r="R18" i="1"/>
  <c r="AB17" i="1"/>
  <c r="L15" i="5" s="1"/>
  <c r="R15" i="5" s="1"/>
  <c r="AA17" i="1"/>
  <c r="K15" i="5" s="1"/>
  <c r="Q15" i="5" s="1"/>
  <c r="Y17" i="1"/>
  <c r="I15" i="5" s="1"/>
  <c r="O15" i="5" s="1"/>
  <c r="X17" i="1"/>
  <c r="H15" i="5" s="1"/>
  <c r="N15" i="5" s="1"/>
  <c r="V17" i="1"/>
  <c r="U17" i="1"/>
  <c r="S17" i="1"/>
  <c r="R17" i="1"/>
  <c r="AB16" i="1"/>
  <c r="L14" i="5" s="1"/>
  <c r="R14" i="5" s="1"/>
  <c r="AA16" i="1"/>
  <c r="K14" i="5" s="1"/>
  <c r="Q14" i="5" s="1"/>
  <c r="Y16" i="1"/>
  <c r="I14" i="5" s="1"/>
  <c r="O14" i="5" s="1"/>
  <c r="X16" i="1"/>
  <c r="H14" i="5" s="1"/>
  <c r="N14" i="5" s="1"/>
  <c r="V16" i="1"/>
  <c r="U16" i="1"/>
  <c r="S16" i="1"/>
  <c r="R16" i="1"/>
  <c r="AB15" i="1"/>
  <c r="L13" i="5" s="1"/>
  <c r="R13" i="5" s="1"/>
  <c r="AA15" i="1"/>
  <c r="K13" i="5" s="1"/>
  <c r="Q13" i="5" s="1"/>
  <c r="Y15" i="1"/>
  <c r="I13" i="5" s="1"/>
  <c r="O13" i="5" s="1"/>
  <c r="X15" i="1"/>
  <c r="H13" i="5" s="1"/>
  <c r="N13" i="5" s="1"/>
  <c r="V15" i="1"/>
  <c r="U15" i="1"/>
  <c r="S15" i="1"/>
  <c r="R15" i="1"/>
  <c r="AB14" i="1"/>
  <c r="L12" i="5" s="1"/>
  <c r="R12" i="5" s="1"/>
  <c r="AA14" i="1"/>
  <c r="K12" i="5" s="1"/>
  <c r="Q12" i="5" s="1"/>
  <c r="Y14" i="1"/>
  <c r="I12" i="5" s="1"/>
  <c r="O12" i="5" s="1"/>
  <c r="X14" i="1"/>
  <c r="H12" i="5" s="1"/>
  <c r="N12" i="5" s="1"/>
  <c r="V14" i="1"/>
  <c r="U14" i="1"/>
  <c r="S14" i="1"/>
  <c r="R14" i="1"/>
  <c r="AB13" i="1"/>
  <c r="L11" i="5" s="1"/>
  <c r="R11" i="5" s="1"/>
  <c r="AA13" i="1"/>
  <c r="K11" i="5" s="1"/>
  <c r="Q11" i="5" s="1"/>
  <c r="Y13" i="1"/>
  <c r="I11" i="5" s="1"/>
  <c r="O11" i="5" s="1"/>
  <c r="X13" i="1"/>
  <c r="H11" i="5" s="1"/>
  <c r="N11" i="5" s="1"/>
  <c r="V13" i="1"/>
  <c r="U13" i="1"/>
  <c r="S13" i="1"/>
  <c r="R13" i="1"/>
  <c r="AB12" i="1"/>
  <c r="L10" i="5" s="1"/>
  <c r="R10" i="5" s="1"/>
  <c r="AA12" i="1"/>
  <c r="K10" i="5" s="1"/>
  <c r="Q10" i="5" s="1"/>
  <c r="Y12" i="1"/>
  <c r="I10" i="5" s="1"/>
  <c r="O10" i="5" s="1"/>
  <c r="X12" i="1"/>
  <c r="H10" i="5" s="1"/>
  <c r="N10" i="5" s="1"/>
  <c r="V12" i="1"/>
  <c r="U12" i="1"/>
  <c r="S12" i="1"/>
  <c r="R12" i="1"/>
  <c r="AB11" i="1"/>
  <c r="L9" i="5" s="1"/>
  <c r="R9" i="5" s="1"/>
  <c r="AA11" i="1"/>
  <c r="K9" i="5" s="1"/>
  <c r="Q9" i="5" s="1"/>
  <c r="Y11" i="1"/>
  <c r="I9" i="5" s="1"/>
  <c r="O9" i="5" s="1"/>
  <c r="X11" i="1"/>
  <c r="V11" i="1"/>
  <c r="U11" i="1"/>
  <c r="S11" i="1"/>
  <c r="R11" i="1"/>
  <c r="AB10" i="1"/>
  <c r="AA10" i="1"/>
  <c r="Y10" i="1"/>
  <c r="X10" i="1"/>
  <c r="V10" i="1"/>
  <c r="U10" i="1"/>
  <c r="S10" i="1"/>
  <c r="R10" i="1"/>
  <c r="P9" i="1"/>
  <c r="O9" i="1"/>
  <c r="N9" i="1"/>
  <c r="L9" i="1"/>
  <c r="K9" i="1"/>
  <c r="J9" i="1"/>
  <c r="H9" i="1"/>
  <c r="G9" i="1"/>
  <c r="F9" i="1"/>
  <c r="D9" i="1"/>
  <c r="C9" i="1"/>
  <c r="B9" i="1"/>
  <c r="AL3" i="1"/>
  <c r="H9" i="5" l="1"/>
  <c r="AD11" i="1"/>
  <c r="P9" i="5"/>
  <c r="S34" i="3"/>
  <c r="S35" i="3" s="1"/>
  <c r="J53" i="8"/>
  <c r="P53" i="8" s="1"/>
  <c r="B167" i="1"/>
  <c r="R167" i="1" s="1"/>
  <c r="AH69" i="1"/>
  <c r="AD31" i="1"/>
  <c r="P42" i="8"/>
  <c r="N10" i="8"/>
  <c r="P10" i="8"/>
  <c r="N11" i="8"/>
  <c r="N12" i="8"/>
  <c r="N38" i="8"/>
  <c r="N23" i="8"/>
  <c r="N28" i="8"/>
  <c r="N29" i="8"/>
  <c r="N42" i="8"/>
  <c r="Z9" i="1"/>
  <c r="L53" i="8"/>
  <c r="R53" i="8" s="1"/>
  <c r="N13" i="8"/>
  <c r="N37" i="8"/>
  <c r="N48" i="8"/>
  <c r="M163" i="1"/>
  <c r="E163" i="1"/>
  <c r="T163" i="1" s="1"/>
  <c r="M160" i="1"/>
  <c r="AF148" i="1"/>
  <c r="AF32" i="1"/>
  <c r="AH32" i="1"/>
  <c r="AE31" i="1"/>
  <c r="AG165" i="1"/>
  <c r="AE62" i="1"/>
  <c r="E10" i="1"/>
  <c r="T10" i="1" s="1"/>
  <c r="E49" i="1"/>
  <c r="M10" i="1"/>
  <c r="Z10" i="1" s="1"/>
  <c r="M49" i="1"/>
  <c r="Z49" i="1" s="1"/>
  <c r="Z48" i="1" s="1"/>
  <c r="AK11" i="1"/>
  <c r="BL34" i="3"/>
  <c r="BL35" i="3" s="1"/>
  <c r="H162" i="1"/>
  <c r="W162" i="1" s="1"/>
  <c r="W163" i="1"/>
  <c r="AI163" i="1" s="1"/>
  <c r="Z163" i="1"/>
  <c r="P132" i="1"/>
  <c r="AC132" i="1" s="1"/>
  <c r="AC131" i="1"/>
  <c r="M52" i="8" s="1"/>
  <c r="S52" i="8" s="1"/>
  <c r="H132" i="1"/>
  <c r="W132" i="1" s="1"/>
  <c r="W131" i="1"/>
  <c r="B161" i="1"/>
  <c r="R161" i="1" s="1"/>
  <c r="AD129" i="1"/>
  <c r="AI124" i="1"/>
  <c r="L135" i="1"/>
  <c r="L137" i="1" s="1"/>
  <c r="AG69" i="1"/>
  <c r="AC37" i="1"/>
  <c r="M34" i="5" s="1"/>
  <c r="S34" i="5" s="1"/>
  <c r="W37" i="1"/>
  <c r="AI70" i="1"/>
  <c r="AE68" i="1"/>
  <c r="AG56" i="1"/>
  <c r="P135" i="1"/>
  <c r="AI160" i="1"/>
  <c r="AF69" i="1"/>
  <c r="AD146" i="1"/>
  <c r="AD148" i="1"/>
  <c r="E160" i="1"/>
  <c r="B160" i="1" s="1"/>
  <c r="R160" i="1" s="1"/>
  <c r="M29" i="1"/>
  <c r="M37" i="1" s="1"/>
  <c r="AI77" i="1"/>
  <c r="AH126" i="1"/>
  <c r="I135" i="1"/>
  <c r="I137" i="1" s="1"/>
  <c r="AE49" i="1"/>
  <c r="AE51" i="1"/>
  <c r="AI73" i="1"/>
  <c r="AE75" i="1"/>
  <c r="AH77" i="1"/>
  <c r="AD79" i="1"/>
  <c r="AE133" i="1"/>
  <c r="D162" i="1"/>
  <c r="B166" i="1"/>
  <c r="R166" i="1" s="1"/>
  <c r="Q135" i="1"/>
  <c r="Q137" i="1" s="1"/>
  <c r="T133" i="1"/>
  <c r="E29" i="1"/>
  <c r="T29" i="1" s="1"/>
  <c r="CS34" i="3" s="1"/>
  <c r="T9" i="1"/>
  <c r="M9" i="1"/>
  <c r="AH158" i="1"/>
  <c r="AI159" i="1"/>
  <c r="AE33" i="1"/>
  <c r="AI49" i="1"/>
  <c r="Z14" i="1"/>
  <c r="AI69" i="1"/>
  <c r="AI54" i="1"/>
  <c r="AH55" i="1"/>
  <c r="AG159" i="1"/>
  <c r="AI56" i="1"/>
  <c r="AI59" i="1"/>
  <c r="AH49" i="1"/>
  <c r="AH72" i="1"/>
  <c r="AG77" i="1"/>
  <c r="AH79" i="1"/>
  <c r="AH127" i="1"/>
  <c r="AH68" i="1"/>
  <c r="AI50" i="1"/>
  <c r="AH52" i="1"/>
  <c r="AG83" i="1"/>
  <c r="AG87" i="1"/>
  <c r="AI103" i="1"/>
  <c r="AG49" i="1"/>
  <c r="AD49" i="1"/>
  <c r="AH51" i="1"/>
  <c r="AI60" i="1"/>
  <c r="AD56" i="1"/>
  <c r="AD59" i="1"/>
  <c r="AE73" i="1"/>
  <c r="AE79" i="1"/>
  <c r="AE111" i="1"/>
  <c r="AE127" i="1"/>
  <c r="AE129" i="1"/>
  <c r="AD52" i="1"/>
  <c r="AE82" i="1"/>
  <c r="AH13" i="1"/>
  <c r="AG29" i="1"/>
  <c r="AI15" i="1"/>
  <c r="AD29" i="1"/>
  <c r="AD25" i="1"/>
  <c r="AE29" i="1"/>
  <c r="S39" i="1"/>
  <c r="S40" i="1" s="1"/>
  <c r="AD30" i="1"/>
  <c r="AI123" i="1"/>
  <c r="H135" i="1"/>
  <c r="N135" i="1"/>
  <c r="N137" i="1" s="1"/>
  <c r="AH54" i="1"/>
  <c r="AE55" i="1"/>
  <c r="AI63" i="1"/>
  <c r="AE64" i="1"/>
  <c r="AD65" i="1"/>
  <c r="AI65" i="1"/>
  <c r="AH87" i="1"/>
  <c r="AE103" i="1"/>
  <c r="AG105" i="1"/>
  <c r="AI111" i="1"/>
  <c r="AG123" i="1"/>
  <c r="AE125" i="1"/>
  <c r="AI133" i="1"/>
  <c r="AE67" i="1"/>
  <c r="AE70" i="1"/>
  <c r="AI74" i="1"/>
  <c r="AG111" i="1"/>
  <c r="AD123" i="1"/>
  <c r="J135" i="1"/>
  <c r="J151" i="1" s="1"/>
  <c r="X151" i="1" s="1"/>
  <c r="T49" i="1"/>
  <c r="AI67" i="1"/>
  <c r="AI78" i="1"/>
  <c r="AF81" i="1"/>
  <c r="B132" i="1"/>
  <c r="R132" i="1" s="1"/>
  <c r="AH14" i="1"/>
  <c r="AH25" i="1"/>
  <c r="AD10" i="1"/>
  <c r="AI10" i="1"/>
  <c r="AI11" i="1"/>
  <c r="AK12" i="1"/>
  <c r="AD13" i="1"/>
  <c r="AE16" i="1"/>
  <c r="AK16" i="1"/>
  <c r="AK19" i="1"/>
  <c r="AE22" i="1"/>
  <c r="AF33" i="1"/>
  <c r="AG35" i="1"/>
  <c r="D38" i="1"/>
  <c r="AH15" i="1"/>
  <c r="AH22" i="1"/>
  <c r="AI36" i="1"/>
  <c r="AG10" i="1"/>
  <c r="AG11" i="1"/>
  <c r="AG23" i="1"/>
  <c r="AG25" i="1"/>
  <c r="AG26" i="1"/>
  <c r="D135" i="1"/>
  <c r="D151" i="1" s="1"/>
  <c r="S151" i="1" s="1"/>
  <c r="AI167" i="1"/>
  <c r="J157" i="1"/>
  <c r="X157" i="1" s="1"/>
  <c r="AF157" i="1"/>
  <c r="CB34" i="3" s="1"/>
  <c r="CB35" i="3" s="1"/>
  <c r="AG164" i="1"/>
  <c r="F162" i="1"/>
  <c r="AF164" i="1"/>
  <c r="AK164" i="1" s="1"/>
  <c r="V162" i="1"/>
  <c r="S157" i="1"/>
  <c r="S159" i="1"/>
  <c r="AE159" i="1" s="1"/>
  <c r="AH160" i="1"/>
  <c r="S166" i="1"/>
  <c r="AE166" i="1" s="1"/>
  <c r="AG167" i="1"/>
  <c r="AI16" i="1"/>
  <c r="AD20" i="1"/>
  <c r="AI22" i="1"/>
  <c r="AI23" i="1"/>
  <c r="AD33" i="1"/>
  <c r="AD35" i="1"/>
  <c r="H38" i="1"/>
  <c r="AH58" i="1"/>
  <c r="AE77" i="1"/>
  <c r="AI83" i="1"/>
  <c r="AD126" i="1"/>
  <c r="S167" i="1"/>
  <c r="AE167" i="1" s="1"/>
  <c r="AG13" i="1"/>
  <c r="AG14" i="1"/>
  <c r="AE15" i="1"/>
  <c r="AE17" i="1"/>
  <c r="AE20" i="1"/>
  <c r="AE23" i="1"/>
  <c r="AE25" i="1"/>
  <c r="AG30" i="1"/>
  <c r="AG52" i="1"/>
  <c r="AH56" i="1"/>
  <c r="AF56" i="1"/>
  <c r="AI57" i="1"/>
  <c r="AE58" i="1"/>
  <c r="AE60" i="1"/>
  <c r="AD61" i="1"/>
  <c r="AD74" i="1"/>
  <c r="AD75" i="1"/>
  <c r="AE85" i="1"/>
  <c r="AE87" i="1"/>
  <c r="AH103" i="1"/>
  <c r="AF125" i="1"/>
  <c r="AE128" i="1"/>
  <c r="O132" i="1"/>
  <c r="AB132" i="1" s="1"/>
  <c r="AD133" i="1"/>
  <c r="AF146" i="1"/>
  <c r="AE148" i="1"/>
  <c r="AG158" i="1"/>
  <c r="J159" i="1"/>
  <c r="X159" i="1" s="1"/>
  <c r="AD159" i="1" s="1"/>
  <c r="AH159" i="1"/>
  <c r="AF167" i="1"/>
  <c r="AK167" i="1" s="1"/>
  <c r="AI112" i="1"/>
  <c r="AE12" i="1"/>
  <c r="AE13" i="1"/>
  <c r="AD18" i="1"/>
  <c r="AD21" i="1"/>
  <c r="AD22" i="1"/>
  <c r="AI35" i="1"/>
  <c r="AD36" i="1"/>
  <c r="AE52" i="1"/>
  <c r="AF54" i="1"/>
  <c r="AG79" i="1"/>
  <c r="AD83" i="1"/>
  <c r="AD85" i="1"/>
  <c r="AI104" i="1"/>
  <c r="AH111" i="1"/>
  <c r="AE146" i="1"/>
  <c r="AE158" i="1"/>
  <c r="AK15" i="1"/>
  <c r="AG15" i="1"/>
  <c r="AF18" i="1"/>
  <c r="AH18" i="1"/>
  <c r="AK21" i="1"/>
  <c r="AG21" i="1"/>
  <c r="AH23" i="1"/>
  <c r="AF24" i="1"/>
  <c r="T42" i="1"/>
  <c r="X37" i="1"/>
  <c r="AE50" i="1"/>
  <c r="AI68" i="1"/>
  <c r="AF75" i="1"/>
  <c r="AH76" i="1"/>
  <c r="AH78" i="1"/>
  <c r="AI81" i="1"/>
  <c r="AE104" i="1"/>
  <c r="AE110" i="1"/>
  <c r="AH124" i="1"/>
  <c r="AG126" i="1"/>
  <c r="AD127" i="1"/>
  <c r="S131" i="1"/>
  <c r="AE161" i="1"/>
  <c r="L163" i="1"/>
  <c r="Y164" i="1"/>
  <c r="AC39" i="1"/>
  <c r="AC40" i="1" s="1"/>
  <c r="AE76" i="1"/>
  <c r="AE10" i="1"/>
  <c r="AD14" i="1"/>
  <c r="AD15" i="1"/>
  <c r="AI24" i="1"/>
  <c r="AD50" i="1"/>
  <c r="AE65" i="1"/>
  <c r="AE74" i="1"/>
  <c r="AD88" i="1"/>
  <c r="AD112" i="1"/>
  <c r="AI165" i="1"/>
  <c r="AE14" i="1"/>
  <c r="AD16" i="1"/>
  <c r="AG20" i="1"/>
  <c r="AE21" i="1"/>
  <c r="AE35" i="1"/>
  <c r="AE36" i="1"/>
  <c r="Y37" i="1"/>
  <c r="AF52" i="1"/>
  <c r="AE54" i="1"/>
  <c r="AE56" i="1"/>
  <c r="AD57" i="1"/>
  <c r="AD58" i="1"/>
  <c r="AE59" i="1"/>
  <c r="AE61" i="1"/>
  <c r="AH67" i="1"/>
  <c r="AE72" i="1"/>
  <c r="AH73" i="1"/>
  <c r="AH74" i="1"/>
  <c r="AG75" i="1"/>
  <c r="AI76" i="1"/>
  <c r="AI79" i="1"/>
  <c r="AG81" i="1"/>
  <c r="AE83" i="1"/>
  <c r="AI84" i="1"/>
  <c r="AD87" i="1"/>
  <c r="AI87" i="1"/>
  <c r="AE88" i="1"/>
  <c r="AF103" i="1"/>
  <c r="AG103" i="1"/>
  <c r="AD105" i="1"/>
  <c r="AD110" i="1"/>
  <c r="AD111" i="1"/>
  <c r="AI126" i="1"/>
  <c r="AH128" i="1"/>
  <c r="V131" i="1"/>
  <c r="AH131" i="1" s="1"/>
  <c r="G132" i="1"/>
  <c r="V132" i="1" s="1"/>
  <c r="AG146" i="1"/>
  <c r="R157" i="1"/>
  <c r="AG161" i="1"/>
  <c r="AA163" i="1"/>
  <c r="N162" i="1"/>
  <c r="AE165" i="1"/>
  <c r="AG166" i="1"/>
  <c r="AH166" i="1"/>
  <c r="AK17" i="1"/>
  <c r="AK22" i="1"/>
  <c r="AF105" i="1"/>
  <c r="U160" i="1"/>
  <c r="AE11" i="1"/>
  <c r="AI14" i="1"/>
  <c r="AF23" i="1"/>
  <c r="AE63" i="1"/>
  <c r="AG67" i="1"/>
  <c r="AE69" i="1"/>
  <c r="AD71" i="1"/>
  <c r="AG73" i="1"/>
  <c r="AF77" i="1"/>
  <c r="AH105" i="1"/>
  <c r="AD107" i="1"/>
  <c r="AD108" i="1"/>
  <c r="AE123" i="1"/>
  <c r="T159" i="1"/>
  <c r="AF159" i="1" s="1"/>
  <c r="AF15" i="1"/>
  <c r="AI18" i="1"/>
  <c r="AH10" i="1"/>
  <c r="AH11" i="1"/>
  <c r="AI13" i="1"/>
  <c r="AG16" i="1"/>
  <c r="AD17" i="1"/>
  <c r="AG18" i="1"/>
  <c r="AE18" i="1"/>
  <c r="AI20" i="1"/>
  <c r="AH20" i="1"/>
  <c r="AH21" i="1"/>
  <c r="AF25" i="1"/>
  <c r="AI26" i="1"/>
  <c r="AM34" i="1"/>
  <c r="AI29" i="1"/>
  <c r="AH30" i="1"/>
  <c r="AG33" i="1"/>
  <c r="AH36" i="1"/>
  <c r="Z42" i="1"/>
  <c r="AG50" i="1"/>
  <c r="AI51" i="1"/>
  <c r="AE57" i="1"/>
  <c r="AE80" i="1"/>
  <c r="AH81" i="1"/>
  <c r="AF83" i="1"/>
  <c r="AG85" i="1"/>
  <c r="AE105" i="1"/>
  <c r="AH109" i="1"/>
  <c r="N132" i="1"/>
  <c r="AA132" i="1" s="1"/>
  <c r="AA131" i="1"/>
  <c r="K52" i="8" s="1"/>
  <c r="Q52" i="8" s="1"/>
  <c r="J158" i="1"/>
  <c r="X158" i="1" s="1"/>
  <c r="Z158" i="1"/>
  <c r="CA34" i="3" s="1"/>
  <c r="CA35" i="3" s="1"/>
  <c r="V161" i="1"/>
  <c r="AH161" i="1" s="1"/>
  <c r="AB163" i="1"/>
  <c r="O162" i="1"/>
  <c r="AB162" i="1" s="1"/>
  <c r="T166" i="1"/>
  <c r="AF166" i="1" s="1"/>
  <c r="AK166" i="1" s="1"/>
  <c r="AD109" i="1"/>
  <c r="AE112" i="1"/>
  <c r="AH123" i="1"/>
  <c r="AD125" i="1"/>
  <c r="AI125" i="1"/>
  <c r="AG125" i="1"/>
  <c r="AF126" i="1"/>
  <c r="AH130" i="1"/>
  <c r="AG157" i="1"/>
  <c r="AH157" i="1"/>
  <c r="AI161" i="1"/>
  <c r="AD164" i="1"/>
  <c r="AH164" i="1"/>
  <c r="AI166" i="1"/>
  <c r="AH167" i="1"/>
  <c r="AG22" i="1"/>
  <c r="AD23" i="1"/>
  <c r="AE24" i="1"/>
  <c r="AI25" i="1"/>
  <c r="AH29" i="1"/>
  <c r="E39" i="1"/>
  <c r="AI33" i="1"/>
  <c r="AH33" i="1"/>
  <c r="AH35" i="1"/>
  <c r="AG36" i="1"/>
  <c r="AH50" i="1"/>
  <c r="AI52" i="1"/>
  <c r="AD54" i="1"/>
  <c r="AI55" i="1"/>
  <c r="AH57" i="1"/>
  <c r="AF58" i="1"/>
  <c r="AH59" i="1"/>
  <c r="AI61" i="1"/>
  <c r="AD63" i="1"/>
  <c r="AH66" i="1"/>
  <c r="AD67" i="1"/>
  <c r="AD69" i="1"/>
  <c r="AD73" i="1"/>
  <c r="AI75" i="1"/>
  <c r="AH75" i="1"/>
  <c r="AD76" i="1"/>
  <c r="AD77" i="1"/>
  <c r="AI80" i="1"/>
  <c r="AE81" i="1"/>
  <c r="AD81" i="1"/>
  <c r="AH82" i="1"/>
  <c r="AI82" i="1"/>
  <c r="AH83" i="1"/>
  <c r="AH85" i="1"/>
  <c r="AH86" i="1"/>
  <c r="AD103" i="1"/>
  <c r="AE106" i="1"/>
  <c r="AE107" i="1"/>
  <c r="AE108" i="1"/>
  <c r="AG109" i="1"/>
  <c r="AE109" i="1"/>
  <c r="AE124" i="1"/>
  <c r="AH129" i="1"/>
  <c r="AI157" i="1"/>
  <c r="AI164" i="1"/>
  <c r="AD165" i="1"/>
  <c r="AH165" i="1"/>
  <c r="AF35" i="1"/>
  <c r="AF59" i="1"/>
  <c r="AF65" i="1"/>
  <c r="AF11" i="1"/>
  <c r="AF20" i="1"/>
  <c r="Z13" i="1"/>
  <c r="J11" i="5" s="1"/>
  <c r="P11" i="5" s="1"/>
  <c r="AF67" i="1"/>
  <c r="AK23" i="1"/>
  <c r="AF36" i="1"/>
  <c r="P38" i="1"/>
  <c r="W39" i="1"/>
  <c r="W40" i="1" s="1"/>
  <c r="AI58" i="1"/>
  <c r="AF61" i="1"/>
  <c r="AF85" i="1"/>
  <c r="AF22" i="1"/>
  <c r="AK24" i="1"/>
  <c r="AD24" i="1"/>
  <c r="U39" i="1"/>
  <c r="U40" i="1" s="1"/>
  <c r="AK31" i="1"/>
  <c r="AL31" i="1" s="1"/>
  <c r="AK33" i="1"/>
  <c r="AL33" i="1" s="1"/>
  <c r="AK35" i="1"/>
  <c r="AL35" i="1" s="1"/>
  <c r="AE71" i="1"/>
  <c r="AF73" i="1"/>
  <c r="AF87" i="1"/>
  <c r="T158" i="1"/>
  <c r="BW34" i="3" s="1"/>
  <c r="BW35" i="3" s="1"/>
  <c r="T160" i="1"/>
  <c r="AK18" i="1"/>
  <c r="AK25" i="1"/>
  <c r="AI30" i="1"/>
  <c r="F135" i="1"/>
  <c r="F38" i="1"/>
  <c r="AB39" i="1"/>
  <c r="AB40" i="1" s="1"/>
  <c r="AH112" i="1"/>
  <c r="AF21" i="1"/>
  <c r="AK26" i="1"/>
  <c r="AL26" i="1" s="1"/>
  <c r="AD26" i="1"/>
  <c r="T30" i="1"/>
  <c r="B135" i="1"/>
  <c r="B38" i="1"/>
  <c r="R37" i="1"/>
  <c r="G135" i="1"/>
  <c r="V37" i="1"/>
  <c r="AH37" i="1" s="1"/>
  <c r="G38" i="1"/>
  <c r="AH88" i="1"/>
  <c r="AF16" i="1"/>
  <c r="AF26" i="1"/>
  <c r="M39" i="1"/>
  <c r="Y39" i="1"/>
  <c r="Y40" i="1" s="1"/>
  <c r="AE30" i="1"/>
  <c r="AK32" i="1"/>
  <c r="AL32" i="1" s="1"/>
  <c r="X39" i="1"/>
  <c r="X40" i="1" s="1"/>
  <c r="AF63" i="1"/>
  <c r="E9" i="1"/>
  <c r="T12" i="1"/>
  <c r="AL19" i="1"/>
  <c r="AD12" i="1"/>
  <c r="AK20" i="1"/>
  <c r="Z27" i="1"/>
  <c r="AK27" i="1" s="1"/>
  <c r="AL27" i="1" s="1"/>
  <c r="R39" i="1"/>
  <c r="R40" i="1" s="1"/>
  <c r="V39" i="1"/>
  <c r="V40" i="1" s="1"/>
  <c r="AK36" i="1"/>
  <c r="AL36" i="1" s="1"/>
  <c r="O135" i="1"/>
  <c r="O38" i="1"/>
  <c r="L38" i="1"/>
  <c r="AA39" i="1"/>
  <c r="AA40" i="1" s="1"/>
  <c r="E131" i="1"/>
  <c r="AH61" i="1"/>
  <c r="AF71" i="1"/>
  <c r="AF109" i="1"/>
  <c r="AF111" i="1"/>
  <c r="AF123" i="1"/>
  <c r="AH70" i="1"/>
  <c r="AF79" i="1"/>
  <c r="P162" i="1"/>
  <c r="J38" i="1"/>
  <c r="N38" i="1"/>
  <c r="T50" i="1"/>
  <c r="AF50" i="1" s="1"/>
  <c r="E134" i="1"/>
  <c r="AH104" i="1"/>
  <c r="AE130" i="1"/>
  <c r="U163" i="1"/>
  <c r="J167" i="1"/>
  <c r="X167" i="1" s="1"/>
  <c r="Z30" i="1"/>
  <c r="J27" i="5" s="1"/>
  <c r="P27" i="5" s="1"/>
  <c r="AA37" i="1"/>
  <c r="M131" i="1"/>
  <c r="M134" i="1"/>
  <c r="AG71" i="1"/>
  <c r="AE78" i="1"/>
  <c r="AH80" i="1"/>
  <c r="F132" i="1"/>
  <c r="U132" i="1" s="1"/>
  <c r="U131" i="1"/>
  <c r="X131" i="1"/>
  <c r="Y157" i="1"/>
  <c r="AA160" i="1"/>
  <c r="AF165" i="1"/>
  <c r="AK165" i="1" s="1"/>
  <c r="Y131" i="1"/>
  <c r="I52" i="8" s="1"/>
  <c r="O52" i="8" s="1"/>
  <c r="AH133" i="1"/>
  <c r="T161" i="1"/>
  <c r="V163" i="1"/>
  <c r="S164" i="1"/>
  <c r="J166" i="1"/>
  <c r="X166" i="1" s="1"/>
  <c r="AG160" i="1" l="1"/>
  <c r="N9" i="5"/>
  <c r="AD167" i="1"/>
  <c r="AD131" i="1"/>
  <c r="H52" i="8"/>
  <c r="AF14" i="1"/>
  <c r="J12" i="5"/>
  <c r="P12" i="5" s="1"/>
  <c r="AK14" i="1"/>
  <c r="AJ11" i="1"/>
  <c r="H34" i="5"/>
  <c r="N34" i="5" s="1"/>
  <c r="AG37" i="1"/>
  <c r="K34" i="5"/>
  <c r="Q34" i="5" s="1"/>
  <c r="AE37" i="1"/>
  <c r="I34" i="5"/>
  <c r="O34" i="5" s="1"/>
  <c r="U162" i="1"/>
  <c r="E162" i="1"/>
  <c r="E171" i="1" s="1"/>
  <c r="AC162" i="1"/>
  <c r="AI162" i="1" s="1"/>
  <c r="M162" i="1"/>
  <c r="M171" i="1" s="1"/>
  <c r="AD166" i="1"/>
  <c r="B163" i="1"/>
  <c r="R163" i="1" s="1"/>
  <c r="E40" i="1"/>
  <c r="M40" i="1"/>
  <c r="J163" i="1"/>
  <c r="X163" i="1" s="1"/>
  <c r="AF133" i="1"/>
  <c r="O34" i="3"/>
  <c r="O35" i="3" s="1"/>
  <c r="E37" i="1"/>
  <c r="E135" i="1" s="1"/>
  <c r="Z29" i="1"/>
  <c r="AK30" i="1"/>
  <c r="AL30" i="1" s="1"/>
  <c r="AM30" i="1" s="1"/>
  <c r="BA34" i="3"/>
  <c r="BA35" i="3" s="1"/>
  <c r="CS35" i="3"/>
  <c r="T39" i="1"/>
  <c r="T40" i="1" s="1"/>
  <c r="AZ34" i="3"/>
  <c r="AZ35" i="3" s="1"/>
  <c r="AK13" i="1"/>
  <c r="CY34" i="3"/>
  <c r="CY35" i="3" s="1"/>
  <c r="AG163" i="1"/>
  <c r="P151" i="1"/>
  <c r="AC151" i="1" s="1"/>
  <c r="AC135" i="1"/>
  <c r="W135" i="1"/>
  <c r="W137" i="1" s="1"/>
  <c r="AA162" i="1"/>
  <c r="AG162" i="1" s="1"/>
  <c r="AE164" i="1"/>
  <c r="Y135" i="1"/>
  <c r="L151" i="1"/>
  <c r="Y151" i="1" s="1"/>
  <c r="AE151" i="1" s="1"/>
  <c r="P137" i="1"/>
  <c r="AF49" i="1"/>
  <c r="AM37" i="1"/>
  <c r="AH162" i="1"/>
  <c r="S135" i="1"/>
  <c r="S137" i="1" s="1"/>
  <c r="AF10" i="1"/>
  <c r="X135" i="1"/>
  <c r="D137" i="1"/>
  <c r="AG131" i="1"/>
  <c r="H137" i="1"/>
  <c r="J137" i="1"/>
  <c r="AA135" i="1"/>
  <c r="N151" i="1"/>
  <c r="AA151" i="1" s="1"/>
  <c r="H151" i="1"/>
  <c r="W151" i="1" s="1"/>
  <c r="AD37" i="1"/>
  <c r="AD157" i="1"/>
  <c r="L162" i="1"/>
  <c r="B162" i="1"/>
  <c r="Y163" i="1"/>
  <c r="AH163" i="1"/>
  <c r="AE157" i="1"/>
  <c r="AD158" i="1"/>
  <c r="AI131" i="1"/>
  <c r="M38" i="1"/>
  <c r="AF158" i="1"/>
  <c r="CC34" i="3" s="1"/>
  <c r="CC35" i="3" s="1"/>
  <c r="AE131" i="1"/>
  <c r="AI37" i="1"/>
  <c r="V135" i="1"/>
  <c r="V137" i="1" s="1"/>
  <c r="G151" i="1"/>
  <c r="V151" i="1" s="1"/>
  <c r="G137" i="1"/>
  <c r="J160" i="1"/>
  <c r="X160" i="1" s="1"/>
  <c r="AD160" i="1" s="1"/>
  <c r="Z160" i="1"/>
  <c r="AF160" i="1" s="1"/>
  <c r="U135" i="1"/>
  <c r="U137" i="1" s="1"/>
  <c r="F137" i="1"/>
  <c r="F151" i="1"/>
  <c r="U151" i="1" s="1"/>
  <c r="J161" i="1"/>
  <c r="X161" i="1" s="1"/>
  <c r="Z161" i="1"/>
  <c r="AF161" i="1" s="1"/>
  <c r="Z39" i="1"/>
  <c r="AF30" i="1"/>
  <c r="AF163" i="1"/>
  <c r="AK163" i="1" s="1"/>
  <c r="O137" i="1"/>
  <c r="AB135" i="1"/>
  <c r="O151" i="1"/>
  <c r="AB151" i="1" s="1"/>
  <c r="AF13" i="1"/>
  <c r="AM19" i="1"/>
  <c r="S163" i="1"/>
  <c r="Z131" i="1"/>
  <c r="M132" i="1"/>
  <c r="Z132" i="1" s="1"/>
  <c r="E132" i="1"/>
  <c r="T132" i="1" s="1"/>
  <c r="T131" i="1"/>
  <c r="AK34" i="3" s="1"/>
  <c r="AK35" i="3" s="1"/>
  <c r="R135" i="1"/>
  <c r="R137" i="1" s="1"/>
  <c r="B151" i="1"/>
  <c r="R151" i="1" s="1"/>
  <c r="AD151" i="1" s="1"/>
  <c r="B137" i="1"/>
  <c r="U9" i="5" l="1"/>
  <c r="V9" i="5" s="1"/>
  <c r="T34" i="8"/>
  <c r="T32" i="8"/>
  <c r="T30" i="8"/>
  <c r="T33" i="8"/>
  <c r="T31" i="8"/>
  <c r="E38" i="1"/>
  <c r="AL34" i="3"/>
  <c r="AL35" i="3" s="1"/>
  <c r="J52" i="8"/>
  <c r="AA137" i="1"/>
  <c r="K54" i="8"/>
  <c r="Q54" i="8" s="1"/>
  <c r="AB137" i="1"/>
  <c r="L54" i="8"/>
  <c r="R54" i="8" s="1"/>
  <c r="X137" i="1"/>
  <c r="H54" i="8"/>
  <c r="N54" i="8" s="1"/>
  <c r="Y137" i="1"/>
  <c r="I54" i="8"/>
  <c r="O54" i="8" s="1"/>
  <c r="AC137" i="1"/>
  <c r="M54" i="8"/>
  <c r="S54" i="8" s="1"/>
  <c r="T51" i="8"/>
  <c r="T52" i="8"/>
  <c r="T49" i="8"/>
  <c r="N52" i="8"/>
  <c r="T50" i="8"/>
  <c r="T12" i="8"/>
  <c r="T23" i="8"/>
  <c r="T29" i="8"/>
  <c r="T37" i="8"/>
  <c r="T10" i="8"/>
  <c r="T48" i="8"/>
  <c r="T38" i="8"/>
  <c r="T28" i="8"/>
  <c r="T42" i="8"/>
  <c r="T11" i="8"/>
  <c r="T13" i="8"/>
  <c r="CT34" i="3"/>
  <c r="CT35" i="3" s="1"/>
  <c r="J26" i="5"/>
  <c r="P26" i="5" s="1"/>
  <c r="Z162" i="1"/>
  <c r="CG34" i="3" s="1"/>
  <c r="CG35" i="3" s="1"/>
  <c r="AD163" i="1"/>
  <c r="Y162" i="1"/>
  <c r="J162" i="1"/>
  <c r="X162" i="1" s="1"/>
  <c r="AF29" i="1"/>
  <c r="T37" i="1"/>
  <c r="AD34" i="3" s="1"/>
  <c r="AD35" i="3" s="1"/>
  <c r="Z40" i="1"/>
  <c r="AK29" i="1"/>
  <c r="AL29" i="1" s="1"/>
  <c r="AI151" i="1"/>
  <c r="AE163" i="1"/>
  <c r="M135" i="1"/>
  <c r="M151" i="1" s="1"/>
  <c r="Z151" i="1" s="1"/>
  <c r="Z37" i="1"/>
  <c r="J34" i="5" s="1"/>
  <c r="AG151" i="1"/>
  <c r="R162" i="1"/>
  <c r="T162" i="1"/>
  <c r="AF131" i="1"/>
  <c r="S162" i="1"/>
  <c r="E137" i="1"/>
  <c r="E151" i="1"/>
  <c r="T151" i="1" s="1"/>
  <c r="T135" i="1"/>
  <c r="AH151" i="1"/>
  <c r="AD161" i="1"/>
  <c r="P34" i="5" l="1"/>
  <c r="U10" i="5"/>
  <c r="V10" i="5" s="1"/>
  <c r="V52" i="8"/>
  <c r="U33" i="8"/>
  <c r="U30" i="8"/>
  <c r="U31" i="8"/>
  <c r="U32" i="8"/>
  <c r="U34" i="8"/>
  <c r="AM34" i="3"/>
  <c r="U11" i="8"/>
  <c r="U28" i="8"/>
  <c r="U51" i="8"/>
  <c r="U12" i="8"/>
  <c r="U29" i="8"/>
  <c r="U48" i="8"/>
  <c r="U52" i="8"/>
  <c r="P52" i="8"/>
  <c r="U13" i="8"/>
  <c r="U37" i="8"/>
  <c r="U49" i="8"/>
  <c r="U23" i="8"/>
  <c r="U38" i="8"/>
  <c r="U50" i="8"/>
  <c r="U42" i="8"/>
  <c r="U10" i="8"/>
  <c r="CU34" i="3"/>
  <c r="AE162" i="1"/>
  <c r="AF162" i="1"/>
  <c r="AK162" i="1" s="1"/>
  <c r="CF34" i="3"/>
  <c r="CF35" i="3" s="1"/>
  <c r="T137" i="1"/>
  <c r="CD34" i="3"/>
  <c r="CD35" i="3" s="1"/>
  <c r="AF37" i="1"/>
  <c r="AE34" i="3"/>
  <c r="AE35" i="3" s="1"/>
  <c r="AJ12" i="1"/>
  <c r="AD162" i="1"/>
  <c r="M137" i="1"/>
  <c r="AK37" i="1"/>
  <c r="AL37" i="1" s="1"/>
  <c r="Z135" i="1"/>
  <c r="J54" i="8" s="1"/>
  <c r="P54" i="8" s="1"/>
  <c r="AF151" i="1"/>
  <c r="Z137" i="1" l="1"/>
  <c r="CE34" i="3"/>
  <c r="CE35" i="3" s="1"/>
</calcChain>
</file>

<file path=xl/comments1.xml><?xml version="1.0" encoding="utf-8"?>
<comments xmlns="http://schemas.openxmlformats.org/spreadsheetml/2006/main">
  <authors>
    <author>Алексей Кичёв</author>
  </authors>
  <commentList>
    <comment ref="K15" authorId="0">
      <text>
        <r>
          <rPr>
            <b/>
            <sz val="9"/>
            <color indexed="81"/>
            <rFont val="Tahoma"/>
            <family val="2"/>
            <charset val="204"/>
          </rPr>
          <t>Гранты (ВР 613) и возврат средств в доходы (не уточнен, конец месяца, невыясненные)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не успели уточнить возврат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гранты (ВР 613)</t>
        </r>
      </text>
    </comment>
  </commentList>
</comments>
</file>

<file path=xl/sharedStrings.xml><?xml version="1.0" encoding="utf-8"?>
<sst xmlns="http://schemas.openxmlformats.org/spreadsheetml/2006/main" count="1220" uniqueCount="353">
  <si>
    <t>Показатели</t>
  </si>
  <si>
    <t>Процент выполнения (%)</t>
  </si>
  <si>
    <t>Консоли-дирован-ный бюджет области</t>
  </si>
  <si>
    <t>в том числе бюджеты:</t>
  </si>
  <si>
    <t>из них бюджеты:</t>
  </si>
  <si>
    <t>суммы подлежащие исключению</t>
  </si>
  <si>
    <t>област-ной</t>
  </si>
  <si>
    <t>консоли-дирован-ные бюджеты МО</t>
  </si>
  <si>
    <t>в т.ч.:</t>
  </si>
  <si>
    <t>город-ские</t>
  </si>
  <si>
    <t>район-ные</t>
  </si>
  <si>
    <t>поселе-ний</t>
  </si>
  <si>
    <t>посе-лений</t>
  </si>
  <si>
    <t>А</t>
  </si>
  <si>
    <t>1</t>
  </si>
  <si>
    <t>2</t>
  </si>
  <si>
    <t>3</t>
  </si>
  <si>
    <t>7</t>
  </si>
  <si>
    <t>8</t>
  </si>
  <si>
    <t>9</t>
  </si>
  <si>
    <t>13=7/1*100</t>
  </si>
  <si>
    <t>14=8/2*100</t>
  </si>
  <si>
    <t>15=9/3*100</t>
  </si>
  <si>
    <t>16=10/4*100</t>
  </si>
  <si>
    <t>17=11/5*100</t>
  </si>
  <si>
    <t>18=12/6*100</t>
  </si>
  <si>
    <t>ДОХОДЫ (по форме 0503317)</t>
  </si>
  <si>
    <t>Доходы бюджета - ИТОГО - спрятать</t>
  </si>
  <si>
    <t>Налоговые и неналоговые доходы, из них:</t>
  </si>
  <si>
    <t>Налог на прибыль организаций</t>
  </si>
  <si>
    <t>-</t>
  </si>
  <si>
    <t>Налог на доходы физических лиц</t>
  </si>
  <si>
    <t>Акцизы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</si>
  <si>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</si>
  <si>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</si>
  <si>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</si>
  <si>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</si>
  <si>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</si>
  <si>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</si>
  <si>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</si>
  <si>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</si>
  <si>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активов</t>
  </si>
  <si>
    <t>Административные платежи и сборы</t>
  </si>
  <si>
    <t>Штрафные санкции</t>
  </si>
  <si>
    <t>Прочие неналоговые доходы</t>
  </si>
  <si>
    <t xml:space="preserve"> - из них: невыясненные поступления</t>
  </si>
  <si>
    <t>Поступления (перечисления) по урегулированию расчетов между бюджетами</t>
  </si>
  <si>
    <t>Безвозмездные поступления, в т.ч.:</t>
  </si>
  <si>
    <t>1. От других бюджетов</t>
  </si>
  <si>
    <t>2. Безвозмездные поступления от государственных (муниципальных) организаций</t>
  </si>
  <si>
    <t>3. Безвозмездные поступления от негосударственных  организаций</t>
  </si>
  <si>
    <t>4. Прочие безвозмездные поступления</t>
  </si>
  <si>
    <t>5. 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</si>
  <si>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ВСЕГО ДОХОДЫ</t>
  </si>
  <si>
    <t>Контроль - спрятать</t>
  </si>
  <si>
    <t>Итого безвозмездные</t>
  </si>
  <si>
    <t>Отклонение</t>
  </si>
  <si>
    <t>Отклонения в доходах получено поселениями от районов и в расходах - отдано в районах межбюджетных</t>
  </si>
  <si>
    <t>РАСХОДЫ (по форме 0503317)</t>
  </si>
  <si>
    <r>
      <t xml:space="preserve">Расходы - </t>
    </r>
    <r>
      <rPr>
        <b/>
        <sz val="10"/>
        <color indexed="10"/>
        <rFont val="Arial"/>
        <family val="2"/>
        <charset val="204"/>
      </rPr>
      <t>спрятать</t>
    </r>
  </si>
  <si>
    <t>Общегосударственные вопросы (01)</t>
  </si>
  <si>
    <t>в т.ч. межбюджетные трансферты</t>
  </si>
  <si>
    <t>Национальная оборона (02)</t>
  </si>
  <si>
    <t>Национальная безопасность и правоохранительная деятельность (03)</t>
  </si>
  <si>
    <t>Национальная экономика (04), из них:</t>
  </si>
  <si>
    <t xml:space="preserve"> - общеэкономические вопросы (0401)</t>
  </si>
  <si>
    <t xml:space="preserve"> - топливно-энергетический комплекс (0402)</t>
  </si>
  <si>
    <t xml:space="preserve">   в т.ч межбюджетные трансферты</t>
  </si>
  <si>
    <t xml:space="preserve"> - сельское хозяйство и рыболовство (0405)</t>
  </si>
  <si>
    <t xml:space="preserve"> - водное хозяйство (0406)</t>
  </si>
  <si>
    <t xml:space="preserve"> - лесное хозяйство (0407)</t>
  </si>
  <si>
    <t xml:space="preserve"> - транспорт (0408)</t>
  </si>
  <si>
    <t xml:space="preserve"> - дорожное хозяйство, фонды (0409)</t>
  </si>
  <si>
    <t xml:space="preserve"> - связь и информатика (0410)</t>
  </si>
  <si>
    <t xml:space="preserve"> - другие вопросы в области национальной экономики (0412)</t>
  </si>
  <si>
    <t>Жилищно-коммунальное хозяйство (05), из них:</t>
  </si>
  <si>
    <t xml:space="preserve"> - жилищное хозяйство (0501)</t>
  </si>
  <si>
    <t xml:space="preserve"> - коммунальное хозяйство (0502)</t>
  </si>
  <si>
    <t xml:space="preserve"> - благоустройство (0503)</t>
  </si>
  <si>
    <t xml:space="preserve"> - другие вопросы в области жилищно-коммунального хозяйства (0505)</t>
  </si>
  <si>
    <t>Охрана окружающей среды (06)</t>
  </si>
  <si>
    <t>Культура, кинематография (08)</t>
  </si>
  <si>
    <t>Здравоохранение (09), из них:</t>
  </si>
  <si>
    <t xml:space="preserve"> - стационарная медицинская помощь (0901)</t>
  </si>
  <si>
    <t xml:space="preserve"> - амбулаторная помощь (0902)</t>
  </si>
  <si>
    <t xml:space="preserve"> - другие вопросы в области здравоохранения (0909)</t>
  </si>
  <si>
    <t>Физическая культура и спорт (1100)</t>
  </si>
  <si>
    <t>Средства массовой информации (1200)</t>
  </si>
  <si>
    <t>Обслуживание гос. и муниципального долга (1300)</t>
  </si>
  <si>
    <t>Межбюджетные трансферты общего характера (1400)</t>
  </si>
  <si>
    <t xml:space="preserve"> -  дотации на выравнивание бюджетной обеспеченности</t>
  </si>
  <si>
    <t xml:space="preserve"> - иные дотации</t>
  </si>
  <si>
    <t xml:space="preserve"> - прочие межбюджетные трансферты общего характера</t>
  </si>
  <si>
    <t>ВСЕГО РАСХОДЫ</t>
  </si>
  <si>
    <t>контроль - спрятать</t>
  </si>
  <si>
    <t>контроль межбюджетных - спрятать</t>
  </si>
  <si>
    <t>РЕЗУЛЬТАТ ИСПОЛНЕНИЯ БЮДЖЕТОВ:                   дефицит (-),  профицит (+)</t>
  </si>
  <si>
    <t>х</t>
  </si>
  <si>
    <t>результат по отчету - спрятать</t>
  </si>
  <si>
    <t>Контроль результата - спрятать</t>
  </si>
  <si>
    <t>Источники финансирования дефицита бюджетов (по форме 0503317), в т.ч.:</t>
  </si>
  <si>
    <t>Кредиты кредитных организаций (оборот)</t>
  </si>
  <si>
    <t>Бюджетные кредиты (оборот)</t>
  </si>
  <si>
    <t>Средства от продажи акций и иных форм участия в капитале</t>
  </si>
  <si>
    <t>Исполнение государственных и муниципальных гарантий</t>
  </si>
  <si>
    <t>Возврат бюджетных кредитов</t>
  </si>
  <si>
    <t>Операции по управлению остатками средств на единых счетах бюджетов (оборот)</t>
  </si>
  <si>
    <t>Изменение остатков средств бюджетов (оборот)</t>
  </si>
  <si>
    <t>СПРАВОЧНО:</t>
  </si>
  <si>
    <t>Изменение (+/-), млн.руб.</t>
  </si>
  <si>
    <t xml:space="preserve">         - федерального бюджета</t>
  </si>
  <si>
    <t xml:space="preserve">         - областного бюджета</t>
  </si>
  <si>
    <t>Просроченная кредиторская задолженность (ф. 0503369)</t>
  </si>
  <si>
    <t>Внутренний долг, в т.ч.:</t>
  </si>
  <si>
    <t xml:space="preserve"> - по бюджетным кредитам</t>
  </si>
  <si>
    <t xml:space="preserve"> - в т.ч. по бюджетным кредитам - спрятать</t>
  </si>
  <si>
    <t xml:space="preserve"> - и по бюджетным ссудам - спрятать</t>
  </si>
  <si>
    <t xml:space="preserve"> - по кредитам кредитных организаций</t>
  </si>
  <si>
    <t xml:space="preserve"> - по выданным гарантиям</t>
  </si>
  <si>
    <t>поселе-ний город</t>
  </si>
  <si>
    <t>поселе-ний село</t>
  </si>
  <si>
    <t>Утверждено по отчету на 2016 год (руб.)</t>
  </si>
  <si>
    <t>Утверждено по отчету на 2016 год (млн.руб.)</t>
  </si>
  <si>
    <t>Показатели на 01.01.2016 (руб.)</t>
  </si>
  <si>
    <t>Показатели на 01.01.2016 (млн.руб.)</t>
  </si>
  <si>
    <t xml:space="preserve">  целевые, в т.ч.:</t>
  </si>
  <si>
    <t>Остатки на счетах бюджета (ф. 0503320 и 0503387), из них:</t>
  </si>
  <si>
    <t>Бюджеты</t>
  </si>
  <si>
    <t>ДОХОДЫ, всего с внутренними оборотами</t>
  </si>
  <si>
    <t>РАСХОДЫ, всего с внутренними оборотами</t>
  </si>
  <si>
    <t>Итого ДОХОДЫ</t>
  </si>
  <si>
    <t>Итого ДОХОДЫ - сайт Правительства АО, по месячной форме</t>
  </si>
  <si>
    <t>Итого РАСХОДЫ</t>
  </si>
  <si>
    <t>Безвозмездые поступления от других бюджетов, всего с внутренними оборотами</t>
  </si>
  <si>
    <t>Безвозмездные из областного бюджета</t>
  </si>
  <si>
    <t>Налоговые и неналоговые доходы</t>
  </si>
  <si>
    <t>Акцизы по подакцизным товарам (продукции)</t>
  </si>
  <si>
    <t>в т.ч.</t>
  </si>
  <si>
    <t>Результат исполнения бюджета</t>
  </si>
  <si>
    <t>Внутренний долг на 01.01.2016</t>
  </si>
  <si>
    <t>Изменение внутреннего долга за год</t>
  </si>
  <si>
    <t>Безвозмездные поступления ВСЕГО, с внутренними оборотами</t>
  </si>
  <si>
    <t>Безвозмеждные поступления ВСЕГО, без вн. оборотов</t>
  </si>
  <si>
    <t>НДФЛ</t>
  </si>
  <si>
    <t>Обслуживание внутреннего долга</t>
  </si>
  <si>
    <t>Назначено</t>
  </si>
  <si>
    <t>Исполнено</t>
  </si>
  <si>
    <t>%</t>
  </si>
  <si>
    <t>целевые (ф. 387)</t>
  </si>
  <si>
    <t>целевые</t>
  </si>
  <si>
    <t>целевых</t>
  </si>
  <si>
    <t>город</t>
  </si>
  <si>
    <t>район</t>
  </si>
  <si>
    <t>посел.</t>
  </si>
  <si>
    <t>ВСЕГО в тыс.руб.</t>
  </si>
  <si>
    <t>Неправильно отражено</t>
  </si>
  <si>
    <t>всего руб.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</si>
  <si>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</si>
  <si>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</si>
  <si>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</si>
  <si>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</si>
  <si>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</si>
  <si>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</si>
  <si>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</si>
  <si>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</si>
  <si>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</si>
  <si>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</si>
  <si>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</si>
  <si>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</si>
  <si>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</si>
  <si>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</si>
  <si>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</si>
  <si>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</si>
  <si>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</si>
  <si>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</si>
  <si>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</si>
  <si>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</si>
  <si>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</si>
  <si>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</si>
  <si>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</si>
  <si>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</si>
  <si>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</si>
  <si>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</si>
  <si>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</si>
  <si>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Консолидированные бюджеты</t>
  </si>
  <si>
    <t>Доходы</t>
  </si>
  <si>
    <t>Расходы</t>
  </si>
  <si>
    <t>Результат исполнения (дефицит "-", профицит "+")</t>
  </si>
  <si>
    <t>назначено на год</t>
  </si>
  <si>
    <t>исполнено</t>
  </si>
  <si>
    <t>Всего</t>
  </si>
  <si>
    <t>в т.ч. целевых</t>
  </si>
  <si>
    <t>3=2/1</t>
  </si>
  <si>
    <t>4</t>
  </si>
  <si>
    <t>5=4/3</t>
  </si>
  <si>
    <t>6</t>
  </si>
  <si>
    <t>10</t>
  </si>
  <si>
    <t>11</t>
  </si>
  <si>
    <t>12</t>
  </si>
  <si>
    <t>Налоговые и неналоговые</t>
  </si>
  <si>
    <t>из них:</t>
  </si>
  <si>
    <t>Безвозмеждные поступления, с учтом возврата целевых остатков и доходов от возврата остатков</t>
  </si>
  <si>
    <t>налог на доходы физических лиц</t>
  </si>
  <si>
    <t>уд. вес. в составе налог. и неналог. доходов</t>
  </si>
  <si>
    <t>из областного бюджета</t>
  </si>
  <si>
    <t>уд. вес. в составе  доходов</t>
  </si>
  <si>
    <t>Назн.</t>
  </si>
  <si>
    <t>Исп.</t>
  </si>
  <si>
    <t>2/1</t>
  </si>
  <si>
    <t>4/3</t>
  </si>
  <si>
    <t>5</t>
  </si>
  <si>
    <t>6/5</t>
  </si>
  <si>
    <t>5/3</t>
  </si>
  <si>
    <t>6/4</t>
  </si>
  <si>
    <t>8/7</t>
  </si>
  <si>
    <t>10/9</t>
  </si>
  <si>
    <t>9/1</t>
  </si>
  <si>
    <t>10/2</t>
  </si>
  <si>
    <t>Остатки средств на 01.01.2016 (баланс)</t>
  </si>
  <si>
    <t>посел. гор.</t>
  </si>
  <si>
    <t>посел. сель</t>
  </si>
  <si>
    <t>Межбюджетные трансферты в расходах - внутренние обороты (ВР 500 по разделам и подразделам)</t>
  </si>
  <si>
    <t>Изменения (+/-)</t>
  </si>
  <si>
    <t>13=7-1</t>
  </si>
  <si>
    <t>14=8-2</t>
  </si>
  <si>
    <t>15=9-3</t>
  </si>
  <si>
    <t>16=10-4</t>
  </si>
  <si>
    <t>17=11-5</t>
  </si>
  <si>
    <t>18=12-6</t>
  </si>
  <si>
    <t>5. Доходы от возврата целевых остатков прошл. лет</t>
  </si>
  <si>
    <t>6. Возврат целевых остатков прошлых лет</t>
  </si>
  <si>
    <t>Наименование</t>
  </si>
  <si>
    <t>Министерство строительства и архитектуры АО</t>
  </si>
  <si>
    <t>Министерство топливно-энергетического комплекса и жилищно-коммунального хозяйства АО</t>
  </si>
  <si>
    <t>Министерство природных ресурсов и лесопромышленного комплекса АО</t>
  </si>
  <si>
    <t>Министерство здравоохранения АО</t>
  </si>
  <si>
    <t>Министерство культуры АО</t>
  </si>
  <si>
    <t>Министерство связи и информационных технологий АО</t>
  </si>
  <si>
    <t>Министерство образования и науки АО</t>
  </si>
  <si>
    <t>Министерство агропромышленного комплекса и торговли АО</t>
  </si>
  <si>
    <t>Министерство транспорта АО</t>
  </si>
  <si>
    <t>Министерство экономического развития АО</t>
  </si>
  <si>
    <t>Министерство труда, занятости и социального развития АО</t>
  </si>
  <si>
    <t>Агентство государственной противопожарной службы и гражданской защиты АО</t>
  </si>
  <si>
    <t>Агентство по спорту АО</t>
  </si>
  <si>
    <t>Администрация Губернатора и Правительства АО</t>
  </si>
  <si>
    <t>Агентство по печати и средствам массовой информации АО</t>
  </si>
  <si>
    <t>Инспекция по ветеринарному надзору АО</t>
  </si>
  <si>
    <t>Показатель</t>
  </si>
  <si>
    <t>% к итогу</t>
  </si>
  <si>
    <t>Изменение (+ / -)</t>
  </si>
  <si>
    <t>млн.руб.</t>
  </si>
  <si>
    <t>пунктов</t>
  </si>
  <si>
    <t>Дотации</t>
  </si>
  <si>
    <t>Субсидии</t>
  </si>
  <si>
    <t>Субвенции</t>
  </si>
  <si>
    <t>Иные межбюджетные трансферты</t>
  </si>
  <si>
    <t>Итого</t>
  </si>
  <si>
    <t>Безвозмездные поступления от других бюджетов в областной бюджет</t>
  </si>
  <si>
    <t>РЕЗУЛЬТАТ ИСПОЛНЕНИЯ БЮДЖЕТОВ: дефицит (-),  профицит (+)</t>
  </si>
  <si>
    <t>Доходы консолидированного бюджета за 9 месяцев 2016 года в сравнении с аналогичным периодом предыдущего года</t>
  </si>
  <si>
    <t>Исполнено за 9 мес. 2015 года (млн.руб.)</t>
  </si>
  <si>
    <t>Расходы консолидированного бюджета за 9 месяцев 2016 года в сравнении с аналогичным периодом предыдущего года</t>
  </si>
  <si>
    <t>Исполнено за 9 мес. 2016 года (млн.руб.)</t>
  </si>
  <si>
    <t>Внутренний долг на 01.10.2016</t>
  </si>
  <si>
    <t>9 мес. 2015 г., млн.руб.</t>
  </si>
  <si>
    <t>9 мес. 2016 г., млн.руб.</t>
  </si>
  <si>
    <t>Исполнено за 9 мес. 2016 года (руб.)</t>
  </si>
  <si>
    <t>Показатели на 01.10.2016 (руб.)</t>
  </si>
  <si>
    <t>Показатели на 01.10.2016 (млн.руб.)</t>
  </si>
  <si>
    <t>Остатки средств на 01.10.2016</t>
  </si>
  <si>
    <t>Изменение остатков за 9 мес. 2016 года</t>
  </si>
  <si>
    <t>Изменение внутр. долга за 9 мес. 2016 года</t>
  </si>
  <si>
    <t>Изменение остатков за 9 месяцев 2016</t>
  </si>
  <si>
    <t>6. Доходы от возврата целевых остатков прошл. лет</t>
  </si>
  <si>
    <t>7. Возврат целевых остатков прошлых лет</t>
  </si>
  <si>
    <t>Прочие межбюджетные от других бюджетов</t>
  </si>
  <si>
    <t>6=4-2</t>
  </si>
  <si>
    <t>7=5-3</t>
  </si>
  <si>
    <t>Социальная политика (1000), из них:</t>
  </si>
  <si>
    <t xml:space="preserve"> - социальное обслуживание населения (1002)</t>
  </si>
  <si>
    <t xml:space="preserve"> - пенсионное обеспечение (1001)</t>
  </si>
  <si>
    <t xml:space="preserve"> - социальное обеспечение населения (1003)</t>
  </si>
  <si>
    <t xml:space="preserve"> - охрана семьи и детства (1004)</t>
  </si>
  <si>
    <t xml:space="preserve"> - другие вопросы в области социальной политики (1006)</t>
  </si>
  <si>
    <t>Приложение № 1.1</t>
  </si>
  <si>
    <t>Приложение № 1.2</t>
  </si>
  <si>
    <t xml:space="preserve"> - дошкольное образование (0701)</t>
  </si>
  <si>
    <t xml:space="preserve"> - общее образование (0702)</t>
  </si>
  <si>
    <t xml:space="preserve"> - среднее профессиональное образование (0704)</t>
  </si>
  <si>
    <t xml:space="preserve"> - профессиональная подготовка, переподготовка и повышение квалификации (0705)</t>
  </si>
  <si>
    <t xml:space="preserve"> - прикладные научные исследования в области образования (0708)</t>
  </si>
  <si>
    <t xml:space="preserve"> - другие вопросы в области образования (0709)</t>
  </si>
  <si>
    <t xml:space="preserve"> - молодежная политика и оздоровление детей (0707)</t>
  </si>
  <si>
    <t>Образование (07), из них:</t>
  </si>
  <si>
    <t>в тыс.руб.</t>
  </si>
  <si>
    <t>Остатки средств (ф. 0503779), без учета средств во временном распоряжении</t>
  </si>
  <si>
    <t>Доходы за 9 мес. 2016 года (ф. 0503737)</t>
  </si>
  <si>
    <t>Перечис-лено из областного бюджета за 9 мес. 2016 (ведомственная структура)</t>
  </si>
  <si>
    <t>Откло-нения</t>
  </si>
  <si>
    <t>Расходы за 9 мес. 2016 года (ф. 0503737)</t>
  </si>
  <si>
    <t>На 01.10.2016</t>
  </si>
  <si>
    <t>Изменения за 9 мес. (+,-)</t>
  </si>
  <si>
    <t>в т.ч. за счет бюдж. средств</t>
  </si>
  <si>
    <t>% вып-ия плана года</t>
  </si>
  <si>
    <t>на 01.10.2016</t>
  </si>
  <si>
    <t>Измене-ние за 9 мес.</t>
  </si>
  <si>
    <t>изменение за 9 мес. по бюдж. средствам</t>
  </si>
  <si>
    <t>Изменение за 9 мес.</t>
  </si>
  <si>
    <t>изменение  за 9 мес. по бюдж. средствам</t>
  </si>
  <si>
    <t>11=10-8</t>
  </si>
  <si>
    <t>Агентство по развитию Соловецкого архипелага АО</t>
  </si>
  <si>
    <t>ИТОГО</t>
  </si>
  <si>
    <t>Обеспечение мероприятий по капитальному ремонту многоквартирных домов, переселению граждан из аварийного жилищного фонда</t>
  </si>
  <si>
    <t>в том числе за счет средств:</t>
  </si>
  <si>
    <t>Фонда содействия реформированию жилищно-коммунального хозяйства</t>
  </si>
  <si>
    <t>областного и местных бюджетов</t>
  </si>
  <si>
    <t>Утверждено на год</t>
  </si>
  <si>
    <t>Исполнено на 01.10.2016</t>
  </si>
  <si>
    <t>% выполнения к плану года</t>
  </si>
  <si>
    <t>районные и городские</t>
  </si>
  <si>
    <t>посе-ления</t>
  </si>
  <si>
    <t>район-ные и город-ские</t>
  </si>
  <si>
    <t>Областной бюджет</t>
  </si>
  <si>
    <t>Всего область</t>
  </si>
  <si>
    <t xml:space="preserve">Обеспечение мероприятий по капитальному ремонту многоквартирных домов </t>
  </si>
  <si>
    <t xml:space="preserve">Обеспечение мероприятий по переселению граждан из аварийного жилищного фонда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</si>
  <si>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</si>
  <si>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Просроченная задолженность (ф. 0503769)</t>
  </si>
  <si>
    <t>Дебиторская</t>
  </si>
  <si>
    <t>Кредиторская</t>
  </si>
  <si>
    <t>Рост, снижение в %</t>
  </si>
  <si>
    <t>субсидии</t>
  </si>
  <si>
    <t>субвенции</t>
  </si>
  <si>
    <t>дотации</t>
  </si>
  <si>
    <t>иные</t>
  </si>
  <si>
    <t>Приложение № 1.3</t>
  </si>
  <si>
    <t>Сведения об исполнении консолидированных бюджетов муниципальных образований в Архангельской области за 9 месяцев 2016 года</t>
  </si>
  <si>
    <t>тыс.рублей</t>
  </si>
  <si>
    <t>Приложение № 1.5.</t>
  </si>
  <si>
    <t>Приложение № 1.4</t>
  </si>
  <si>
    <t>Приложение № 1.6</t>
  </si>
  <si>
    <t>Приложение № 4.1</t>
  </si>
  <si>
    <t>Приложение № 3.1</t>
  </si>
  <si>
    <t>Приложение № 3.2</t>
  </si>
  <si>
    <t>Выполнение доходной части консолидированного бюджета муниципальных образований Архангельской области за 9 месяцев 2016 года</t>
  </si>
  <si>
    <t>Исполнено за 9 мес. 2015 года, тыс.руб.</t>
  </si>
  <si>
    <t>Исполнено за 9 мес. 2016 года, тыс.руб.</t>
  </si>
  <si>
    <t>Сведения об исполнении консолидированного бюджета Архангельской области за 9 месяцев 2016 года</t>
  </si>
  <si>
    <t>Межбюджетные трансферты из областного бюджета в бюджеты городских округов и муниципальных районов за 9 месяцев 2016 года и за 9 месяцев 2015 года</t>
  </si>
  <si>
    <t>Сведения о расходах консолидированного бюджета Архангельской области по обеспечению мероприятий по капитальному ремонту многоквартирных домов, переселению граждан из аварийного жилищного фонда за 9 месяцев 2016 года</t>
  </si>
  <si>
    <t>Сведения о расходах консолидированного бюджета Архангельской области за 9 месяцев 2016 года по обеспечению мероприятий по капитальному ремонту многоквартирных домов, переселению граждан из аварийного жилищного фонда в разрезе мероприятий</t>
  </si>
  <si>
    <t>Сведения о выполнении планов финансово-хозяйственной деятельности государственных бюджетных и автономных учреждений за 9 месяцев 2016 года в разрезе главных распорядителей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</si>
</sst>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_ ;[Red]\-#,##0.00\ "/>
    <numFmt numFmtId="165" formatCode="#,##0.0_ ;[Red]\-#,##0.0\ "/>
    <numFmt numFmtId="166" formatCode="#,##0.000000_ ;[Red]\-#,##0.000000\ "/>
    <numFmt numFmtId="167" formatCode="#,##0.000000000000_ ;[Red]\-#,##0.000000000000\ "/>
    <numFmt numFmtId="168" formatCode="#,##0.00000000000_ ;[Red]\-#,##0.00000000000\ "/>
    <numFmt numFmtId="169" formatCode="#,##0.00000_ ;[Red]\-#,##0.00000\ "/>
    <numFmt numFmtId="170" formatCode="#,##0_ ;[Red]\-#,##0\ "/>
    <numFmt numFmtId="171" formatCode="#,##0.000_ ;[Red]\-#,##0.000\ 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10"/>
      <color indexed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70C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2" fillId="0" borderId="22">
      <alignment horizontal="right" shrinkToFit="1"/>
    </xf>
    <xf numFmtId="4" fontId="27" fillId="0" borderId="22">
      <alignment horizontal="right"/>
    </xf>
    <xf numFmtId="4" fontId="27" fillId="0" borderId="19">
      <alignment horizontal="right"/>
    </xf>
    <xf numFmtId="4" fontId="28" fillId="0" borderId="22">
      <alignment horizontal="right" vertical="center" shrinkToFit="1"/>
    </xf>
    <xf numFmtId="4" fontId="28" fillId="0" borderId="19">
      <alignment horizontal="right" vertical="center" shrinkToFit="1"/>
    </xf>
  </cellStyleXfs>
  <cellXfs count="435">
    <xf numFmtId="0" fontId="0" fillId="0" borderId="0" xfId="0"/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 shrinkToFit="1"/>
    </xf>
    <xf numFmtId="164" fontId="9" fillId="0" borderId="0" xfId="0" applyNumberFormat="1" applyFont="1" applyAlignment="1">
      <alignment vertical="center" wrapText="1"/>
    </xf>
    <xf numFmtId="165" fontId="9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vertical="center" shrinkToFit="1"/>
    </xf>
    <xf numFmtId="165" fontId="12" fillId="0" borderId="0" xfId="0" applyNumberFormat="1" applyFont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shrinkToFit="1"/>
    </xf>
    <xf numFmtId="49" fontId="15" fillId="0" borderId="6" xfId="0" applyNumberFormat="1" applyFont="1" applyFill="1" applyBorder="1" applyAlignment="1">
      <alignment horizontal="center" vertical="center" shrinkToFit="1"/>
    </xf>
    <xf numFmtId="4" fontId="15" fillId="0" borderId="6" xfId="0" applyNumberFormat="1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1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165" fontId="11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horizontal="right" shrinkToFit="1"/>
    </xf>
    <xf numFmtId="4" fontId="9" fillId="2" borderId="9" xfId="0" applyNumberFormat="1" applyFont="1" applyFill="1" applyBorder="1" applyAlignment="1">
      <alignment horizontal="right" shrinkToFit="1"/>
    </xf>
    <xf numFmtId="165" fontId="9" fillId="0" borderId="6" xfId="0" applyNumberFormat="1" applyFont="1" applyBorder="1" applyAlignment="1">
      <alignment vertical="center" wrapText="1"/>
    </xf>
    <xf numFmtId="165" fontId="19" fillId="0" borderId="6" xfId="0" applyNumberFormat="1" applyFont="1" applyBorder="1" applyAlignment="1">
      <alignment vertical="center" wrapText="1"/>
    </xf>
    <xf numFmtId="165" fontId="9" fillId="0" borderId="1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4" fontId="13" fillId="2" borderId="6" xfId="0" applyNumberFormat="1" applyFont="1" applyFill="1" applyBorder="1" applyAlignment="1">
      <alignment horizontal="right" shrinkToFit="1"/>
    </xf>
    <xf numFmtId="4" fontId="13" fillId="4" borderId="6" xfId="0" applyNumberFormat="1" applyFont="1" applyFill="1" applyBorder="1" applyAlignment="1">
      <alignment horizontal="right" shrinkToFit="1"/>
    </xf>
    <xf numFmtId="165" fontId="13" fillId="0" borderId="6" xfId="0" applyNumberFormat="1" applyFont="1" applyBorder="1" applyAlignment="1">
      <alignment vertical="center" wrapText="1"/>
    </xf>
    <xf numFmtId="165" fontId="13" fillId="0" borderId="10" xfId="0" applyNumberFormat="1" applyFont="1" applyBorder="1" applyAlignment="1">
      <alignment vertical="center" wrapText="1"/>
    </xf>
    <xf numFmtId="165" fontId="13" fillId="0" borderId="0" xfId="0" applyNumberFormat="1" applyFont="1" applyBorder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4" fontId="9" fillId="4" borderId="6" xfId="0" applyNumberFormat="1" applyFont="1" applyFill="1" applyBorder="1" applyAlignment="1">
      <alignment horizontal="right" shrinkToFit="1"/>
    </xf>
    <xf numFmtId="165" fontId="19" fillId="0" borderId="6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>
      <alignment horizontal="center" vertical="center" wrapText="1"/>
    </xf>
    <xf numFmtId="165" fontId="19" fillId="0" borderId="0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>
      <alignment vertical="center" wrapText="1"/>
    </xf>
    <xf numFmtId="164" fontId="9" fillId="2" borderId="6" xfId="0" applyNumberFormat="1" applyFont="1" applyFill="1" applyBorder="1" applyAlignment="1">
      <alignment vertical="center" wrapText="1"/>
    </xf>
    <xf numFmtId="4" fontId="9" fillId="5" borderId="6" xfId="0" applyNumberFormat="1" applyFont="1" applyFill="1" applyBorder="1" applyAlignment="1">
      <alignment horizontal="right" shrinkToFit="1"/>
    </xf>
    <xf numFmtId="164" fontId="9" fillId="5" borderId="6" xfId="0" applyNumberFormat="1" applyFont="1" applyFill="1" applyBorder="1" applyAlignment="1">
      <alignment vertical="center" wrapText="1"/>
    </xf>
    <xf numFmtId="165" fontId="9" fillId="0" borderId="10" xfId="0" applyNumberFormat="1" applyFont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right" vertical="center" shrinkToFit="1"/>
    </xf>
    <xf numFmtId="167" fontId="9" fillId="0" borderId="0" xfId="0" applyNumberFormat="1" applyFont="1" applyAlignment="1">
      <alignment vertical="center" wrapText="1"/>
    </xf>
    <xf numFmtId="165" fontId="19" fillId="0" borderId="0" xfId="0" applyNumberFormat="1" applyFont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8" fontId="9" fillId="0" borderId="0" xfId="0" applyNumberFormat="1" applyFont="1" applyAlignment="1">
      <alignment vertical="center" wrapText="1"/>
    </xf>
    <xf numFmtId="0" fontId="20" fillId="6" borderId="5" xfId="0" applyFont="1" applyFill="1" applyBorder="1" applyAlignment="1">
      <alignment vertical="center" wrapText="1"/>
    </xf>
    <xf numFmtId="4" fontId="21" fillId="6" borderId="6" xfId="0" applyNumberFormat="1" applyFont="1" applyFill="1" applyBorder="1" applyAlignment="1">
      <alignment horizontal="right" shrinkToFit="1"/>
    </xf>
    <xf numFmtId="165" fontId="20" fillId="6" borderId="6" xfId="0" applyNumberFormat="1" applyFont="1" applyFill="1" applyBorder="1" applyAlignment="1">
      <alignment vertical="center" wrapText="1"/>
    </xf>
    <xf numFmtId="165" fontId="20" fillId="6" borderId="10" xfId="0" applyNumberFormat="1" applyFont="1" applyFill="1" applyBorder="1" applyAlignment="1">
      <alignment vertical="center" wrapText="1"/>
    </xf>
    <xf numFmtId="165" fontId="20" fillId="6" borderId="0" xfId="0" applyNumberFormat="1" applyFont="1" applyFill="1" applyBorder="1" applyAlignment="1">
      <alignment vertical="center" wrapText="1"/>
    </xf>
    <xf numFmtId="165" fontId="20" fillId="6" borderId="0" xfId="0" applyNumberFormat="1" applyFont="1" applyFill="1" applyAlignment="1">
      <alignment vertical="center" wrapText="1"/>
    </xf>
    <xf numFmtId="164" fontId="20" fillId="6" borderId="0" xfId="0" applyNumberFormat="1" applyFont="1" applyFill="1" applyAlignment="1">
      <alignment vertical="center" wrapText="1"/>
    </xf>
    <xf numFmtId="165" fontId="22" fillId="0" borderId="0" xfId="0" applyNumberFormat="1" applyFont="1" applyBorder="1" applyAlignment="1">
      <alignment vertical="center" wrapText="1"/>
    </xf>
    <xf numFmtId="4" fontId="13" fillId="3" borderId="6" xfId="0" applyNumberFormat="1" applyFont="1" applyFill="1" applyBorder="1" applyAlignment="1">
      <alignment horizontal="right" vertical="center" shrinkToFit="1"/>
    </xf>
    <xf numFmtId="165" fontId="13" fillId="0" borderId="0" xfId="0" applyNumberFormat="1" applyFont="1" applyAlignment="1">
      <alignment vertical="center" wrapText="1"/>
    </xf>
    <xf numFmtId="164" fontId="22" fillId="0" borderId="0" xfId="0" applyNumberFormat="1" applyFont="1" applyAlignment="1">
      <alignment vertical="center" wrapText="1"/>
    </xf>
    <xf numFmtId="164" fontId="23" fillId="0" borderId="0" xfId="0" applyNumberFormat="1" applyFont="1" applyAlignment="1">
      <alignment vertical="center" wrapText="1"/>
    </xf>
    <xf numFmtId="4" fontId="9" fillId="3" borderId="6" xfId="0" applyNumberFormat="1" applyFont="1" applyFill="1" applyBorder="1" applyAlignment="1">
      <alignment horizontal="right" vertical="center" shrinkToFit="1"/>
    </xf>
    <xf numFmtId="164" fontId="19" fillId="0" borderId="0" xfId="0" applyNumberFormat="1" applyFont="1" applyAlignment="1">
      <alignment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0" fontId="13" fillId="7" borderId="13" xfId="0" applyFont="1" applyFill="1" applyBorder="1" applyAlignment="1">
      <alignment vertical="center" wrapText="1"/>
    </xf>
    <xf numFmtId="4" fontId="13" fillId="7" borderId="14" xfId="0" applyNumberFormat="1" applyFont="1" applyFill="1" applyBorder="1" applyAlignment="1">
      <alignment horizontal="right" vertical="center" shrinkToFit="1"/>
    </xf>
    <xf numFmtId="165" fontId="13" fillId="7" borderId="14" xfId="0" applyNumberFormat="1" applyFont="1" applyFill="1" applyBorder="1" applyAlignment="1">
      <alignment vertical="center" wrapText="1"/>
    </xf>
    <xf numFmtId="165" fontId="13" fillId="7" borderId="15" xfId="0" applyNumberFormat="1" applyFont="1" applyFill="1" applyBorder="1" applyAlignment="1">
      <alignment vertical="center" wrapText="1"/>
    </xf>
    <xf numFmtId="165" fontId="13" fillId="7" borderId="0" xfId="0" applyNumberFormat="1" applyFont="1" applyFill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shrinkToFit="1"/>
    </xf>
    <xf numFmtId="164" fontId="22" fillId="0" borderId="12" xfId="0" applyNumberFormat="1" applyFont="1" applyBorder="1" applyAlignment="1">
      <alignment vertical="center" wrapText="1"/>
    </xf>
    <xf numFmtId="164" fontId="22" fillId="0" borderId="17" xfId="0" applyNumberFormat="1" applyFont="1" applyBorder="1" applyAlignment="1">
      <alignment vertical="center" wrapText="1"/>
    </xf>
    <xf numFmtId="164" fontId="22" fillId="0" borderId="0" xfId="0" applyNumberFormat="1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164" fontId="22" fillId="0" borderId="18" xfId="0" applyNumberFormat="1" applyFont="1" applyBorder="1" applyAlignment="1">
      <alignment vertical="center" shrinkToFit="1"/>
    </xf>
    <xf numFmtId="164" fontId="22" fillId="0" borderId="18" xfId="0" applyNumberFormat="1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164" fontId="22" fillId="0" borderId="0" xfId="0" applyNumberFormat="1" applyFont="1" applyBorder="1" applyAlignment="1">
      <alignment vertical="center" shrinkToFit="1"/>
    </xf>
    <xf numFmtId="165" fontId="22" fillId="0" borderId="0" xfId="0" applyNumberFormat="1" applyFont="1" applyBorder="1" applyAlignment="1">
      <alignment vertical="center" shrinkToFit="1"/>
    </xf>
    <xf numFmtId="164" fontId="23" fillId="0" borderId="0" xfId="0" applyNumberFormat="1" applyFont="1" applyFill="1" applyBorder="1" applyAlignment="1">
      <alignment vertical="center" shrinkToFit="1"/>
    </xf>
    <xf numFmtId="169" fontId="23" fillId="0" borderId="0" xfId="0" applyNumberFormat="1" applyFont="1" applyFill="1" applyBorder="1" applyAlignment="1">
      <alignment vertical="center" shrinkToFit="1"/>
    </xf>
    <xf numFmtId="164" fontId="9" fillId="0" borderId="0" xfId="0" applyNumberFormat="1" applyFont="1" applyBorder="1" applyAlignment="1">
      <alignment vertical="center" wrapText="1"/>
    </xf>
    <xf numFmtId="0" fontId="13" fillId="8" borderId="5" xfId="0" applyFont="1" applyFill="1" applyBorder="1" applyAlignment="1">
      <alignment vertical="center" wrapText="1"/>
    </xf>
    <xf numFmtId="4" fontId="13" fillId="9" borderId="6" xfId="0" applyNumberFormat="1" applyFont="1" applyFill="1" applyBorder="1" applyAlignment="1">
      <alignment horizontal="right" shrinkToFit="1"/>
    </xf>
    <xf numFmtId="165" fontId="13" fillId="8" borderId="6" xfId="0" applyNumberFormat="1" applyFont="1" applyFill="1" applyBorder="1" applyAlignment="1">
      <alignment vertical="center" wrapText="1"/>
    </xf>
    <xf numFmtId="165" fontId="13" fillId="8" borderId="10" xfId="0" applyNumberFormat="1" applyFont="1" applyFill="1" applyBorder="1" applyAlignment="1">
      <alignment vertical="center" wrapText="1"/>
    </xf>
    <xf numFmtId="165" fontId="13" fillId="8" borderId="0" xfId="0" applyNumberFormat="1" applyFont="1" applyFill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4" fontId="19" fillId="2" borderId="6" xfId="0" applyNumberFormat="1" applyFont="1" applyFill="1" applyBorder="1" applyAlignment="1">
      <alignment vertical="center" shrinkToFit="1"/>
    </xf>
    <xf numFmtId="165" fontId="13" fillId="0" borderId="6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4" fontId="21" fillId="2" borderId="6" xfId="0" applyNumberFormat="1" applyFont="1" applyFill="1" applyBorder="1" applyAlignment="1">
      <alignment horizontal="right" shrinkToFit="1"/>
    </xf>
    <xf numFmtId="4" fontId="21" fillId="4" borderId="6" xfId="0" applyNumberFormat="1" applyFont="1" applyFill="1" applyBorder="1" applyAlignment="1">
      <alignment vertical="center" shrinkToFit="1"/>
    </xf>
    <xf numFmtId="165" fontId="21" fillId="0" borderId="6" xfId="0" applyNumberFormat="1" applyFont="1" applyBorder="1" applyAlignment="1">
      <alignment vertical="center" wrapText="1"/>
    </xf>
    <xf numFmtId="165" fontId="25" fillId="0" borderId="6" xfId="0" applyNumberFormat="1" applyFont="1" applyBorder="1" applyAlignment="1">
      <alignment vertical="center" wrapText="1"/>
    </xf>
    <xf numFmtId="165" fontId="21" fillId="0" borderId="10" xfId="0" applyNumberFormat="1" applyFont="1" applyBorder="1" applyAlignment="1">
      <alignment vertical="center" wrapText="1"/>
    </xf>
    <xf numFmtId="165" fontId="21" fillId="0" borderId="0" xfId="0" applyNumberFormat="1" applyFont="1" applyBorder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164" fontId="21" fillId="2" borderId="6" xfId="0" applyNumberFormat="1" applyFont="1" applyFill="1" applyBorder="1" applyAlignment="1">
      <alignment vertical="center" shrinkToFit="1"/>
    </xf>
    <xf numFmtId="165" fontId="21" fillId="0" borderId="6" xfId="0" applyNumberFormat="1" applyFont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vertical="center" shrinkToFit="1"/>
    </xf>
    <xf numFmtId="164" fontId="9" fillId="2" borderId="6" xfId="0" applyNumberFormat="1" applyFont="1" applyFill="1" applyBorder="1" applyAlignment="1">
      <alignment shrinkToFit="1"/>
    </xf>
    <xf numFmtId="0" fontId="19" fillId="0" borderId="5" xfId="0" applyFont="1" applyBorder="1" applyAlignment="1">
      <alignment vertical="center" wrapText="1"/>
    </xf>
    <xf numFmtId="164" fontId="21" fillId="2" borderId="6" xfId="0" applyNumberFormat="1" applyFont="1" applyFill="1" applyBorder="1" applyAlignment="1">
      <alignment shrinkToFit="1"/>
    </xf>
    <xf numFmtId="164" fontId="19" fillId="2" borderId="6" xfId="0" applyNumberFormat="1" applyFont="1" applyFill="1" applyBorder="1" applyAlignment="1">
      <alignment shrinkToFit="1"/>
    </xf>
    <xf numFmtId="165" fontId="13" fillId="0" borderId="10" xfId="0" applyNumberFormat="1" applyFont="1" applyBorder="1" applyAlignment="1">
      <alignment horizontal="center" vertical="center" wrapText="1"/>
    </xf>
    <xf numFmtId="165" fontId="13" fillId="0" borderId="0" xfId="0" applyNumberFormat="1" applyFont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vertical="center" shrinkToFit="1"/>
    </xf>
    <xf numFmtId="4" fontId="13" fillId="3" borderId="6" xfId="0" applyNumberFormat="1" applyFont="1" applyFill="1" applyBorder="1" applyAlignment="1">
      <alignment horizontal="right" shrinkToFit="1"/>
    </xf>
    <xf numFmtId="4" fontId="9" fillId="3" borderId="6" xfId="0" applyNumberFormat="1" applyFont="1" applyFill="1" applyBorder="1" applyAlignment="1">
      <alignment horizontal="right" shrinkToFit="1"/>
    </xf>
    <xf numFmtId="0" fontId="13" fillId="7" borderId="5" xfId="0" applyFont="1" applyFill="1" applyBorder="1" applyAlignment="1">
      <alignment vertical="center" wrapText="1"/>
    </xf>
    <xf numFmtId="164" fontId="13" fillId="7" borderId="6" xfId="0" applyNumberFormat="1" applyFont="1" applyFill="1" applyBorder="1" applyAlignment="1">
      <alignment vertical="center" shrinkToFit="1"/>
    </xf>
    <xf numFmtId="165" fontId="13" fillId="7" borderId="6" xfId="0" applyNumberFormat="1" applyFont="1" applyFill="1" applyBorder="1" applyAlignment="1">
      <alignment vertical="center" wrapText="1"/>
    </xf>
    <xf numFmtId="165" fontId="13" fillId="7" borderId="10" xfId="0" applyNumberFormat="1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64" fontId="23" fillId="0" borderId="6" xfId="0" applyNumberFormat="1" applyFont="1" applyFill="1" applyBorder="1" applyAlignment="1">
      <alignment vertical="center" shrinkToFit="1"/>
    </xf>
    <xf numFmtId="165" fontId="22" fillId="0" borderId="6" xfId="0" applyNumberFormat="1" applyFont="1" applyFill="1" applyBorder="1" applyAlignment="1">
      <alignment vertical="center" wrapText="1"/>
    </xf>
    <xf numFmtId="165" fontId="23" fillId="0" borderId="6" xfId="0" applyNumberFormat="1" applyFont="1" applyFill="1" applyBorder="1" applyAlignment="1">
      <alignment vertical="center" wrapText="1"/>
    </xf>
    <xf numFmtId="165" fontId="23" fillId="0" borderId="10" xfId="0" applyNumberFormat="1" applyFont="1" applyFill="1" applyBorder="1" applyAlignment="1">
      <alignment vertical="center" wrapText="1"/>
    </xf>
    <xf numFmtId="165" fontId="23" fillId="0" borderId="0" xfId="0" applyNumberFormat="1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vertical="center" shrinkToFit="1"/>
    </xf>
    <xf numFmtId="4" fontId="13" fillId="0" borderId="6" xfId="0" applyNumberFormat="1" applyFont="1" applyFill="1" applyBorder="1" applyAlignment="1">
      <alignment vertical="center" shrinkToFi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22" fillId="0" borderId="0" xfId="0" applyNumberFormat="1" applyFont="1" applyFill="1" applyBorder="1" applyAlignment="1">
      <alignment vertical="center" wrapText="1"/>
    </xf>
    <xf numFmtId="164" fontId="13" fillId="7" borderId="14" xfId="0" applyNumberFormat="1" applyFont="1" applyFill="1" applyBorder="1" applyAlignment="1">
      <alignment vertical="center" shrinkToFit="1"/>
    </xf>
    <xf numFmtId="165" fontId="13" fillId="7" borderId="14" xfId="0" applyNumberFormat="1" applyFont="1" applyFill="1" applyBorder="1" applyAlignment="1">
      <alignment horizontal="center" vertical="center" wrapText="1"/>
    </xf>
    <xf numFmtId="165" fontId="13" fillId="7" borderId="15" xfId="0" applyNumberFormat="1" applyFont="1" applyFill="1" applyBorder="1" applyAlignment="1">
      <alignment horizontal="center" vertical="center" wrapText="1"/>
    </xf>
    <xf numFmtId="165" fontId="13" fillId="7" borderId="0" xfId="0" applyNumberFormat="1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vertical="center" wrapText="1"/>
    </xf>
    <xf numFmtId="164" fontId="13" fillId="2" borderId="12" xfId="0" applyNumberFormat="1" applyFont="1" applyFill="1" applyBorder="1" applyAlignment="1">
      <alignment vertical="center" shrinkToFit="1"/>
    </xf>
    <xf numFmtId="164" fontId="13" fillId="9" borderId="12" xfId="0" applyNumberFormat="1" applyFont="1" applyFill="1" applyBorder="1" applyAlignment="1">
      <alignment vertical="center" shrinkToFit="1"/>
    </xf>
    <xf numFmtId="165" fontId="13" fillId="2" borderId="12" xfId="0" applyNumberFormat="1" applyFont="1" applyFill="1" applyBorder="1" applyAlignment="1">
      <alignment vertical="center" wrapText="1"/>
    </xf>
    <xf numFmtId="165" fontId="13" fillId="2" borderId="17" xfId="0" applyNumberFormat="1" applyFont="1" applyFill="1" applyBorder="1" applyAlignment="1">
      <alignment vertical="center" wrapText="1"/>
    </xf>
    <xf numFmtId="165" fontId="13" fillId="2" borderId="0" xfId="0" applyNumberFormat="1" applyFont="1" applyFill="1" applyBorder="1" applyAlignment="1">
      <alignment vertical="center" wrapText="1"/>
    </xf>
    <xf numFmtId="0" fontId="24" fillId="2" borderId="20" xfId="0" applyFont="1" applyFill="1" applyBorder="1" applyAlignment="1">
      <alignment vertical="center" wrapText="1"/>
    </xf>
    <xf numFmtId="164" fontId="13" fillId="2" borderId="11" xfId="0" applyNumberFormat="1" applyFont="1" applyFill="1" applyBorder="1" applyAlignment="1">
      <alignment vertical="center" shrinkToFit="1"/>
    </xf>
    <xf numFmtId="165" fontId="13" fillId="2" borderId="11" xfId="0" applyNumberFormat="1" applyFont="1" applyFill="1" applyBorder="1" applyAlignment="1">
      <alignment vertical="center" wrapText="1"/>
    </xf>
    <xf numFmtId="165" fontId="13" fillId="2" borderId="21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vertical="center" shrinkToFit="1"/>
    </xf>
    <xf numFmtId="164" fontId="13" fillId="9" borderId="0" xfId="0" applyNumberFormat="1" applyFont="1" applyFill="1" applyBorder="1" applyAlignment="1">
      <alignment vertical="center" shrinkToFit="1"/>
    </xf>
    <xf numFmtId="164" fontId="9" fillId="9" borderId="0" xfId="0" applyNumberFormat="1" applyFont="1" applyFill="1" applyBorder="1" applyAlignment="1">
      <alignment vertical="center" shrinkToFit="1"/>
    </xf>
    <xf numFmtId="0" fontId="9" fillId="0" borderId="13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shrinkToFit="1"/>
    </xf>
    <xf numFmtId="164" fontId="9" fillId="9" borderId="1" xfId="0" applyNumberFormat="1" applyFont="1" applyFill="1" applyBorder="1" applyAlignment="1">
      <alignment vertical="center" shrinkToFit="1"/>
    </xf>
    <xf numFmtId="165" fontId="9" fillId="0" borderId="14" xfId="0" applyNumberFormat="1" applyFont="1" applyBorder="1" applyAlignment="1">
      <alignment vertical="center" wrapText="1"/>
    </xf>
    <xf numFmtId="165" fontId="9" fillId="0" borderId="15" xfId="0" applyNumberFormat="1" applyFont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165" fontId="9" fillId="0" borderId="12" xfId="0" applyNumberFormat="1" applyFont="1" applyBorder="1" applyAlignment="1">
      <alignment vertical="center" wrapText="1"/>
    </xf>
    <xf numFmtId="165" fontId="9" fillId="0" borderId="17" xfId="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 wrapText="1"/>
    </xf>
    <xf numFmtId="164" fontId="13" fillId="3" borderId="6" xfId="0" applyNumberFormat="1" applyFont="1" applyFill="1" applyBorder="1" applyAlignment="1">
      <alignment vertical="center" shrinkToFit="1"/>
    </xf>
    <xf numFmtId="164" fontId="13" fillId="0" borderId="6" xfId="0" applyNumberFormat="1" applyFont="1" applyFill="1" applyBorder="1" applyAlignment="1">
      <alignment vertical="center" shrinkToFit="1"/>
    </xf>
    <xf numFmtId="164" fontId="12" fillId="0" borderId="22" xfId="1" applyNumberFormat="1" applyAlignment="1" applyProtection="1">
      <alignment horizontal="right" shrinkToFit="1"/>
    </xf>
    <xf numFmtId="164" fontId="9" fillId="3" borderId="6" xfId="0" applyNumberFormat="1" applyFont="1" applyFill="1" applyBorder="1" applyAlignment="1">
      <alignment vertical="center" shrinkToFit="1"/>
    </xf>
    <xf numFmtId="164" fontId="9" fillId="0" borderId="6" xfId="0" applyNumberFormat="1" applyFont="1" applyBorder="1" applyAlignment="1">
      <alignment vertical="center" shrinkToFit="1"/>
    </xf>
    <xf numFmtId="164" fontId="26" fillId="8" borderId="6" xfId="0" applyNumberFormat="1" applyFont="1" applyFill="1" applyBorder="1" applyAlignment="1">
      <alignment horizontal="right" shrinkToFit="1"/>
    </xf>
    <xf numFmtId="164" fontId="9" fillId="10" borderId="6" xfId="0" applyNumberFormat="1" applyFont="1" applyFill="1" applyBorder="1" applyAlignment="1">
      <alignment vertical="center" shrinkToFit="1"/>
    </xf>
    <xf numFmtId="164" fontId="13" fillId="0" borderId="6" xfId="0" applyNumberFormat="1" applyFont="1" applyBorder="1" applyAlignment="1">
      <alignment vertical="center" shrinkToFit="1"/>
    </xf>
    <xf numFmtId="164" fontId="13" fillId="9" borderId="6" xfId="0" applyNumberFormat="1" applyFont="1" applyFill="1" applyBorder="1" applyAlignment="1">
      <alignment vertical="center" shrinkToFit="1"/>
    </xf>
    <xf numFmtId="164" fontId="9" fillId="9" borderId="6" xfId="0" applyNumberFormat="1" applyFont="1" applyFill="1" applyBorder="1" applyAlignment="1">
      <alignment vertical="center" shrinkToFit="1"/>
    </xf>
    <xf numFmtId="164" fontId="9" fillId="7" borderId="6" xfId="0" applyNumberFormat="1" applyFont="1" applyFill="1" applyBorder="1" applyAlignment="1">
      <alignment vertical="center" shrinkToFit="1"/>
    </xf>
    <xf numFmtId="165" fontId="9" fillId="0" borderId="6" xfId="0" applyNumberFormat="1" applyFont="1" applyBorder="1" applyAlignment="1">
      <alignment vertical="center" shrinkToFit="1"/>
    </xf>
    <xf numFmtId="164" fontId="9" fillId="3" borderId="14" xfId="0" applyNumberFormat="1" applyFont="1" applyFill="1" applyBorder="1" applyAlignment="1">
      <alignment vertical="center" shrinkToFit="1"/>
    </xf>
    <xf numFmtId="164" fontId="9" fillId="0" borderId="14" xfId="0" applyNumberFormat="1" applyFont="1" applyBorder="1" applyAlignment="1">
      <alignment vertical="center" shrinkToFit="1"/>
    </xf>
    <xf numFmtId="164" fontId="9" fillId="7" borderId="14" xfId="0" applyNumberFormat="1" applyFont="1" applyFill="1" applyBorder="1" applyAlignment="1">
      <alignment vertical="center" shrinkToFit="1"/>
    </xf>
    <xf numFmtId="165" fontId="9" fillId="0" borderId="0" xfId="0" applyNumberFormat="1" applyFont="1" applyFill="1" applyAlignment="1">
      <alignment vertical="center" wrapText="1"/>
    </xf>
    <xf numFmtId="164" fontId="9" fillId="0" borderId="0" xfId="0" applyNumberFormat="1" applyFont="1" applyFill="1" applyAlignment="1">
      <alignment vertical="center" wrapText="1"/>
    </xf>
    <xf numFmtId="165" fontId="22" fillId="0" borderId="6" xfId="0" applyNumberFormat="1" applyFont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shrinkToFit="1"/>
    </xf>
    <xf numFmtId="4" fontId="9" fillId="2" borderId="6" xfId="0" applyNumberFormat="1" applyFont="1" applyFill="1" applyBorder="1" applyAlignment="1">
      <alignment horizontal="center" vertical="center" shrinkToFit="1"/>
    </xf>
    <xf numFmtId="4" fontId="9" fillId="4" borderId="6" xfId="0" applyNumberFormat="1" applyFont="1" applyFill="1" applyBorder="1" applyAlignment="1">
      <alignment vertical="center" shrinkToFit="1"/>
    </xf>
    <xf numFmtId="0" fontId="19" fillId="0" borderId="0" xfId="0" applyFont="1" applyAlignment="1">
      <alignment vertical="center" wrapText="1"/>
    </xf>
    <xf numFmtId="0" fontId="19" fillId="7" borderId="0" xfId="0" applyFont="1" applyFill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0" fillId="7" borderId="0" xfId="0" applyFont="1" applyFill="1" applyAlignment="1">
      <alignment horizontal="center" vertical="center" wrapText="1"/>
    </xf>
    <xf numFmtId="0" fontId="30" fillId="8" borderId="0" xfId="0" applyFont="1" applyFill="1" applyAlignment="1">
      <alignment horizontal="center" vertical="center" wrapText="1"/>
    </xf>
    <xf numFmtId="0" fontId="19" fillId="0" borderId="0" xfId="0" applyFont="1" applyAlignment="1">
      <alignment vertical="center"/>
    </xf>
    <xf numFmtId="164" fontId="19" fillId="7" borderId="0" xfId="0" applyNumberFormat="1" applyFont="1" applyFill="1" applyAlignment="1">
      <alignment vertical="center" shrinkToFit="1"/>
    </xf>
    <xf numFmtId="165" fontId="19" fillId="0" borderId="0" xfId="0" applyNumberFormat="1" applyFont="1" applyAlignment="1">
      <alignment vertical="center" shrinkToFit="1"/>
    </xf>
    <xf numFmtId="170" fontId="19" fillId="8" borderId="0" xfId="0" applyNumberFormat="1" applyFont="1" applyFill="1" applyAlignment="1">
      <alignment vertical="center" shrinkToFit="1"/>
    </xf>
    <xf numFmtId="164" fontId="19" fillId="8" borderId="0" xfId="0" applyNumberFormat="1" applyFont="1" applyFill="1" applyAlignment="1">
      <alignment vertical="center" shrinkToFit="1"/>
    </xf>
    <xf numFmtId="165" fontId="19" fillId="7" borderId="0" xfId="0" applyNumberFormat="1" applyFont="1" applyFill="1" applyAlignment="1">
      <alignment vertical="center" shrinkToFit="1"/>
    </xf>
    <xf numFmtId="164" fontId="19" fillId="0" borderId="0" xfId="0" applyNumberFormat="1" applyFont="1" applyAlignment="1">
      <alignment vertical="center" shrinkToFit="1"/>
    </xf>
    <xf numFmtId="165" fontId="30" fillId="0" borderId="0" xfId="0" applyNumberFormat="1" applyFont="1" applyAlignment="1">
      <alignment vertical="center" shrinkToFit="1"/>
    </xf>
    <xf numFmtId="170" fontId="30" fillId="8" borderId="0" xfId="0" applyNumberFormat="1" applyFont="1" applyFill="1" applyAlignment="1">
      <alignment vertical="center" shrinkToFit="1"/>
    </xf>
    <xf numFmtId="165" fontId="30" fillId="5" borderId="0" xfId="0" applyNumberFormat="1" applyFont="1" applyFill="1" applyAlignment="1">
      <alignment vertical="center" shrinkToFit="1"/>
    </xf>
    <xf numFmtId="0" fontId="30" fillId="7" borderId="0" xfId="0" applyFont="1" applyFill="1" applyAlignment="1">
      <alignment vertical="center"/>
    </xf>
    <xf numFmtId="165" fontId="30" fillId="7" borderId="0" xfId="0" applyNumberFormat="1" applyFont="1" applyFill="1" applyAlignment="1">
      <alignment vertical="center" shrinkToFit="1"/>
    </xf>
    <xf numFmtId="0" fontId="19" fillId="0" borderId="0" xfId="0" applyFont="1"/>
    <xf numFmtId="0" fontId="19" fillId="0" borderId="0" xfId="0" applyFont="1" applyFill="1" applyAlignment="1">
      <alignment vertical="center" wrapText="1"/>
    </xf>
    <xf numFmtId="0" fontId="32" fillId="0" borderId="5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19" fillId="0" borderId="5" xfId="0" applyFont="1" applyFill="1" applyBorder="1"/>
    <xf numFmtId="165" fontId="19" fillId="0" borderId="0" xfId="0" applyNumberFormat="1" applyFont="1" applyAlignment="1">
      <alignment vertical="center" wrapText="1"/>
    </xf>
    <xf numFmtId="165" fontId="30" fillId="0" borderId="0" xfId="0" applyNumberFormat="1" applyFont="1" applyAlignment="1">
      <alignment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/>
    </xf>
    <xf numFmtId="49" fontId="32" fillId="0" borderId="10" xfId="0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vertical="center"/>
    </xf>
    <xf numFmtId="165" fontId="19" fillId="0" borderId="0" xfId="0" applyNumberFormat="1" applyFont="1" applyAlignment="1">
      <alignment vertical="center"/>
    </xf>
    <xf numFmtId="0" fontId="30" fillId="7" borderId="13" xfId="0" applyFont="1" applyFill="1" applyBorder="1"/>
    <xf numFmtId="165" fontId="30" fillId="7" borderId="14" xfId="0" applyNumberFormat="1" applyFont="1" applyFill="1" applyBorder="1" applyAlignment="1">
      <alignment vertical="center" wrapText="1"/>
    </xf>
    <xf numFmtId="165" fontId="30" fillId="7" borderId="15" xfId="0" applyNumberFormat="1" applyFont="1" applyFill="1" applyBorder="1" applyAlignment="1">
      <alignment vertical="center" wrapText="1"/>
    </xf>
    <xf numFmtId="0" fontId="30" fillId="7" borderId="13" xfId="0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164" fontId="13" fillId="0" borderId="0" xfId="0" applyNumberFormat="1" applyFont="1" applyFill="1" applyAlignment="1">
      <alignment vertical="center" wrapText="1"/>
    </xf>
    <xf numFmtId="171" fontId="9" fillId="0" borderId="0" xfId="0" applyNumberFormat="1" applyFont="1" applyAlignment="1">
      <alignment vertical="center" wrapText="1"/>
    </xf>
    <xf numFmtId="164" fontId="21" fillId="0" borderId="0" xfId="0" applyNumberFormat="1" applyFont="1" applyFill="1" applyAlignment="1">
      <alignment vertical="center" wrapText="1"/>
    </xf>
    <xf numFmtId="164" fontId="35" fillId="0" borderId="0" xfId="0" applyNumberFormat="1" applyFont="1" applyAlignment="1">
      <alignment vertical="center" wrapText="1"/>
    </xf>
    <xf numFmtId="164" fontId="35" fillId="0" borderId="0" xfId="0" applyNumberFormat="1" applyFont="1" applyFill="1" applyAlignment="1">
      <alignment vertical="center" wrapText="1"/>
    </xf>
    <xf numFmtId="165" fontId="30" fillId="0" borderId="15" xfId="0" applyNumberFormat="1" applyFont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165" fontId="13" fillId="0" borderId="14" xfId="0" applyNumberFormat="1" applyFont="1" applyFill="1" applyBorder="1" applyAlignment="1">
      <alignment vertical="center" wrapText="1"/>
    </xf>
    <xf numFmtId="165" fontId="13" fillId="0" borderId="14" xfId="0" applyNumberFormat="1" applyFont="1" applyBorder="1" applyAlignment="1">
      <alignment vertical="center" wrapText="1"/>
    </xf>
    <xf numFmtId="165" fontId="13" fillId="0" borderId="15" xfId="0" applyNumberFormat="1" applyFont="1" applyBorder="1" applyAlignment="1">
      <alignment vertical="center" wrapText="1"/>
    </xf>
    <xf numFmtId="0" fontId="39" fillId="0" borderId="0" xfId="0" applyFont="1" applyBorder="1"/>
    <xf numFmtId="0" fontId="40" fillId="0" borderId="0" xfId="0" applyFont="1" applyBorder="1"/>
    <xf numFmtId="0" fontId="13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5" xfId="0" applyFont="1" applyBorder="1" applyAlignment="1">
      <alignment vertical="center" wrapText="1"/>
    </xf>
    <xf numFmtId="165" fontId="37" fillId="0" borderId="6" xfId="0" applyNumberFormat="1" applyFont="1" applyBorder="1" applyAlignment="1">
      <alignment horizontal="right" vertical="center" wrapText="1"/>
    </xf>
    <xf numFmtId="165" fontId="38" fillId="0" borderId="10" xfId="0" applyNumberFormat="1" applyFont="1" applyBorder="1" applyAlignment="1">
      <alignment horizontal="right" vertical="center" wrapText="1"/>
    </xf>
    <xf numFmtId="0" fontId="36" fillId="0" borderId="13" xfId="0" applyFont="1" applyBorder="1" applyAlignment="1">
      <alignment horizontal="justify" vertical="center" wrapText="1"/>
    </xf>
    <xf numFmtId="165" fontId="36" fillId="0" borderId="14" xfId="0" applyNumberFormat="1" applyFont="1" applyBorder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 shrinkToFit="1"/>
    </xf>
    <xf numFmtId="49" fontId="15" fillId="0" borderId="6" xfId="0" applyNumberFormat="1" applyFont="1" applyFill="1" applyBorder="1" applyAlignment="1">
      <alignment horizontal="center" vertical="center" wrapText="1" shrinkToFit="1"/>
    </xf>
    <xf numFmtId="0" fontId="15" fillId="0" borderId="6" xfId="0" applyFont="1" applyFill="1" applyBorder="1" applyAlignment="1">
      <alignment horizontal="center" vertical="center" wrapText="1" shrinkToFit="1"/>
    </xf>
    <xf numFmtId="0" fontId="15" fillId="0" borderId="10" xfId="0" applyFont="1" applyFill="1" applyBorder="1" applyAlignment="1">
      <alignment horizontal="center" vertical="center" wrapText="1" shrinkToFit="1"/>
    </xf>
    <xf numFmtId="0" fontId="19" fillId="0" borderId="6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165" fontId="30" fillId="0" borderId="6" xfId="0" applyNumberFormat="1" applyFont="1" applyBorder="1" applyAlignment="1">
      <alignment vertical="center" wrapText="1"/>
    </xf>
    <xf numFmtId="165" fontId="30" fillId="0" borderId="10" xfId="0" applyNumberFormat="1" applyFont="1" applyBorder="1" applyAlignment="1">
      <alignment vertical="center" wrapText="1"/>
    </xf>
    <xf numFmtId="165" fontId="30" fillId="7" borderId="6" xfId="0" applyNumberFormat="1" applyFont="1" applyFill="1" applyBorder="1" applyAlignment="1">
      <alignment vertical="center" wrapText="1"/>
    </xf>
    <xf numFmtId="165" fontId="30" fillId="7" borderId="10" xfId="0" applyNumberFormat="1" applyFont="1" applyFill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165" fontId="30" fillId="0" borderId="14" xfId="0" applyNumberFormat="1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10" xfId="0" applyNumberFormat="1" applyFont="1" applyFill="1" applyBorder="1" applyAlignment="1">
      <alignment vertical="center" wrapText="1"/>
    </xf>
    <xf numFmtId="0" fontId="9" fillId="11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165" fontId="30" fillId="0" borderId="6" xfId="0" applyNumberFormat="1" applyFont="1" applyFill="1" applyBorder="1" applyAlignment="1">
      <alignment vertical="center" wrapText="1"/>
    </xf>
    <xf numFmtId="165" fontId="7" fillId="0" borderId="6" xfId="0" applyNumberFormat="1" applyFont="1" applyFill="1" applyBorder="1" applyAlignment="1">
      <alignment vertical="center" wrapText="1"/>
    </xf>
    <xf numFmtId="165" fontId="30" fillId="0" borderId="10" xfId="0" applyNumberFormat="1" applyFont="1" applyFill="1" applyBorder="1" applyAlignment="1">
      <alignment vertical="center" wrapText="1"/>
    </xf>
    <xf numFmtId="165" fontId="19" fillId="0" borderId="0" xfId="0" applyNumberFormat="1" applyFont="1" applyFill="1" applyAlignment="1">
      <alignment vertical="center" wrapText="1"/>
    </xf>
    <xf numFmtId="0" fontId="19" fillId="0" borderId="0" xfId="0" applyFont="1" applyFill="1"/>
    <xf numFmtId="0" fontId="34" fillId="0" borderId="0" xfId="0" applyFont="1" applyFill="1"/>
    <xf numFmtId="49" fontId="32" fillId="0" borderId="0" xfId="0" applyNumberFormat="1" applyFont="1" applyFill="1" applyAlignment="1">
      <alignment horizontal="center"/>
    </xf>
    <xf numFmtId="165" fontId="30" fillId="0" borderId="0" xfId="0" applyNumberFormat="1" applyFont="1" applyFill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165" fontId="37" fillId="0" borderId="11" xfId="0" applyNumberFormat="1" applyFont="1" applyBorder="1" applyAlignment="1">
      <alignment horizontal="right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2" fillId="0" borderId="0" xfId="0" applyFont="1" applyBorder="1"/>
    <xf numFmtId="165" fontId="43" fillId="0" borderId="15" xfId="0" applyNumberFormat="1" applyFont="1" applyBorder="1" applyAlignment="1">
      <alignment horizontal="right" vertical="center" wrapText="1"/>
    </xf>
    <xf numFmtId="165" fontId="43" fillId="0" borderId="14" xfId="0" applyNumberFormat="1" applyFont="1" applyBorder="1" applyAlignment="1">
      <alignment horizontal="right" vertical="center" wrapText="1"/>
    </xf>
    <xf numFmtId="165" fontId="44" fillId="0" borderId="6" xfId="0" applyNumberFormat="1" applyFont="1" applyBorder="1" applyAlignment="1">
      <alignment vertical="center" wrapText="1"/>
    </xf>
    <xf numFmtId="165" fontId="44" fillId="0" borderId="10" xfId="0" applyNumberFormat="1" applyFont="1" applyBorder="1" applyAlignment="1">
      <alignment vertical="center" wrapText="1"/>
    </xf>
    <xf numFmtId="165" fontId="44" fillId="0" borderId="0" xfId="0" applyNumberFormat="1" applyFont="1" applyAlignment="1">
      <alignment vertical="center" wrapText="1"/>
    </xf>
    <xf numFmtId="0" fontId="44" fillId="0" borderId="5" xfId="0" applyFont="1" applyBorder="1" applyAlignment="1">
      <alignment vertical="center" wrapText="1"/>
    </xf>
    <xf numFmtId="164" fontId="6" fillId="2" borderId="6" xfId="0" applyNumberFormat="1" applyFont="1" applyFill="1" applyBorder="1" applyAlignment="1">
      <alignment shrinkToFit="1"/>
    </xf>
    <xf numFmtId="164" fontId="44" fillId="2" borderId="6" xfId="0" applyNumberFormat="1" applyFont="1" applyFill="1" applyBorder="1" applyAlignment="1">
      <alignment shrinkToFi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65" fontId="25" fillId="0" borderId="0" xfId="0" applyNumberFormat="1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4" fontId="22" fillId="0" borderId="6" xfId="0" applyNumberFormat="1" applyFont="1" applyBorder="1" applyAlignment="1">
      <alignment vertical="center" shrinkToFit="1"/>
    </xf>
    <xf numFmtId="0" fontId="13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 wrapText="1"/>
    </xf>
    <xf numFmtId="164" fontId="9" fillId="0" borderId="10" xfId="0" applyNumberFormat="1" applyFont="1" applyBorder="1" applyAlignment="1">
      <alignment vertical="center" wrapText="1"/>
    </xf>
    <xf numFmtId="4" fontId="13" fillId="8" borderId="6" xfId="0" applyNumberFormat="1" applyFont="1" applyFill="1" applyBorder="1" applyAlignment="1">
      <alignment horizontal="right" shrinkToFit="1"/>
    </xf>
    <xf numFmtId="4" fontId="13" fillId="3" borderId="6" xfId="0" applyNumberFormat="1" applyFont="1" applyFill="1" applyBorder="1" applyAlignment="1">
      <alignment vertical="center" shrinkToFit="1"/>
    </xf>
    <xf numFmtId="4" fontId="9" fillId="3" borderId="6" xfId="0" applyNumberFormat="1" applyFont="1" applyFill="1" applyBorder="1" applyAlignment="1">
      <alignment vertical="center" shrinkToFit="1"/>
    </xf>
    <xf numFmtId="4" fontId="25" fillId="2" borderId="6" xfId="0" applyNumberFormat="1" applyFont="1" applyFill="1" applyBorder="1" applyAlignment="1">
      <alignment horizontal="right" shrinkToFit="1"/>
    </xf>
    <xf numFmtId="4" fontId="13" fillId="10" borderId="6" xfId="0" applyNumberFormat="1" applyFont="1" applyFill="1" applyBorder="1" applyAlignment="1">
      <alignment vertical="center" shrinkToFit="1"/>
    </xf>
    <xf numFmtId="4" fontId="9" fillId="10" borderId="6" xfId="0" applyNumberFormat="1" applyFont="1" applyFill="1" applyBorder="1" applyAlignment="1">
      <alignment vertical="center" shrinkToFit="1"/>
    </xf>
    <xf numFmtId="4" fontId="26" fillId="5" borderId="6" xfId="0" applyNumberFormat="1" applyFont="1" applyFill="1" applyBorder="1" applyAlignment="1">
      <alignment horizontal="right" shrinkToFit="1"/>
    </xf>
    <xf numFmtId="164" fontId="26" fillId="5" borderId="6" xfId="0" applyNumberFormat="1" applyFont="1" applyFill="1" applyBorder="1" applyAlignment="1">
      <alignment vertical="center" shrinkToFit="1"/>
    </xf>
    <xf numFmtId="4" fontId="25" fillId="3" borderId="6" xfId="0" applyNumberFormat="1" applyFont="1" applyFill="1" applyBorder="1" applyAlignment="1">
      <alignment vertical="center" shrinkToFit="1"/>
    </xf>
    <xf numFmtId="0" fontId="22" fillId="0" borderId="5" xfId="0" applyFont="1" applyFill="1" applyBorder="1" applyAlignment="1">
      <alignment vertical="center" wrapText="1"/>
    </xf>
    <xf numFmtId="164" fontId="22" fillId="0" borderId="6" xfId="0" applyNumberFormat="1" applyFont="1" applyFill="1" applyBorder="1" applyAlignment="1">
      <alignment vertical="center" shrinkToFit="1"/>
    </xf>
    <xf numFmtId="165" fontId="22" fillId="0" borderId="10" xfId="0" applyNumberFormat="1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shrinkToFit="1"/>
    </xf>
    <xf numFmtId="49" fontId="13" fillId="0" borderId="6" xfId="0" applyNumberFormat="1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 shrinkToFit="1"/>
    </xf>
    <xf numFmtId="0" fontId="13" fillId="0" borderId="10" xfId="0" applyFont="1" applyFill="1" applyBorder="1" applyAlignment="1">
      <alignment horizontal="center" vertical="center" shrinkToFit="1"/>
    </xf>
    <xf numFmtId="165" fontId="5" fillId="0" borderId="6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0" fontId="45" fillId="0" borderId="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45" fillId="0" borderId="10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165" fontId="30" fillId="5" borderId="14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165" fontId="3" fillId="0" borderId="6" xfId="0" applyNumberFormat="1" applyFont="1" applyBorder="1" applyAlignment="1">
      <alignment vertical="center" wrapText="1"/>
    </xf>
    <xf numFmtId="165" fontId="3" fillId="5" borderId="6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165" fontId="32" fillId="0" borderId="5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30" fillId="5" borderId="5" xfId="0" applyNumberFormat="1" applyFont="1" applyFill="1" applyBorder="1" applyAlignment="1">
      <alignment vertical="center" wrapText="1"/>
    </xf>
    <xf numFmtId="165" fontId="30" fillId="5" borderId="6" xfId="0" applyNumberFormat="1" applyFont="1" applyFill="1" applyBorder="1" applyAlignment="1">
      <alignment vertical="center" wrapText="1"/>
    </xf>
    <xf numFmtId="165" fontId="30" fillId="5" borderId="10" xfId="0" applyNumberFormat="1" applyFont="1" applyFill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30" fillId="5" borderId="13" xfId="0" applyNumberFormat="1" applyFont="1" applyFill="1" applyBorder="1" applyAlignment="1">
      <alignment vertical="center" wrapText="1"/>
    </xf>
    <xf numFmtId="165" fontId="30" fillId="5" borderId="1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65" fontId="30" fillId="5" borderId="0" xfId="0" applyNumberFormat="1" applyFont="1" applyFill="1" applyAlignment="1">
      <alignment vertical="center" wrapText="1"/>
    </xf>
    <xf numFmtId="0" fontId="30" fillId="0" borderId="6" xfId="0" applyFont="1" applyBorder="1" applyAlignment="1">
      <alignment horizontal="center" vertical="center" wrapText="1"/>
    </xf>
    <xf numFmtId="171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0" fillId="7" borderId="13" xfId="0" applyFont="1" applyFill="1" applyBorder="1" applyAlignment="1">
      <alignment vertical="center" wrapText="1"/>
    </xf>
    <xf numFmtId="165" fontId="30" fillId="7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1" fillId="0" borderId="0" xfId="0" applyFont="1" applyFill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47" fillId="0" borderId="0" xfId="0" applyFont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0" fillId="8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165" fontId="30" fillId="0" borderId="2" xfId="0" applyNumberFormat="1" applyFont="1" applyFill="1" applyBorder="1" applyAlignment="1">
      <alignment horizontal="center" vertical="center" wrapText="1"/>
    </xf>
    <xf numFmtId="165" fontId="3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</cellXfs>
  <cellStyles count="6">
    <cellStyle name="xl100" xfId="3"/>
    <cellStyle name="xl107" xfId="4"/>
    <cellStyle name="xl109" xfId="5"/>
    <cellStyle name="xl251" xfId="1"/>
    <cellStyle name="xl57" xfId="2"/>
    <cellStyle name="Обычный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FF00"/>
      <color rgb="FF92D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0;&#1095;&#1077;&#1074;_&#1092;&#1086;&#1085;&#1076;%20&#1046;&#1050;&#10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_все"/>
      <sheetName val="Фонд_мероприятия"/>
      <sheetName val="Черн"/>
    </sheetNames>
    <sheetDataSet>
      <sheetData sheetId="0" refreshError="1"/>
      <sheetData sheetId="1" refreshError="1"/>
      <sheetData sheetId="2">
        <row r="7">
          <cell r="F7">
            <v>70016.554499999998</v>
          </cell>
          <cell r="G7">
            <v>0</v>
          </cell>
          <cell r="H7">
            <v>70016.554499999998</v>
          </cell>
          <cell r="AV7">
            <v>0</v>
          </cell>
          <cell r="AW7">
            <v>0</v>
          </cell>
          <cell r="AX7">
            <v>0</v>
          </cell>
        </row>
        <row r="8">
          <cell r="F8">
            <v>64427.409</v>
          </cell>
          <cell r="G8">
            <v>42841.68</v>
          </cell>
          <cell r="H8">
            <v>21585.728999999999</v>
          </cell>
          <cell r="AV8">
            <v>0</v>
          </cell>
          <cell r="AW8">
            <v>0</v>
          </cell>
          <cell r="AX8">
            <v>0</v>
          </cell>
        </row>
        <row r="9">
          <cell r="F9">
            <v>1275.7</v>
          </cell>
          <cell r="G9">
            <v>1225.7</v>
          </cell>
          <cell r="H9">
            <v>50</v>
          </cell>
          <cell r="AV9">
            <v>1275.7</v>
          </cell>
          <cell r="AW9">
            <v>1225.7</v>
          </cell>
          <cell r="AX9">
            <v>50</v>
          </cell>
        </row>
        <row r="10">
          <cell r="F10">
            <v>0</v>
          </cell>
          <cell r="G10">
            <v>0</v>
          </cell>
          <cell r="H10">
            <v>0</v>
          </cell>
          <cell r="AV10">
            <v>0</v>
          </cell>
          <cell r="AW10">
            <v>0</v>
          </cell>
          <cell r="AX10">
            <v>0</v>
          </cell>
        </row>
        <row r="11">
          <cell r="F11">
            <v>14919.692999999999</v>
          </cell>
          <cell r="G11">
            <v>14919.692999999999</v>
          </cell>
          <cell r="H11">
            <v>0</v>
          </cell>
          <cell r="AV11">
            <v>0</v>
          </cell>
          <cell r="AW11">
            <v>0</v>
          </cell>
          <cell r="AX11">
            <v>0</v>
          </cell>
        </row>
        <row r="12">
          <cell r="F12">
            <v>276276.40651999996</v>
          </cell>
          <cell r="G12">
            <v>22096.865000000002</v>
          </cell>
          <cell r="H12">
            <v>254179.54152</v>
          </cell>
          <cell r="AV12">
            <v>1203.34671</v>
          </cell>
          <cell r="AW12">
            <v>0</v>
          </cell>
          <cell r="AX12">
            <v>1203.34671</v>
          </cell>
        </row>
        <row r="13">
          <cell r="F13">
            <v>24708.759600000001</v>
          </cell>
          <cell r="G13">
            <v>0</v>
          </cell>
          <cell r="H13">
            <v>24708.759600000001</v>
          </cell>
          <cell r="AV13">
            <v>1066.7</v>
          </cell>
          <cell r="AW13">
            <v>0</v>
          </cell>
          <cell r="AX13">
            <v>1066.7</v>
          </cell>
        </row>
        <row r="14">
          <cell r="F14">
            <v>0</v>
          </cell>
          <cell r="G14">
            <v>0</v>
          </cell>
          <cell r="H14">
            <v>0</v>
          </cell>
          <cell r="AV14">
            <v>0</v>
          </cell>
          <cell r="AW14">
            <v>0</v>
          </cell>
          <cell r="AX14">
            <v>0</v>
          </cell>
        </row>
        <row r="15">
          <cell r="F15">
            <v>28414.83783</v>
          </cell>
          <cell r="G15">
            <v>25919.857800000002</v>
          </cell>
          <cell r="H15">
            <v>2494.9800299999997</v>
          </cell>
          <cell r="AV15">
            <v>2581.0497700000001</v>
          </cell>
          <cell r="AW15">
            <v>1495</v>
          </cell>
          <cell r="AX15">
            <v>1086.0497700000001</v>
          </cell>
        </row>
        <row r="16">
          <cell r="F16">
            <v>0</v>
          </cell>
          <cell r="G16">
            <v>0</v>
          </cell>
          <cell r="H16">
            <v>0</v>
          </cell>
          <cell r="AV16">
            <v>0</v>
          </cell>
          <cell r="AW16">
            <v>0</v>
          </cell>
          <cell r="AX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AV17">
            <v>0</v>
          </cell>
          <cell r="AW17">
            <v>0</v>
          </cell>
          <cell r="AX17">
            <v>0</v>
          </cell>
        </row>
        <row r="18">
          <cell r="F18">
            <v>68984.481189999991</v>
          </cell>
          <cell r="G18">
            <v>50861.3802</v>
          </cell>
          <cell r="H18">
            <v>18123.100990000003</v>
          </cell>
          <cell r="AV18">
            <v>9293.1975899999998</v>
          </cell>
          <cell r="AW18">
            <v>0</v>
          </cell>
          <cell r="AX18">
            <v>9293.1975899999998</v>
          </cell>
        </row>
        <row r="19">
          <cell r="F19">
            <v>154218.66026999999</v>
          </cell>
          <cell r="G19">
            <v>16635.47234</v>
          </cell>
          <cell r="H19">
            <v>137583.18793000001</v>
          </cell>
          <cell r="AV19">
            <v>0</v>
          </cell>
          <cell r="AW19">
            <v>0</v>
          </cell>
          <cell r="AX19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AV20">
            <v>0</v>
          </cell>
          <cell r="AW20">
            <v>0</v>
          </cell>
          <cell r="AX20">
            <v>0</v>
          </cell>
        </row>
        <row r="21">
          <cell r="F21">
            <v>115077.89632</v>
          </cell>
          <cell r="G21">
            <v>7191.2820000000002</v>
          </cell>
          <cell r="H21">
            <v>107886.61431999999</v>
          </cell>
          <cell r="AV21">
            <v>2454</v>
          </cell>
          <cell r="AW21">
            <v>0</v>
          </cell>
          <cell r="AX21">
            <v>2454</v>
          </cell>
        </row>
        <row r="22">
          <cell r="F22">
            <v>4495.8379800000002</v>
          </cell>
          <cell r="G22">
            <v>0</v>
          </cell>
          <cell r="H22">
            <v>4495.8379800000002</v>
          </cell>
          <cell r="AV22">
            <v>2182.53298</v>
          </cell>
          <cell r="AW22">
            <v>0</v>
          </cell>
          <cell r="AX22">
            <v>2182.53298</v>
          </cell>
        </row>
        <row r="23">
          <cell r="F23">
            <v>21972.779289999999</v>
          </cell>
          <cell r="G23">
            <v>0</v>
          </cell>
          <cell r="H23">
            <v>21972.779289999999</v>
          </cell>
          <cell r="AV23">
            <v>0</v>
          </cell>
          <cell r="AW23">
            <v>0</v>
          </cell>
          <cell r="AX23">
            <v>0</v>
          </cell>
        </row>
        <row r="24">
          <cell r="F24">
            <v>192832.49427000002</v>
          </cell>
          <cell r="G24">
            <v>0</v>
          </cell>
          <cell r="H24">
            <v>192832.49427000002</v>
          </cell>
          <cell r="AV24">
            <v>0</v>
          </cell>
          <cell r="AW24">
            <v>0</v>
          </cell>
          <cell r="AX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AV25">
            <v>0</v>
          </cell>
          <cell r="AW25">
            <v>0</v>
          </cell>
          <cell r="AX25">
            <v>0</v>
          </cell>
        </row>
        <row r="26">
          <cell r="F26">
            <v>4781</v>
          </cell>
          <cell r="G26">
            <v>4781</v>
          </cell>
          <cell r="H26">
            <v>0</v>
          </cell>
          <cell r="AV26">
            <v>0</v>
          </cell>
          <cell r="AW26">
            <v>0</v>
          </cell>
          <cell r="AX26">
            <v>0</v>
          </cell>
        </row>
        <row r="27">
          <cell r="F27">
            <v>1215709.73648</v>
          </cell>
          <cell r="G27">
            <v>1215709.73648</v>
          </cell>
          <cell r="H27">
            <v>0</v>
          </cell>
          <cell r="AV27">
            <v>0</v>
          </cell>
          <cell r="AW27">
            <v>0</v>
          </cell>
          <cell r="AX27">
            <v>0</v>
          </cell>
        </row>
        <row r="28">
          <cell r="F28">
            <v>413</v>
          </cell>
          <cell r="G28">
            <v>413</v>
          </cell>
          <cell r="H28">
            <v>0</v>
          </cell>
          <cell r="AV28">
            <v>0</v>
          </cell>
          <cell r="AW28">
            <v>0</v>
          </cell>
          <cell r="AX28">
            <v>0</v>
          </cell>
        </row>
        <row r="29">
          <cell r="F29">
            <v>6914</v>
          </cell>
          <cell r="G29">
            <v>6914</v>
          </cell>
          <cell r="H29">
            <v>0</v>
          </cell>
          <cell r="AV29">
            <v>0</v>
          </cell>
          <cell r="AW29">
            <v>0</v>
          </cell>
          <cell r="AX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  <cell r="AV30">
            <v>0</v>
          </cell>
          <cell r="AW30">
            <v>0</v>
          </cell>
          <cell r="AX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AV31">
            <v>0</v>
          </cell>
          <cell r="AW31">
            <v>0</v>
          </cell>
          <cell r="AX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  <cell r="AV32">
            <v>0</v>
          </cell>
          <cell r="AW32">
            <v>0</v>
          </cell>
          <cell r="AX32">
            <v>0</v>
          </cell>
        </row>
        <row r="33">
          <cell r="F33">
            <v>2265439.2462499999</v>
          </cell>
          <cell r="G33">
            <v>1409509.6668199999</v>
          </cell>
          <cell r="H33">
            <v>855929.57942999993</v>
          </cell>
          <cell r="AV33">
            <v>20056.527050000001</v>
          </cell>
          <cell r="AW33">
            <v>2720.7</v>
          </cell>
          <cell r="AX33">
            <v>17335.82705</v>
          </cell>
        </row>
        <row r="34">
          <cell r="F34">
            <v>52969.988689999998</v>
          </cell>
          <cell r="AV34">
            <v>52969.988689999998</v>
          </cell>
        </row>
        <row r="35">
          <cell r="F35">
            <v>2318409.2349399999</v>
          </cell>
          <cell r="H35">
            <v>855929.57942999993</v>
          </cell>
          <cell r="AV35">
            <v>73026.515740000003</v>
          </cell>
          <cell r="AW35">
            <v>2720.7</v>
          </cell>
          <cell r="AX35">
            <v>17335.82705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1"/>
  <sheetViews>
    <sheetView zoomScaleNormal="100" workbookViewId="0">
      <pane xSplit="1" ySplit="9" topLeftCell="R162" activePane="bottomRight" state="frozen"/>
      <selection pane="topRight" activeCell="B1" sqref="B1"/>
      <selection pane="bottomLeft" activeCell="A10" sqref="A10"/>
      <selection pane="bottomRight" activeCell="Y168" sqref="Y168"/>
    </sheetView>
  </sheetViews>
  <sheetFormatPr defaultColWidth="9.109375" defaultRowHeight="13.2" x14ac:dyDescent="0.3"/>
  <cols>
    <col min="1" max="1" width="48.88671875" style="1" customWidth="1"/>
    <col min="2" max="3" width="12" style="2" hidden="1" customWidth="1"/>
    <col min="4" max="4" width="10.5546875" style="2" hidden="1" customWidth="1"/>
    <col min="5" max="5" width="11.44140625" style="2" hidden="1" customWidth="1"/>
    <col min="6" max="9" width="9.109375" style="2" hidden="1" customWidth="1"/>
    <col min="10" max="10" width="11.33203125" style="2" hidden="1" customWidth="1"/>
    <col min="11" max="11" width="11.109375" style="2" hidden="1" customWidth="1"/>
    <col min="12" max="12" width="9.88671875" style="2" hidden="1" customWidth="1"/>
    <col min="13" max="13" width="11.33203125" style="2" hidden="1" customWidth="1"/>
    <col min="14" max="14" width="10.33203125" style="2" hidden="1" customWidth="1"/>
    <col min="15" max="17" width="9.109375" style="2" hidden="1" customWidth="1"/>
    <col min="18" max="18" width="9.33203125" style="3" customWidth="1"/>
    <col min="19" max="19" width="9.6640625" style="3" customWidth="1"/>
    <col min="20" max="20" width="9.33203125" style="3" customWidth="1"/>
    <col min="21" max="22" width="8.5546875" style="3" customWidth="1"/>
    <col min="23" max="23" width="8.109375" style="3" customWidth="1"/>
    <col min="24" max="24" width="10.109375" style="3" bestFit="1" customWidth="1"/>
    <col min="25" max="25" width="9.6640625" style="3" bestFit="1" customWidth="1"/>
    <col min="26" max="26" width="9.44140625" style="3" customWidth="1"/>
    <col min="27" max="27" width="8.88671875" style="3" customWidth="1"/>
    <col min="28" max="28" width="8.44140625" style="3" customWidth="1"/>
    <col min="29" max="29" width="8" style="3" customWidth="1"/>
    <col min="30" max="30" width="9.44140625" style="3" customWidth="1"/>
    <col min="31" max="32" width="9.33203125" style="3" customWidth="1"/>
    <col min="33" max="33" width="6.6640625" style="3" customWidth="1"/>
    <col min="34" max="34" width="7" style="3" customWidth="1"/>
    <col min="35" max="35" width="6.88671875" style="3" customWidth="1"/>
    <col min="36" max="36" width="7.109375" style="3" hidden="1" customWidth="1"/>
    <col min="37" max="37" width="15.88671875" style="3" hidden="1" customWidth="1"/>
    <col min="38" max="38" width="16" style="3" hidden="1" customWidth="1"/>
    <col min="39" max="39" width="16.5546875" style="3" hidden="1" customWidth="1"/>
    <col min="40" max="40" width="0" style="3" hidden="1" customWidth="1"/>
    <col min="41" max="16384" width="9.109375" style="3"/>
  </cols>
  <sheetData>
    <row r="1" spans="1:38" ht="26.25" customHeight="1" x14ac:dyDescent="0.3">
      <c r="X1" s="4"/>
      <c r="Y1" s="4"/>
      <c r="Z1" s="4"/>
      <c r="AF1" s="395" t="s">
        <v>285</v>
      </c>
      <c r="AG1" s="395"/>
      <c r="AH1" s="395"/>
      <c r="AI1" s="395"/>
    </row>
    <row r="2" spans="1:38" ht="29.25" customHeight="1" x14ac:dyDescent="0.3">
      <c r="A2" s="381" t="s">
        <v>348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W2" s="381"/>
      <c r="X2" s="381"/>
      <c r="Y2" s="381"/>
      <c r="Z2" s="381"/>
      <c r="AA2" s="381"/>
      <c r="AB2" s="381"/>
      <c r="AC2" s="381"/>
      <c r="AD2" s="381"/>
      <c r="AE2" s="381"/>
      <c r="AF2" s="381"/>
      <c r="AG2" s="381"/>
      <c r="AH2" s="381"/>
      <c r="AI2" s="381"/>
      <c r="AJ2" s="5"/>
    </row>
    <row r="3" spans="1:38" ht="13.8" thickBot="1" x14ac:dyDescent="0.35">
      <c r="N3" s="6"/>
      <c r="R3" s="7"/>
      <c r="S3" s="7"/>
      <c r="T3" s="7"/>
      <c r="U3" s="4"/>
      <c r="V3" s="4"/>
      <c r="W3" s="4"/>
      <c r="X3" s="7"/>
      <c r="Y3" s="7"/>
      <c r="Z3" s="7"/>
      <c r="AD3" s="8"/>
      <c r="AE3" s="8"/>
      <c r="AF3" s="8"/>
      <c r="AL3" s="4">
        <f>Z3-T3</f>
        <v>0</v>
      </c>
    </row>
    <row r="4" spans="1:38" s="1" customFormat="1" ht="13.95" customHeight="1" thickTop="1" x14ac:dyDescent="0.3">
      <c r="A4" s="382" t="s">
        <v>0</v>
      </c>
      <c r="B4" s="371" t="s">
        <v>121</v>
      </c>
      <c r="C4" s="372"/>
      <c r="D4" s="372"/>
      <c r="E4" s="372"/>
      <c r="F4" s="372"/>
      <c r="G4" s="372"/>
      <c r="H4" s="372"/>
      <c r="I4" s="373"/>
      <c r="J4" s="371" t="s">
        <v>267</v>
      </c>
      <c r="K4" s="372"/>
      <c r="L4" s="372"/>
      <c r="M4" s="372"/>
      <c r="N4" s="372"/>
      <c r="O4" s="372"/>
      <c r="P4" s="372"/>
      <c r="Q4" s="373"/>
      <c r="R4" s="384" t="s">
        <v>122</v>
      </c>
      <c r="S4" s="384"/>
      <c r="T4" s="384"/>
      <c r="U4" s="384"/>
      <c r="V4" s="384"/>
      <c r="W4" s="384"/>
      <c r="X4" s="384" t="s">
        <v>263</v>
      </c>
      <c r="Y4" s="384"/>
      <c r="Z4" s="384"/>
      <c r="AA4" s="384"/>
      <c r="AB4" s="384"/>
      <c r="AC4" s="384"/>
      <c r="AD4" s="384" t="s">
        <v>1</v>
      </c>
      <c r="AE4" s="384"/>
      <c r="AF4" s="384"/>
      <c r="AG4" s="384"/>
      <c r="AH4" s="384"/>
      <c r="AI4" s="385"/>
      <c r="AJ4" s="9"/>
    </row>
    <row r="5" spans="1:38" s="1" customFormat="1" ht="13.2" customHeight="1" x14ac:dyDescent="0.3">
      <c r="A5" s="383"/>
      <c r="B5" s="380" t="s">
        <v>2</v>
      </c>
      <c r="C5" s="374" t="s">
        <v>3</v>
      </c>
      <c r="D5" s="375"/>
      <c r="E5" s="375"/>
      <c r="F5" s="375"/>
      <c r="G5" s="375"/>
      <c r="H5" s="375"/>
      <c r="I5" s="376"/>
      <c r="J5" s="380" t="s">
        <v>2</v>
      </c>
      <c r="K5" s="374" t="s">
        <v>3</v>
      </c>
      <c r="L5" s="375"/>
      <c r="M5" s="375"/>
      <c r="N5" s="375"/>
      <c r="O5" s="375"/>
      <c r="P5" s="375"/>
      <c r="Q5" s="376"/>
      <c r="R5" s="380" t="s">
        <v>2</v>
      </c>
      <c r="S5" s="387" t="s">
        <v>4</v>
      </c>
      <c r="T5" s="387"/>
      <c r="U5" s="387"/>
      <c r="V5" s="387"/>
      <c r="W5" s="387"/>
      <c r="X5" s="380" t="s">
        <v>2</v>
      </c>
      <c r="Y5" s="387" t="s">
        <v>4</v>
      </c>
      <c r="Z5" s="387"/>
      <c r="AA5" s="387"/>
      <c r="AB5" s="387"/>
      <c r="AC5" s="387"/>
      <c r="AD5" s="391" t="s">
        <v>2</v>
      </c>
      <c r="AE5" s="387" t="s">
        <v>4</v>
      </c>
      <c r="AF5" s="387"/>
      <c r="AG5" s="387"/>
      <c r="AH5" s="387"/>
      <c r="AI5" s="388"/>
      <c r="AJ5" s="9"/>
    </row>
    <row r="6" spans="1:38" s="1" customFormat="1" ht="13.2" customHeight="1" x14ac:dyDescent="0.3">
      <c r="A6" s="383"/>
      <c r="B6" s="380"/>
      <c r="C6" s="389" t="s">
        <v>5</v>
      </c>
      <c r="D6" s="380" t="s">
        <v>6</v>
      </c>
      <c r="E6" s="380" t="s">
        <v>7</v>
      </c>
      <c r="F6" s="377" t="s">
        <v>8</v>
      </c>
      <c r="G6" s="378"/>
      <c r="H6" s="378"/>
      <c r="I6" s="379"/>
      <c r="J6" s="380"/>
      <c r="K6" s="389" t="s">
        <v>5</v>
      </c>
      <c r="L6" s="380" t="s">
        <v>6</v>
      </c>
      <c r="M6" s="380" t="s">
        <v>7</v>
      </c>
      <c r="N6" s="377" t="s">
        <v>8</v>
      </c>
      <c r="O6" s="378"/>
      <c r="P6" s="378"/>
      <c r="Q6" s="379"/>
      <c r="R6" s="380"/>
      <c r="S6" s="380" t="s">
        <v>6</v>
      </c>
      <c r="T6" s="391" t="s">
        <v>7</v>
      </c>
      <c r="U6" s="386" t="s">
        <v>8</v>
      </c>
      <c r="V6" s="386"/>
      <c r="W6" s="386"/>
      <c r="X6" s="380"/>
      <c r="Y6" s="380" t="s">
        <v>6</v>
      </c>
      <c r="Z6" s="391" t="s">
        <v>7</v>
      </c>
      <c r="AA6" s="386" t="s">
        <v>8</v>
      </c>
      <c r="AB6" s="386"/>
      <c r="AC6" s="386"/>
      <c r="AD6" s="391"/>
      <c r="AE6" s="391" t="s">
        <v>6</v>
      </c>
      <c r="AF6" s="391" t="s">
        <v>7</v>
      </c>
      <c r="AG6" s="392" t="s">
        <v>8</v>
      </c>
      <c r="AH6" s="392"/>
      <c r="AI6" s="393"/>
      <c r="AJ6" s="11"/>
    </row>
    <row r="7" spans="1:38" s="1" customFormat="1" ht="52.2" customHeight="1" x14ac:dyDescent="0.3">
      <c r="A7" s="383"/>
      <c r="B7" s="380"/>
      <c r="C7" s="390"/>
      <c r="D7" s="380"/>
      <c r="E7" s="380"/>
      <c r="F7" s="12" t="s">
        <v>9</v>
      </c>
      <c r="G7" s="12" t="s">
        <v>10</v>
      </c>
      <c r="H7" s="12" t="s">
        <v>119</v>
      </c>
      <c r="I7" s="12" t="s">
        <v>120</v>
      </c>
      <c r="J7" s="380"/>
      <c r="K7" s="390"/>
      <c r="L7" s="380"/>
      <c r="M7" s="380"/>
      <c r="N7" s="12" t="s">
        <v>9</v>
      </c>
      <c r="O7" s="12" t="s">
        <v>10</v>
      </c>
      <c r="P7" s="12" t="s">
        <v>119</v>
      </c>
      <c r="Q7" s="12" t="s">
        <v>120</v>
      </c>
      <c r="R7" s="380"/>
      <c r="S7" s="380"/>
      <c r="T7" s="391"/>
      <c r="U7" s="12" t="s">
        <v>9</v>
      </c>
      <c r="V7" s="12" t="s">
        <v>10</v>
      </c>
      <c r="W7" s="12" t="s">
        <v>11</v>
      </c>
      <c r="X7" s="380"/>
      <c r="Y7" s="380"/>
      <c r="Z7" s="391"/>
      <c r="AA7" s="12" t="s">
        <v>9</v>
      </c>
      <c r="AB7" s="12" t="s">
        <v>10</v>
      </c>
      <c r="AC7" s="12" t="s">
        <v>11</v>
      </c>
      <c r="AD7" s="391"/>
      <c r="AE7" s="391"/>
      <c r="AF7" s="391"/>
      <c r="AG7" s="13" t="s">
        <v>9</v>
      </c>
      <c r="AH7" s="13" t="s">
        <v>10</v>
      </c>
      <c r="AI7" s="14" t="s">
        <v>12</v>
      </c>
      <c r="AJ7" s="15"/>
    </row>
    <row r="8" spans="1:38" s="22" customFormat="1" ht="10.199999999999999" x14ac:dyDescent="0.3">
      <c r="A8" s="16" t="s">
        <v>13</v>
      </c>
      <c r="B8" s="17"/>
      <c r="C8" s="17"/>
      <c r="D8" s="18"/>
      <c r="E8" s="17"/>
      <c r="F8" s="19"/>
      <c r="G8" s="19"/>
      <c r="H8" s="19"/>
      <c r="I8" s="19"/>
      <c r="J8" s="17"/>
      <c r="K8" s="17"/>
      <c r="L8" s="17"/>
      <c r="M8" s="17"/>
      <c r="N8" s="19"/>
      <c r="O8" s="19"/>
      <c r="P8" s="19"/>
      <c r="Q8" s="19"/>
      <c r="R8" s="17" t="s">
        <v>14</v>
      </c>
      <c r="S8" s="17" t="s">
        <v>15</v>
      </c>
      <c r="T8" s="17" t="s">
        <v>16</v>
      </c>
      <c r="U8" s="19">
        <v>4</v>
      </c>
      <c r="V8" s="19">
        <v>5</v>
      </c>
      <c r="W8" s="19">
        <v>6</v>
      </c>
      <c r="X8" s="17" t="s">
        <v>17</v>
      </c>
      <c r="Y8" s="17" t="s">
        <v>18</v>
      </c>
      <c r="Z8" s="17" t="s">
        <v>19</v>
      </c>
      <c r="AA8" s="19">
        <v>10</v>
      </c>
      <c r="AB8" s="19">
        <v>11</v>
      </c>
      <c r="AC8" s="19">
        <v>12</v>
      </c>
      <c r="AD8" s="17" t="s">
        <v>20</v>
      </c>
      <c r="AE8" s="17" t="s">
        <v>21</v>
      </c>
      <c r="AF8" s="17" t="s">
        <v>22</v>
      </c>
      <c r="AG8" s="19" t="s">
        <v>23</v>
      </c>
      <c r="AH8" s="19" t="s">
        <v>24</v>
      </c>
      <c r="AI8" s="20" t="s">
        <v>25</v>
      </c>
      <c r="AJ8" s="21"/>
    </row>
    <row r="9" spans="1:38" s="1" customFormat="1" x14ac:dyDescent="0.3">
      <c r="A9" s="23" t="s">
        <v>26</v>
      </c>
      <c r="B9" s="171">
        <f t="shared" ref="B9:D9" si="0">B12+B13+B14+B15+B16+B17+B18+B19+B20+B21+B22+B23+B24+B25+B26-B11+B28</f>
        <v>1.52587890625E-5</v>
      </c>
      <c r="C9" s="171">
        <f t="shared" si="0"/>
        <v>0</v>
      </c>
      <c r="D9" s="171">
        <f t="shared" si="0"/>
        <v>0</v>
      </c>
      <c r="E9" s="171">
        <f>E12+E13+E14+E15+E16+E17+E18+E19+E20+E21+E22+E23+E24+E25+E26-E11+E28</f>
        <v>-1.9073486328125E-6</v>
      </c>
      <c r="F9" s="171">
        <f t="shared" ref="F9:Q9" si="1">F12+F13+F14+F15+F16+F17+F18+F19+F20+F21+F22+F23+F24+F25+F26-F11+F28</f>
        <v>-1.9073486328125E-6</v>
      </c>
      <c r="G9" s="171">
        <f t="shared" si="1"/>
        <v>-4.76837158203125E-7</v>
      </c>
      <c r="H9" s="171">
        <f t="shared" si="1"/>
        <v>0</v>
      </c>
      <c r="I9" s="171">
        <f t="shared" si="1"/>
        <v>0</v>
      </c>
      <c r="J9" s="171">
        <f t="shared" si="1"/>
        <v>-7.62939453125E-6</v>
      </c>
      <c r="K9" s="171">
        <f t="shared" si="1"/>
        <v>0</v>
      </c>
      <c r="L9" s="171">
        <f t="shared" si="1"/>
        <v>0</v>
      </c>
      <c r="M9" s="171">
        <f>M12+M13+M14+M15+M16+M17+M18+M19+M20+M21+M22+M23+M24+M25+M26-M11+M28</f>
        <v>-5.3405528888106346E-7</v>
      </c>
      <c r="N9" s="171">
        <f t="shared" si="1"/>
        <v>1.9073486328125E-6</v>
      </c>
      <c r="O9" s="171">
        <f t="shared" si="1"/>
        <v>7.152557373046875E-7</v>
      </c>
      <c r="P9" s="171">
        <f t="shared" si="1"/>
        <v>5.9604644775390625E-8</v>
      </c>
      <c r="Q9" s="171">
        <f t="shared" si="1"/>
        <v>-2.7415808290243149E-8</v>
      </c>
      <c r="R9" s="24"/>
      <c r="S9" s="24"/>
      <c r="T9" s="25">
        <f>V133+W133</f>
        <v>1997.1961287499998</v>
      </c>
      <c r="U9" s="26"/>
      <c r="V9" s="26"/>
      <c r="W9" s="26"/>
      <c r="X9" s="26"/>
      <c r="Y9" s="26"/>
      <c r="Z9" s="25">
        <f>AB133+AC133</f>
        <v>1207.8645479300001</v>
      </c>
      <c r="AA9" s="24"/>
      <c r="AB9" s="24"/>
      <c r="AC9" s="24"/>
      <c r="AD9" s="24"/>
      <c r="AE9" s="24"/>
      <c r="AF9" s="24"/>
      <c r="AG9" s="24"/>
      <c r="AH9" s="24"/>
      <c r="AI9" s="27"/>
      <c r="AJ9" s="28"/>
    </row>
    <row r="10" spans="1:38" hidden="1" x14ac:dyDescent="0.25">
      <c r="A10" s="29" t="s">
        <v>27</v>
      </c>
      <c r="B10" s="30">
        <v>77860104091.020004</v>
      </c>
      <c r="C10" s="30">
        <v>23014977190.259998</v>
      </c>
      <c r="D10" s="30">
        <v>65814027202.129997</v>
      </c>
      <c r="E10" s="170">
        <f>F10+G10+H10+I10-E133</f>
        <v>33063857950.400002</v>
      </c>
      <c r="F10" s="30">
        <v>18989597052.16</v>
      </c>
      <c r="G10" s="30">
        <v>13764910853.59</v>
      </c>
      <c r="H10" s="30">
        <v>883495979.55999994</v>
      </c>
      <c r="I10" s="30">
        <v>1423050193.8399999</v>
      </c>
      <c r="J10" s="30">
        <v>53483177544.589996</v>
      </c>
      <c r="K10" s="30">
        <v>15829126365.719999</v>
      </c>
      <c r="L10" s="30">
        <v>45219909611</v>
      </c>
      <c r="M10" s="170">
        <f>N10+O10+P10+Q10-M133</f>
        <v>22884529751.379997</v>
      </c>
      <c r="N10" s="31">
        <v>13071763984.65</v>
      </c>
      <c r="O10" s="31">
        <v>9831725277.7399998</v>
      </c>
      <c r="P10" s="31">
        <v>409170287.75</v>
      </c>
      <c r="Q10" s="31">
        <v>779734749.16999996</v>
      </c>
      <c r="R10" s="32">
        <f t="shared" ref="R10:R37" si="2">B10/1000000</f>
        <v>77860.10409102001</v>
      </c>
      <c r="S10" s="32">
        <f t="shared" ref="S10:S26" si="3">D10/1000000</f>
        <v>65814.027202130004</v>
      </c>
      <c r="T10" s="32">
        <f t="shared" ref="T10:T26" si="4">E10/1000000</f>
        <v>33063.857950400001</v>
      </c>
      <c r="U10" s="32">
        <f t="shared" ref="U10:U26" si="5">F10/1000000</f>
        <v>18989.597052159999</v>
      </c>
      <c r="V10" s="32">
        <f t="shared" ref="V10:V26" si="6">G10/1000000</f>
        <v>13764.91085359</v>
      </c>
      <c r="W10" s="32">
        <f>(H10+I10)/1000000</f>
        <v>2306.5461733999996</v>
      </c>
      <c r="X10" s="32">
        <f t="shared" ref="X10:X25" si="7">J10/1000000</f>
        <v>53483.177544589998</v>
      </c>
      <c r="Y10" s="32">
        <f t="shared" ref="Y10:Y37" si="8">L10/1000000</f>
        <v>45219.909611000003</v>
      </c>
      <c r="Z10" s="32">
        <f t="shared" ref="Z10:Z37" si="9">M10/1000000</f>
        <v>22884.529751379996</v>
      </c>
      <c r="AA10" s="32">
        <f t="shared" ref="AA10:AA37" si="10">N10/1000000</f>
        <v>13071.763984649999</v>
      </c>
      <c r="AB10" s="32">
        <f t="shared" ref="AB10:AB37" si="11">O10/1000000</f>
        <v>9831.725277739999</v>
      </c>
      <c r="AC10" s="32">
        <f>(P10+Q10)/1000000</f>
        <v>1188.9050369200002</v>
      </c>
      <c r="AD10" s="33">
        <f t="shared" ref="AD10:AI11" si="12">X10/R10%</f>
        <v>68.691376885480523</v>
      </c>
      <c r="AE10" s="33">
        <f t="shared" si="12"/>
        <v>68.708619626207138</v>
      </c>
      <c r="AF10" s="32">
        <f t="shared" si="12"/>
        <v>69.21312626527039</v>
      </c>
      <c r="AG10" s="32">
        <f t="shared" si="12"/>
        <v>68.836447391405457</v>
      </c>
      <c r="AH10" s="32">
        <f t="shared" si="12"/>
        <v>71.426000373811405</v>
      </c>
      <c r="AI10" s="34">
        <f t="shared" si="12"/>
        <v>51.544818422926973</v>
      </c>
      <c r="AJ10" s="35"/>
    </row>
    <row r="11" spans="1:38" s="43" customFormat="1" x14ac:dyDescent="0.25">
      <c r="A11" s="36" t="s">
        <v>28</v>
      </c>
      <c r="B11" s="37">
        <v>60310885113.129997</v>
      </c>
      <c r="C11" s="37">
        <v>711466.67</v>
      </c>
      <c r="D11" s="37">
        <v>47451320516.830002</v>
      </c>
      <c r="E11" s="38">
        <f>F11+G11+H11+I11</f>
        <v>12860276062.970001</v>
      </c>
      <c r="F11" s="37">
        <v>9405977634.9500008</v>
      </c>
      <c r="G11" s="37">
        <v>2504458323.4000001</v>
      </c>
      <c r="H11" s="37">
        <v>638030460.11000001</v>
      </c>
      <c r="I11" s="37">
        <v>311809644.50999999</v>
      </c>
      <c r="J11" s="37">
        <v>41292489643.720001</v>
      </c>
      <c r="K11" s="37">
        <v>-368871.06</v>
      </c>
      <c r="L11" s="37">
        <v>32160847430.41</v>
      </c>
      <c r="M11" s="38">
        <f>N11+O11+P11+Q11</f>
        <v>9131273342.25</v>
      </c>
      <c r="N11" s="37">
        <v>6687863569.9799995</v>
      </c>
      <c r="O11" s="37">
        <v>1859379852.02</v>
      </c>
      <c r="P11" s="37">
        <v>409386789.25999999</v>
      </c>
      <c r="Q11" s="37">
        <v>174643130.99000001</v>
      </c>
      <c r="R11" s="39">
        <f t="shared" si="2"/>
        <v>60310.885113129996</v>
      </c>
      <c r="S11" s="39">
        <f t="shared" si="3"/>
        <v>47451.320516830005</v>
      </c>
      <c r="T11" s="39">
        <f t="shared" si="4"/>
        <v>12860.276062970001</v>
      </c>
      <c r="U11" s="39">
        <f t="shared" si="5"/>
        <v>9405.9776349500007</v>
      </c>
      <c r="V11" s="39">
        <f t="shared" si="6"/>
        <v>2504.4583234000002</v>
      </c>
      <c r="W11" s="39">
        <f t="shared" ref="W11:W37" si="13">(H11+I11)/1000000</f>
        <v>949.84010462000003</v>
      </c>
      <c r="X11" s="39">
        <f t="shared" si="7"/>
        <v>41292.48964372</v>
      </c>
      <c r="Y11" s="39">
        <f t="shared" si="8"/>
        <v>32160.847430409998</v>
      </c>
      <c r="Z11" s="39">
        <f t="shared" si="9"/>
        <v>9131.2733422500005</v>
      </c>
      <c r="AA11" s="39">
        <f t="shared" si="10"/>
        <v>6687.8635699799997</v>
      </c>
      <c r="AB11" s="39">
        <f t="shared" si="11"/>
        <v>1859.37985202</v>
      </c>
      <c r="AC11" s="39">
        <f t="shared" ref="AC11:AC37" si="14">(P11+Q11)/1000000</f>
        <v>584.02992025000003</v>
      </c>
      <c r="AD11" s="39">
        <f>X11/R11%</f>
        <v>68.466064734855649</v>
      </c>
      <c r="AE11" s="39">
        <f t="shared" si="12"/>
        <v>67.776506702280727</v>
      </c>
      <c r="AF11" s="39">
        <f t="shared" si="12"/>
        <v>71.003711720797924</v>
      </c>
      <c r="AG11" s="39">
        <f t="shared" si="12"/>
        <v>71.102269530492563</v>
      </c>
      <c r="AH11" s="39">
        <f t="shared" si="12"/>
        <v>74.242794725198095</v>
      </c>
      <c r="AI11" s="40">
        <f t="shared" si="12"/>
        <v>61.48718267519893</v>
      </c>
      <c r="AJ11" s="41">
        <f>X11/X37%</f>
        <v>77.206500323010204</v>
      </c>
      <c r="AK11" s="42">
        <f>X11-Y11-Z11</f>
        <v>0.36887106000176573</v>
      </c>
    </row>
    <row r="12" spans="1:38" x14ac:dyDescent="0.25">
      <c r="A12" s="44" t="s">
        <v>29</v>
      </c>
      <c r="B12" s="30">
        <v>15376248000</v>
      </c>
      <c r="C12" s="30">
        <v>0</v>
      </c>
      <c r="D12" s="30">
        <v>15376248000</v>
      </c>
      <c r="E12" s="45">
        <f>F12+G12+H12+I12</f>
        <v>0</v>
      </c>
      <c r="F12" s="30">
        <v>0</v>
      </c>
      <c r="G12" s="30">
        <v>0</v>
      </c>
      <c r="H12" s="30">
        <v>0</v>
      </c>
      <c r="I12" s="30">
        <v>0</v>
      </c>
      <c r="J12" s="30">
        <v>8653447654.1499996</v>
      </c>
      <c r="K12" s="30">
        <v>0</v>
      </c>
      <c r="L12" s="30">
        <v>8653447654.1499996</v>
      </c>
      <c r="M12" s="45">
        <f>N12+O12+P12+Q12</f>
        <v>0</v>
      </c>
      <c r="N12" s="30">
        <v>0</v>
      </c>
      <c r="O12" s="30">
        <v>0</v>
      </c>
      <c r="P12" s="30">
        <v>0</v>
      </c>
      <c r="Q12" s="30">
        <v>0</v>
      </c>
      <c r="R12" s="32">
        <f t="shared" si="2"/>
        <v>15376.248</v>
      </c>
      <c r="S12" s="32">
        <f t="shared" si="3"/>
        <v>15376.248</v>
      </c>
      <c r="T12" s="32">
        <f t="shared" si="4"/>
        <v>0</v>
      </c>
      <c r="U12" s="32">
        <f t="shared" si="5"/>
        <v>0</v>
      </c>
      <c r="V12" s="32">
        <f t="shared" si="6"/>
        <v>0</v>
      </c>
      <c r="W12" s="32">
        <f t="shared" si="13"/>
        <v>0</v>
      </c>
      <c r="X12" s="32">
        <f t="shared" si="7"/>
        <v>8653.4476541499989</v>
      </c>
      <c r="Y12" s="32">
        <f t="shared" si="8"/>
        <v>8653.4476541499989</v>
      </c>
      <c r="Z12" s="32">
        <f t="shared" si="9"/>
        <v>0</v>
      </c>
      <c r="AA12" s="32">
        <f t="shared" si="10"/>
        <v>0</v>
      </c>
      <c r="AB12" s="32">
        <f t="shared" si="11"/>
        <v>0</v>
      </c>
      <c r="AC12" s="32">
        <f t="shared" si="14"/>
        <v>0</v>
      </c>
      <c r="AD12" s="32">
        <f>X12/R12%</f>
        <v>56.278018240535665</v>
      </c>
      <c r="AE12" s="32">
        <f>Y12/S12%</f>
        <v>56.278018240535665</v>
      </c>
      <c r="AF12" s="46" t="s">
        <v>30</v>
      </c>
      <c r="AG12" s="46" t="s">
        <v>30</v>
      </c>
      <c r="AH12" s="46" t="s">
        <v>30</v>
      </c>
      <c r="AI12" s="47" t="s">
        <v>30</v>
      </c>
      <c r="AJ12" s="48">
        <f>Z11/Z37%</f>
        <v>39.901511813671249</v>
      </c>
      <c r="AK12" s="3">
        <f t="shared" ref="AK12:AK36" si="15">X12-Y12-Z12</f>
        <v>0</v>
      </c>
      <c r="AL12" s="4"/>
    </row>
    <row r="13" spans="1:38" x14ac:dyDescent="0.25">
      <c r="A13" s="44" t="s">
        <v>31</v>
      </c>
      <c r="B13" s="30">
        <v>23957494028.400002</v>
      </c>
      <c r="C13" s="30">
        <v>0</v>
      </c>
      <c r="D13" s="30">
        <v>15996747400</v>
      </c>
      <c r="E13" s="45">
        <f t="shared" ref="E13:E28" si="16">F13+G13+H13+I13</f>
        <v>7960746628.3999996</v>
      </c>
      <c r="F13" s="30">
        <v>6126917100</v>
      </c>
      <c r="G13" s="30">
        <v>1502759052</v>
      </c>
      <c r="H13" s="30">
        <v>275629955</v>
      </c>
      <c r="I13" s="30">
        <v>55440521.399999999</v>
      </c>
      <c r="J13" s="30">
        <v>17097865958.73</v>
      </c>
      <c r="K13" s="30">
        <v>0</v>
      </c>
      <c r="L13" s="30">
        <v>11427893260.299999</v>
      </c>
      <c r="M13" s="45">
        <f t="shared" ref="M13:M28" si="17">N13+O13+P13+Q13</f>
        <v>5669972698.4300003</v>
      </c>
      <c r="N13" s="30">
        <v>4315270502.0900002</v>
      </c>
      <c r="O13" s="30">
        <v>1117447609.9100001</v>
      </c>
      <c r="P13" s="30">
        <v>195820361.96000001</v>
      </c>
      <c r="Q13" s="30">
        <v>41434224.469999999</v>
      </c>
      <c r="R13" s="32">
        <f t="shared" si="2"/>
        <v>23957.4940284</v>
      </c>
      <c r="S13" s="32">
        <f t="shared" si="3"/>
        <v>15996.7474</v>
      </c>
      <c r="T13" s="32">
        <f t="shared" si="4"/>
        <v>7960.7466283999993</v>
      </c>
      <c r="U13" s="32">
        <f t="shared" si="5"/>
        <v>6126.9170999999997</v>
      </c>
      <c r="V13" s="32">
        <f t="shared" si="6"/>
        <v>1502.7590520000001</v>
      </c>
      <c r="W13" s="32">
        <f t="shared" si="13"/>
        <v>331.07047639999996</v>
      </c>
      <c r="X13" s="32">
        <f t="shared" si="7"/>
        <v>17097.865958729999</v>
      </c>
      <c r="Y13" s="32">
        <f t="shared" si="8"/>
        <v>11427.893260299999</v>
      </c>
      <c r="Z13" s="32">
        <f t="shared" si="9"/>
        <v>5669.9726984300005</v>
      </c>
      <c r="AA13" s="32">
        <f t="shared" si="10"/>
        <v>4315.2705020900003</v>
      </c>
      <c r="AB13" s="32">
        <f t="shared" si="11"/>
        <v>1117.44760991</v>
      </c>
      <c r="AC13" s="32">
        <f t="shared" si="14"/>
        <v>237.25458643000002</v>
      </c>
      <c r="AD13" s="33">
        <f>X13/R13%</f>
        <v>71.367505877123989</v>
      </c>
      <c r="AE13" s="33">
        <f>Y13/S13%</f>
        <v>71.438855503213105</v>
      </c>
      <c r="AF13" s="33">
        <f t="shared" ref="AF13:AI14" si="18">Z13/T13%</f>
        <v>71.224132146127445</v>
      </c>
      <c r="AG13" s="33">
        <f t="shared" si="18"/>
        <v>70.431351227030646</v>
      </c>
      <c r="AH13" s="33">
        <f t="shared" si="18"/>
        <v>74.35973241504054</v>
      </c>
      <c r="AI13" s="49">
        <f t="shared" si="18"/>
        <v>71.662864357421171</v>
      </c>
      <c r="AJ13" s="48"/>
      <c r="AK13" s="3">
        <f t="shared" si="15"/>
        <v>0</v>
      </c>
    </row>
    <row r="14" spans="1:38" x14ac:dyDescent="0.25">
      <c r="A14" s="44" t="s">
        <v>32</v>
      </c>
      <c r="B14" s="30">
        <v>4045233282</v>
      </c>
      <c r="C14" s="30">
        <v>0</v>
      </c>
      <c r="D14" s="30">
        <v>3732066800</v>
      </c>
      <c r="E14" s="45">
        <f t="shared" si="16"/>
        <v>313166482</v>
      </c>
      <c r="F14" s="30">
        <v>38286400</v>
      </c>
      <c r="G14" s="30">
        <v>227738958</v>
      </c>
      <c r="H14" s="30">
        <v>47141124</v>
      </c>
      <c r="I14" s="30">
        <v>0</v>
      </c>
      <c r="J14" s="30">
        <v>3492758318.0500002</v>
      </c>
      <c r="K14" s="30">
        <v>0</v>
      </c>
      <c r="L14" s="30">
        <v>3230954031.29</v>
      </c>
      <c r="M14" s="45">
        <f t="shared" si="17"/>
        <v>261804286.76000002</v>
      </c>
      <c r="N14" s="30">
        <v>31933578.02</v>
      </c>
      <c r="O14" s="30">
        <v>190711856.18000001</v>
      </c>
      <c r="P14" s="30">
        <v>39158852.560000002</v>
      </c>
      <c r="Q14" s="30">
        <v>0</v>
      </c>
      <c r="R14" s="32">
        <f t="shared" si="2"/>
        <v>4045.2332820000001</v>
      </c>
      <c r="S14" s="32">
        <f t="shared" si="3"/>
        <v>3732.0668000000001</v>
      </c>
      <c r="T14" s="32">
        <f t="shared" si="4"/>
        <v>313.16648199999997</v>
      </c>
      <c r="U14" s="32">
        <f t="shared" si="5"/>
        <v>38.2864</v>
      </c>
      <c r="V14" s="32">
        <f t="shared" si="6"/>
        <v>227.738958</v>
      </c>
      <c r="W14" s="32">
        <f t="shared" si="13"/>
        <v>47.141123999999998</v>
      </c>
      <c r="X14" s="32">
        <f t="shared" si="7"/>
        <v>3492.7583180500001</v>
      </c>
      <c r="Y14" s="32">
        <f t="shared" si="8"/>
        <v>3230.9540312899999</v>
      </c>
      <c r="Z14" s="32">
        <f t="shared" si="9"/>
        <v>261.80428676000002</v>
      </c>
      <c r="AA14" s="32">
        <f t="shared" si="10"/>
        <v>31.933578019999999</v>
      </c>
      <c r="AB14" s="32">
        <f t="shared" si="11"/>
        <v>190.71185618000001</v>
      </c>
      <c r="AC14" s="32">
        <f t="shared" si="14"/>
        <v>39.15885256</v>
      </c>
      <c r="AD14" s="33">
        <f t="shared" ref="AD14:AI37" si="19">X14/R14%</f>
        <v>86.342568513703824</v>
      </c>
      <c r="AE14" s="33">
        <f t="shared" si="19"/>
        <v>86.57278136848997</v>
      </c>
      <c r="AF14" s="33">
        <f t="shared" si="18"/>
        <v>83.599076468215415</v>
      </c>
      <c r="AG14" s="33">
        <f t="shared" si="18"/>
        <v>83.407105447365126</v>
      </c>
      <c r="AH14" s="33">
        <f t="shared" si="18"/>
        <v>83.741428280355976</v>
      </c>
      <c r="AI14" s="49">
        <f t="shared" si="18"/>
        <v>83.067286558547067</v>
      </c>
      <c r="AJ14" s="48"/>
      <c r="AK14" s="3">
        <f t="shared" si="15"/>
        <v>0</v>
      </c>
    </row>
    <row r="15" spans="1:38" x14ac:dyDescent="0.25">
      <c r="A15" s="44" t="s">
        <v>33</v>
      </c>
      <c r="B15" s="30">
        <v>3607377896.3600001</v>
      </c>
      <c r="C15" s="30">
        <v>0</v>
      </c>
      <c r="D15" s="30">
        <v>2396759000</v>
      </c>
      <c r="E15" s="45">
        <f t="shared" si="16"/>
        <v>1210618896.3599999</v>
      </c>
      <c r="F15" s="30">
        <v>835738100</v>
      </c>
      <c r="G15" s="30">
        <v>365794089</v>
      </c>
      <c r="H15" s="30">
        <v>526316</v>
      </c>
      <c r="I15" s="30">
        <v>8560391.3599999994</v>
      </c>
      <c r="J15" s="30">
        <v>2723556905.6700001</v>
      </c>
      <c r="K15" s="30">
        <v>0</v>
      </c>
      <c r="L15" s="30">
        <v>1830855484.1900001</v>
      </c>
      <c r="M15" s="45">
        <f t="shared" si="17"/>
        <v>892701421.48000002</v>
      </c>
      <c r="N15" s="30">
        <v>633975017.10000002</v>
      </c>
      <c r="O15" s="30">
        <v>247864207.16999999</v>
      </c>
      <c r="P15" s="30">
        <v>329303.84000000003</v>
      </c>
      <c r="Q15" s="30">
        <v>10532893.369999999</v>
      </c>
      <c r="R15" s="32">
        <f t="shared" si="2"/>
        <v>3607.3778963600002</v>
      </c>
      <c r="S15" s="32">
        <f t="shared" si="3"/>
        <v>2396.759</v>
      </c>
      <c r="T15" s="32">
        <f t="shared" si="4"/>
        <v>1210.61889636</v>
      </c>
      <c r="U15" s="32">
        <f t="shared" si="5"/>
        <v>835.73810000000003</v>
      </c>
      <c r="V15" s="32">
        <f t="shared" si="6"/>
        <v>365.79408899999999</v>
      </c>
      <c r="W15" s="32">
        <f t="shared" si="13"/>
        <v>9.0867073600000001</v>
      </c>
      <c r="X15" s="32">
        <f t="shared" si="7"/>
        <v>2723.5569056700001</v>
      </c>
      <c r="Y15" s="32">
        <f t="shared" si="8"/>
        <v>1830.85548419</v>
      </c>
      <c r="Z15" s="32">
        <f t="shared" si="9"/>
        <v>892.70142148000002</v>
      </c>
      <c r="AA15" s="32">
        <f t="shared" si="10"/>
        <v>633.97501710000006</v>
      </c>
      <c r="AB15" s="32">
        <f t="shared" si="11"/>
        <v>247.86420716999999</v>
      </c>
      <c r="AC15" s="32">
        <f t="shared" si="14"/>
        <v>10.86219721</v>
      </c>
      <c r="AD15" s="33">
        <f t="shared" si="19"/>
        <v>75.499628370462275</v>
      </c>
      <c r="AE15" s="33">
        <f t="shared" si="19"/>
        <v>76.38880188579661</v>
      </c>
      <c r="AF15" s="33">
        <f t="shared" si="19"/>
        <v>73.739260486029849</v>
      </c>
      <c r="AG15" s="33">
        <f t="shared" si="19"/>
        <v>75.858096824830653</v>
      </c>
      <c r="AH15" s="33">
        <f t="shared" si="19"/>
        <v>67.760582968304874</v>
      </c>
      <c r="AI15" s="34">
        <f t="shared" si="19"/>
        <v>119.53941928201371</v>
      </c>
      <c r="AJ15" s="48"/>
      <c r="AK15" s="3">
        <f t="shared" si="15"/>
        <v>0</v>
      </c>
    </row>
    <row r="16" spans="1:38" x14ac:dyDescent="0.25">
      <c r="A16" s="44" t="s">
        <v>34</v>
      </c>
      <c r="B16" s="30">
        <v>8101952337.1899996</v>
      </c>
      <c r="C16" s="30">
        <v>0</v>
      </c>
      <c r="D16" s="30">
        <v>7200543000</v>
      </c>
      <c r="E16" s="45">
        <f t="shared" si="16"/>
        <v>901409337.19000006</v>
      </c>
      <c r="F16" s="30">
        <v>608579831.32000005</v>
      </c>
      <c r="G16" s="30">
        <v>0</v>
      </c>
      <c r="H16" s="30">
        <v>145331136</v>
      </c>
      <c r="I16" s="30">
        <v>147498369.87</v>
      </c>
      <c r="J16" s="30">
        <v>4847799225.0699997</v>
      </c>
      <c r="K16" s="30">
        <v>0</v>
      </c>
      <c r="L16" s="30">
        <v>4398042306.1300001</v>
      </c>
      <c r="M16" s="45">
        <f t="shared" si="17"/>
        <v>449756918.94</v>
      </c>
      <c r="N16" s="30">
        <v>346651009.37</v>
      </c>
      <c r="O16" s="30">
        <v>0</v>
      </c>
      <c r="P16" s="30">
        <v>55485722.490000002</v>
      </c>
      <c r="Q16" s="30">
        <v>47620187.079999998</v>
      </c>
      <c r="R16" s="32">
        <f t="shared" si="2"/>
        <v>8101.9523371899995</v>
      </c>
      <c r="S16" s="32">
        <f t="shared" si="3"/>
        <v>7200.5429999999997</v>
      </c>
      <c r="T16" s="32">
        <f t="shared" si="4"/>
        <v>901.40933719000009</v>
      </c>
      <c r="U16" s="32">
        <f t="shared" si="5"/>
        <v>608.57983132000004</v>
      </c>
      <c r="V16" s="32">
        <f t="shared" si="6"/>
        <v>0</v>
      </c>
      <c r="W16" s="32">
        <f t="shared" si="13"/>
        <v>292.82950586999999</v>
      </c>
      <c r="X16" s="32">
        <f t="shared" si="7"/>
        <v>4847.7992250699999</v>
      </c>
      <c r="Y16" s="32">
        <f t="shared" si="8"/>
        <v>4398.0423061299998</v>
      </c>
      <c r="Z16" s="32">
        <f t="shared" si="9"/>
        <v>449.75691893999999</v>
      </c>
      <c r="AA16" s="32">
        <f t="shared" si="10"/>
        <v>346.65100937</v>
      </c>
      <c r="AB16" s="32">
        <f t="shared" si="11"/>
        <v>0</v>
      </c>
      <c r="AC16" s="32">
        <f t="shared" si="14"/>
        <v>103.10590956999999</v>
      </c>
      <c r="AD16" s="33">
        <f t="shared" si="19"/>
        <v>59.834951173649614</v>
      </c>
      <c r="AE16" s="33">
        <f t="shared" si="19"/>
        <v>61.079314520168829</v>
      </c>
      <c r="AF16" s="33">
        <f t="shared" si="19"/>
        <v>49.894859126048715</v>
      </c>
      <c r="AG16" s="33">
        <f t="shared" si="19"/>
        <v>56.96064698991411</v>
      </c>
      <c r="AH16" s="33"/>
      <c r="AI16" s="34">
        <f t="shared" si="19"/>
        <v>35.210218746116823</v>
      </c>
      <c r="AJ16" s="48"/>
      <c r="AK16" s="3">
        <f t="shared" si="15"/>
        <v>0</v>
      </c>
    </row>
    <row r="17" spans="1:39" ht="26.4" x14ac:dyDescent="0.25">
      <c r="A17" s="44" t="s">
        <v>35</v>
      </c>
      <c r="B17" s="30">
        <v>1765850300</v>
      </c>
      <c r="C17" s="30">
        <v>0</v>
      </c>
      <c r="D17" s="30">
        <v>1765850300</v>
      </c>
      <c r="E17" s="45">
        <f t="shared" si="16"/>
        <v>0</v>
      </c>
      <c r="F17" s="50">
        <v>0</v>
      </c>
      <c r="G17" s="50">
        <v>0</v>
      </c>
      <c r="H17" s="50">
        <v>0</v>
      </c>
      <c r="I17" s="50">
        <v>0</v>
      </c>
      <c r="J17" s="51">
        <v>1675232155.1300001</v>
      </c>
      <c r="K17" s="51">
        <v>0</v>
      </c>
      <c r="L17" s="51">
        <v>1675232155.1300001</v>
      </c>
      <c r="M17" s="45">
        <f t="shared" si="17"/>
        <v>0</v>
      </c>
      <c r="N17" s="52">
        <v>0</v>
      </c>
      <c r="O17" s="52">
        <v>0</v>
      </c>
      <c r="P17" s="52">
        <v>0</v>
      </c>
      <c r="Q17" s="52">
        <v>0</v>
      </c>
      <c r="R17" s="32">
        <f t="shared" si="2"/>
        <v>1765.8503000000001</v>
      </c>
      <c r="S17" s="32">
        <f t="shared" si="3"/>
        <v>1765.8503000000001</v>
      </c>
      <c r="T17" s="32">
        <f t="shared" si="4"/>
        <v>0</v>
      </c>
      <c r="U17" s="32">
        <f t="shared" si="5"/>
        <v>0</v>
      </c>
      <c r="V17" s="32">
        <f t="shared" si="6"/>
        <v>0</v>
      </c>
      <c r="W17" s="32">
        <f t="shared" si="13"/>
        <v>0</v>
      </c>
      <c r="X17" s="32">
        <f t="shared" si="7"/>
        <v>1675.2321551300001</v>
      </c>
      <c r="Y17" s="32">
        <f t="shared" si="8"/>
        <v>1675.2321551300001</v>
      </c>
      <c r="Z17" s="32">
        <f t="shared" si="9"/>
        <v>0</v>
      </c>
      <c r="AA17" s="32">
        <f t="shared" si="10"/>
        <v>0</v>
      </c>
      <c r="AB17" s="32">
        <f t="shared" si="11"/>
        <v>0</v>
      </c>
      <c r="AC17" s="32">
        <f t="shared" si="14"/>
        <v>0</v>
      </c>
      <c r="AD17" s="33">
        <f t="shared" si="19"/>
        <v>94.868299715440216</v>
      </c>
      <c r="AE17" s="33">
        <f t="shared" si="19"/>
        <v>94.868299715440216</v>
      </c>
      <c r="AF17" s="46" t="s">
        <v>30</v>
      </c>
      <c r="AG17" s="46" t="s">
        <v>30</v>
      </c>
      <c r="AH17" s="46" t="s">
        <v>30</v>
      </c>
      <c r="AI17" s="53" t="s">
        <v>30</v>
      </c>
      <c r="AJ17" s="48"/>
      <c r="AK17" s="3">
        <f t="shared" si="15"/>
        <v>0</v>
      </c>
    </row>
    <row r="18" spans="1:39" x14ac:dyDescent="0.25">
      <c r="A18" s="44" t="s">
        <v>36</v>
      </c>
      <c r="B18" s="30">
        <v>340821616</v>
      </c>
      <c r="C18" s="30">
        <v>0</v>
      </c>
      <c r="D18" s="30">
        <v>130238000</v>
      </c>
      <c r="E18" s="45">
        <f t="shared" si="16"/>
        <v>210583616</v>
      </c>
      <c r="F18" s="30">
        <v>164256700</v>
      </c>
      <c r="G18" s="30">
        <v>42282151</v>
      </c>
      <c r="H18" s="30">
        <v>689200</v>
      </c>
      <c r="I18" s="30">
        <v>3355565</v>
      </c>
      <c r="J18" s="30">
        <v>252753247.52000001</v>
      </c>
      <c r="K18" s="30">
        <v>0</v>
      </c>
      <c r="L18" s="51">
        <v>109867401.61</v>
      </c>
      <c r="M18" s="45">
        <f t="shared" si="17"/>
        <v>142885845.91</v>
      </c>
      <c r="N18" s="30">
        <v>106450617.72</v>
      </c>
      <c r="O18" s="30">
        <v>34462808.399999999</v>
      </c>
      <c r="P18" s="30">
        <v>363844.6</v>
      </c>
      <c r="Q18" s="30">
        <v>1608575.19</v>
      </c>
      <c r="R18" s="32">
        <f t="shared" si="2"/>
        <v>340.82161600000001</v>
      </c>
      <c r="S18" s="32">
        <f t="shared" si="3"/>
        <v>130.238</v>
      </c>
      <c r="T18" s="32">
        <f t="shared" si="4"/>
        <v>210.58361600000001</v>
      </c>
      <c r="U18" s="32">
        <f t="shared" si="5"/>
        <v>164.2567</v>
      </c>
      <c r="V18" s="32">
        <f t="shared" si="6"/>
        <v>42.282150999999999</v>
      </c>
      <c r="W18" s="32">
        <f t="shared" si="13"/>
        <v>4.0447649999999999</v>
      </c>
      <c r="X18" s="32">
        <f t="shared" si="7"/>
        <v>252.75324752</v>
      </c>
      <c r="Y18" s="32">
        <f t="shared" si="8"/>
        <v>109.86740161</v>
      </c>
      <c r="Z18" s="32">
        <f t="shared" si="9"/>
        <v>142.88584591</v>
      </c>
      <c r="AA18" s="32">
        <f t="shared" si="10"/>
        <v>106.45061772</v>
      </c>
      <c r="AB18" s="32">
        <f t="shared" si="11"/>
        <v>34.4628084</v>
      </c>
      <c r="AC18" s="32">
        <f t="shared" si="14"/>
        <v>1.97241979</v>
      </c>
      <c r="AD18" s="33">
        <f t="shared" si="19"/>
        <v>74.159981542954711</v>
      </c>
      <c r="AE18" s="32">
        <f t="shared" si="19"/>
        <v>84.358944094657474</v>
      </c>
      <c r="AF18" s="33">
        <f t="shared" si="19"/>
        <v>67.852309037185492</v>
      </c>
      <c r="AG18" s="33">
        <f t="shared" si="19"/>
        <v>64.807473740797178</v>
      </c>
      <c r="AH18" s="33">
        <f t="shared" si="19"/>
        <v>81.506753050477485</v>
      </c>
      <c r="AI18" s="49">
        <f t="shared" si="19"/>
        <v>48.764756172484681</v>
      </c>
      <c r="AJ18" s="48"/>
      <c r="AK18" s="3">
        <f t="shared" si="15"/>
        <v>0</v>
      </c>
    </row>
    <row r="19" spans="1:39" ht="26.4" x14ac:dyDescent="0.25">
      <c r="A19" s="44" t="s">
        <v>37</v>
      </c>
      <c r="B19" s="30">
        <v>1010</v>
      </c>
      <c r="C19" s="30">
        <v>0</v>
      </c>
      <c r="D19" s="30">
        <v>0</v>
      </c>
      <c r="E19" s="45">
        <f t="shared" si="16"/>
        <v>1010</v>
      </c>
      <c r="F19" s="30">
        <v>1000</v>
      </c>
      <c r="G19" s="30">
        <v>0</v>
      </c>
      <c r="H19" s="30">
        <v>0</v>
      </c>
      <c r="I19" s="30">
        <v>10</v>
      </c>
      <c r="J19" s="54">
        <v>63177.440000000002</v>
      </c>
      <c r="K19" s="54">
        <v>0</v>
      </c>
      <c r="L19" s="54">
        <v>32417.73</v>
      </c>
      <c r="M19" s="45">
        <f t="shared" si="17"/>
        <v>30759.710000000003</v>
      </c>
      <c r="N19" s="54">
        <v>26025.13</v>
      </c>
      <c r="O19" s="54">
        <v>1463.88</v>
      </c>
      <c r="P19" s="54">
        <v>3040.5</v>
      </c>
      <c r="Q19" s="54">
        <v>230.2</v>
      </c>
      <c r="R19" s="32">
        <f t="shared" si="2"/>
        <v>1.01E-3</v>
      </c>
      <c r="S19" s="32">
        <f t="shared" si="3"/>
        <v>0</v>
      </c>
      <c r="T19" s="32">
        <f t="shared" si="4"/>
        <v>1.01E-3</v>
      </c>
      <c r="U19" s="32">
        <f t="shared" si="5"/>
        <v>1E-3</v>
      </c>
      <c r="V19" s="32">
        <f t="shared" si="6"/>
        <v>0</v>
      </c>
      <c r="W19" s="32">
        <f t="shared" si="13"/>
        <v>1.0000000000000001E-5</v>
      </c>
      <c r="X19" s="32">
        <f t="shared" si="7"/>
        <v>6.3177440000000001E-2</v>
      </c>
      <c r="Y19" s="32">
        <f t="shared" si="8"/>
        <v>3.2417729999999999E-2</v>
      </c>
      <c r="Z19" s="32">
        <f t="shared" si="9"/>
        <v>3.0759710000000003E-2</v>
      </c>
      <c r="AA19" s="32">
        <f t="shared" si="10"/>
        <v>2.602513E-2</v>
      </c>
      <c r="AB19" s="32">
        <f t="shared" si="11"/>
        <v>1.4638800000000001E-3</v>
      </c>
      <c r="AC19" s="32">
        <f t="shared" si="14"/>
        <v>3.2706999999999996E-3</v>
      </c>
      <c r="AD19" s="369"/>
      <c r="AE19" s="58"/>
      <c r="AF19" s="369"/>
      <c r="AG19" s="369"/>
      <c r="AH19" s="369"/>
      <c r="AI19" s="370"/>
      <c r="AJ19" s="48"/>
      <c r="AK19" s="55">
        <f t="shared" si="15"/>
        <v>0</v>
      </c>
      <c r="AL19" s="3">
        <f>SUM(X12:X18)/SUM(R12:R18)*100</f>
        <v>67.739188273042927</v>
      </c>
      <c r="AM19" s="3">
        <f>SUM(Z12:Z18)/SUM(T12:T18)*100</f>
        <v>69.995788237684664</v>
      </c>
    </row>
    <row r="20" spans="1:39" x14ac:dyDescent="0.25">
      <c r="A20" s="44" t="s">
        <v>38</v>
      </c>
      <c r="B20" s="54">
        <v>1170116103.8900001</v>
      </c>
      <c r="C20" s="54">
        <v>711466.67</v>
      </c>
      <c r="D20" s="54">
        <v>30470500</v>
      </c>
      <c r="E20" s="45">
        <f t="shared" si="16"/>
        <v>1140357070.5600002</v>
      </c>
      <c r="F20" s="54">
        <v>771296568.73000002</v>
      </c>
      <c r="G20" s="54">
        <v>200675100</v>
      </c>
      <c r="H20" s="54">
        <v>115711465.38</v>
      </c>
      <c r="I20" s="54">
        <v>52673936.450000003</v>
      </c>
      <c r="J20" s="30">
        <v>801595126.91999996</v>
      </c>
      <c r="K20" s="30">
        <v>0</v>
      </c>
      <c r="L20" s="30">
        <v>41571278.469999999</v>
      </c>
      <c r="M20" s="45">
        <f t="shared" si="17"/>
        <v>760023848.44999993</v>
      </c>
      <c r="N20" s="30">
        <v>533326790.12</v>
      </c>
      <c r="O20" s="30">
        <v>119669074.14</v>
      </c>
      <c r="P20" s="30">
        <v>66230949.759999998</v>
      </c>
      <c r="Q20" s="30">
        <v>40797034.43</v>
      </c>
      <c r="R20" s="32">
        <f t="shared" si="2"/>
        <v>1170.1161038900002</v>
      </c>
      <c r="S20" s="32">
        <f t="shared" si="3"/>
        <v>30.470500000000001</v>
      </c>
      <c r="T20" s="32">
        <f t="shared" si="4"/>
        <v>1140.3570705600002</v>
      </c>
      <c r="U20" s="32">
        <f t="shared" si="5"/>
        <v>771.29656872999999</v>
      </c>
      <c r="V20" s="32">
        <f t="shared" si="6"/>
        <v>200.67509999999999</v>
      </c>
      <c r="W20" s="32">
        <f t="shared" si="13"/>
        <v>168.38540182999998</v>
      </c>
      <c r="X20" s="32">
        <f t="shared" si="7"/>
        <v>801.59512691999998</v>
      </c>
      <c r="Y20" s="32">
        <f t="shared" si="8"/>
        <v>41.571278469999996</v>
      </c>
      <c r="Z20" s="32">
        <f t="shared" si="9"/>
        <v>760.02384844999995</v>
      </c>
      <c r="AA20" s="32">
        <f t="shared" si="10"/>
        <v>533.32679012000006</v>
      </c>
      <c r="AB20" s="32">
        <f t="shared" si="11"/>
        <v>119.66907414000001</v>
      </c>
      <c r="AC20" s="32">
        <f t="shared" si="14"/>
        <v>107.02798419</v>
      </c>
      <c r="AD20" s="33">
        <f t="shared" si="19"/>
        <v>68.505605918517986</v>
      </c>
      <c r="AE20" s="33">
        <f t="shared" si="19"/>
        <v>136.43123174874057</v>
      </c>
      <c r="AF20" s="33">
        <f t="shared" si="19"/>
        <v>66.647883200020118</v>
      </c>
      <c r="AG20" s="33">
        <f t="shared" si="19"/>
        <v>69.14678630013411</v>
      </c>
      <c r="AH20" s="33">
        <f t="shared" si="19"/>
        <v>59.63324505132924</v>
      </c>
      <c r="AI20" s="49">
        <f t="shared" si="19"/>
        <v>63.561320059119055</v>
      </c>
      <c r="AJ20" s="56"/>
      <c r="AK20" s="3">
        <f t="shared" si="15"/>
        <v>0</v>
      </c>
    </row>
    <row r="21" spans="1:39" x14ac:dyDescent="0.25">
      <c r="A21" s="44" t="s">
        <v>39</v>
      </c>
      <c r="B21" s="30">
        <v>556446736.47000003</v>
      </c>
      <c r="C21" s="30">
        <v>0</v>
      </c>
      <c r="D21" s="30">
        <v>424187400</v>
      </c>
      <c r="E21" s="45">
        <f t="shared" si="16"/>
        <v>132259336.47</v>
      </c>
      <c r="F21" s="30">
        <v>85879500</v>
      </c>
      <c r="G21" s="30">
        <v>46379836.469999999</v>
      </c>
      <c r="H21" s="30">
        <v>0</v>
      </c>
      <c r="I21" s="30">
        <v>0</v>
      </c>
      <c r="J21" s="30">
        <v>652948506.91999996</v>
      </c>
      <c r="K21" s="30">
        <v>0</v>
      </c>
      <c r="L21" s="30">
        <v>480045107.42000002</v>
      </c>
      <c r="M21" s="45">
        <f t="shared" si="17"/>
        <v>172903399.5</v>
      </c>
      <c r="N21" s="30">
        <v>123095831.91</v>
      </c>
      <c r="O21" s="30">
        <v>49807567.590000004</v>
      </c>
      <c r="P21" s="30">
        <v>0</v>
      </c>
      <c r="Q21" s="30">
        <v>0</v>
      </c>
      <c r="R21" s="32">
        <f t="shared" si="2"/>
        <v>556.44673647000002</v>
      </c>
      <c r="S21" s="32">
        <f t="shared" si="3"/>
        <v>424.18740000000003</v>
      </c>
      <c r="T21" s="32">
        <f t="shared" si="4"/>
        <v>132.25933646999999</v>
      </c>
      <c r="U21" s="32">
        <f t="shared" si="5"/>
        <v>85.879499999999993</v>
      </c>
      <c r="V21" s="32">
        <f t="shared" si="6"/>
        <v>46.379836470000001</v>
      </c>
      <c r="W21" s="32">
        <f t="shared" si="13"/>
        <v>0</v>
      </c>
      <c r="X21" s="32">
        <f t="shared" si="7"/>
        <v>652.94850692</v>
      </c>
      <c r="Y21" s="32">
        <f t="shared" si="8"/>
        <v>480.04510742000002</v>
      </c>
      <c r="Z21" s="32">
        <f t="shared" si="9"/>
        <v>172.90339950000001</v>
      </c>
      <c r="AA21" s="32">
        <f t="shared" si="10"/>
        <v>123.09583191</v>
      </c>
      <c r="AB21" s="32">
        <f t="shared" si="11"/>
        <v>49.807567590000005</v>
      </c>
      <c r="AC21" s="32">
        <f t="shared" si="14"/>
        <v>0</v>
      </c>
      <c r="AD21" s="33">
        <f t="shared" si="19"/>
        <v>117.34249913337442</v>
      </c>
      <c r="AE21" s="33">
        <f t="shared" si="19"/>
        <v>113.16816751746987</v>
      </c>
      <c r="AF21" s="33">
        <f t="shared" si="19"/>
        <v>130.73058138259992</v>
      </c>
      <c r="AG21" s="32">
        <f t="shared" si="19"/>
        <v>143.33552467119628</v>
      </c>
      <c r="AH21" s="33">
        <f t="shared" si="19"/>
        <v>107.39056318626128</v>
      </c>
      <c r="AI21" s="47" t="s">
        <v>30</v>
      </c>
      <c r="AJ21" s="48"/>
      <c r="AK21" s="4">
        <f t="shared" si="15"/>
        <v>0</v>
      </c>
    </row>
    <row r="22" spans="1:39" ht="26.4" x14ac:dyDescent="0.25">
      <c r="A22" s="44" t="s">
        <v>40</v>
      </c>
      <c r="B22" s="30">
        <v>176568106.47999999</v>
      </c>
      <c r="C22" s="30">
        <v>0</v>
      </c>
      <c r="D22" s="30">
        <v>34454487.100000001</v>
      </c>
      <c r="E22" s="45">
        <f t="shared" si="16"/>
        <v>142113619.38</v>
      </c>
      <c r="F22" s="30">
        <v>94086250.170000002</v>
      </c>
      <c r="G22" s="30">
        <v>13752302.93</v>
      </c>
      <c r="H22" s="30">
        <v>12783390.369999999</v>
      </c>
      <c r="I22" s="30">
        <v>21491675.91</v>
      </c>
      <c r="J22" s="30">
        <v>131929639.98</v>
      </c>
      <c r="K22" s="30">
        <v>0</v>
      </c>
      <c r="L22" s="30">
        <v>31583551.219999999</v>
      </c>
      <c r="M22" s="45">
        <f t="shared" si="17"/>
        <v>100346088.76000001</v>
      </c>
      <c r="N22" s="30">
        <v>64058131.140000001</v>
      </c>
      <c r="O22" s="30">
        <v>10318246.470000001</v>
      </c>
      <c r="P22" s="30">
        <v>10009461.060000001</v>
      </c>
      <c r="Q22" s="30">
        <v>15960250.09</v>
      </c>
      <c r="R22" s="32">
        <f t="shared" si="2"/>
        <v>176.56810647999998</v>
      </c>
      <c r="S22" s="32">
        <f t="shared" si="3"/>
        <v>34.454487100000001</v>
      </c>
      <c r="T22" s="32">
        <f t="shared" si="4"/>
        <v>142.11361937999999</v>
      </c>
      <c r="U22" s="32">
        <f t="shared" si="5"/>
        <v>94.08625017</v>
      </c>
      <c r="V22" s="32">
        <f t="shared" si="6"/>
        <v>13.752302929999999</v>
      </c>
      <c r="W22" s="32">
        <f t="shared" si="13"/>
        <v>34.275066280000004</v>
      </c>
      <c r="X22" s="32">
        <f t="shared" si="7"/>
        <v>131.92963997999999</v>
      </c>
      <c r="Y22" s="32">
        <f t="shared" si="8"/>
        <v>31.58355122</v>
      </c>
      <c r="Z22" s="32">
        <f t="shared" si="9"/>
        <v>100.34608876</v>
      </c>
      <c r="AA22" s="32">
        <f t="shared" si="10"/>
        <v>64.05813114</v>
      </c>
      <c r="AB22" s="32">
        <f t="shared" si="11"/>
        <v>10.31824647</v>
      </c>
      <c r="AC22" s="32">
        <f t="shared" si="14"/>
        <v>25.969711149999998</v>
      </c>
      <c r="AD22" s="33">
        <f t="shared" si="19"/>
        <v>74.718839438278607</v>
      </c>
      <c r="AE22" s="33">
        <f t="shared" si="19"/>
        <v>91.667454309601368</v>
      </c>
      <c r="AF22" s="32">
        <f t="shared" si="19"/>
        <v>70.609762243605175</v>
      </c>
      <c r="AG22" s="33">
        <f t="shared" si="19"/>
        <v>68.084476769194637</v>
      </c>
      <c r="AH22" s="32">
        <f t="shared" si="19"/>
        <v>75.029226177756982</v>
      </c>
      <c r="AI22" s="49">
        <f t="shared" si="19"/>
        <v>75.768522044124239</v>
      </c>
      <c r="AJ22" s="56"/>
      <c r="AK22" s="3">
        <f t="shared" si="15"/>
        <v>0</v>
      </c>
    </row>
    <row r="23" spans="1:39" x14ac:dyDescent="0.25">
      <c r="A23" s="44" t="s">
        <v>41</v>
      </c>
      <c r="B23" s="30">
        <v>673798116.50999999</v>
      </c>
      <c r="C23" s="30">
        <v>0</v>
      </c>
      <c r="D23" s="30">
        <v>1200000</v>
      </c>
      <c r="E23" s="45">
        <f t="shared" si="16"/>
        <v>672598116.50999999</v>
      </c>
      <c r="F23" s="30">
        <v>547768313.63999999</v>
      </c>
      <c r="G23" s="30">
        <v>71941334</v>
      </c>
      <c r="H23" s="30">
        <v>34542021.25</v>
      </c>
      <c r="I23" s="30">
        <v>18346447.620000001</v>
      </c>
      <c r="J23" s="30">
        <v>523591691.07999998</v>
      </c>
      <c r="K23" s="30">
        <v>0</v>
      </c>
      <c r="L23" s="30">
        <v>1414265.82</v>
      </c>
      <c r="M23" s="45">
        <f t="shared" si="17"/>
        <v>522177425.26000005</v>
      </c>
      <c r="N23" s="30">
        <v>424858022.81999999</v>
      </c>
      <c r="O23" s="30">
        <v>59644550.670000002</v>
      </c>
      <c r="P23" s="30">
        <v>24908577.48</v>
      </c>
      <c r="Q23" s="30">
        <v>12766274.289999999</v>
      </c>
      <c r="R23" s="32">
        <f t="shared" si="2"/>
        <v>673.79811651</v>
      </c>
      <c r="S23" s="32">
        <f t="shared" si="3"/>
        <v>1.2</v>
      </c>
      <c r="T23" s="32">
        <f t="shared" si="4"/>
        <v>672.59811650999995</v>
      </c>
      <c r="U23" s="32">
        <f t="shared" si="5"/>
        <v>547.76831363999997</v>
      </c>
      <c r="V23" s="32">
        <f t="shared" si="6"/>
        <v>71.941333999999998</v>
      </c>
      <c r="W23" s="32">
        <f t="shared" si="13"/>
        <v>52.888468870000004</v>
      </c>
      <c r="X23" s="32">
        <f t="shared" si="7"/>
        <v>523.59169108000003</v>
      </c>
      <c r="Y23" s="32">
        <f t="shared" si="8"/>
        <v>1.41426582</v>
      </c>
      <c r="Z23" s="32">
        <f t="shared" si="9"/>
        <v>522.17742526000006</v>
      </c>
      <c r="AA23" s="32">
        <f t="shared" si="10"/>
        <v>424.85802281999997</v>
      </c>
      <c r="AB23" s="32">
        <f t="shared" si="11"/>
        <v>59.644550670000001</v>
      </c>
      <c r="AC23" s="32">
        <f t="shared" si="14"/>
        <v>37.674851769999997</v>
      </c>
      <c r="AD23" s="33">
        <f t="shared" si="19"/>
        <v>77.707502922684299</v>
      </c>
      <c r="AE23" s="33">
        <f t="shared" si="19"/>
        <v>117.855485</v>
      </c>
      <c r="AF23" s="33">
        <f>Z23/T23%</f>
        <v>77.635873851311402</v>
      </c>
      <c r="AG23" s="33">
        <f>AA23/U23%</f>
        <v>77.561628199476658</v>
      </c>
      <c r="AH23" s="33">
        <f>AB23/V23%</f>
        <v>82.907206961160881</v>
      </c>
      <c r="AI23" s="49">
        <f>AC23/W23%</f>
        <v>71.234529142079879</v>
      </c>
      <c r="AJ23" s="56"/>
      <c r="AK23" s="3">
        <f t="shared" si="15"/>
        <v>0</v>
      </c>
    </row>
    <row r="24" spans="1:39" x14ac:dyDescent="0.25">
      <c r="A24" s="44" t="s">
        <v>42</v>
      </c>
      <c r="B24" s="30">
        <v>816000</v>
      </c>
      <c r="C24" s="30">
        <v>0</v>
      </c>
      <c r="D24" s="30">
        <v>780000</v>
      </c>
      <c r="E24" s="45">
        <f t="shared" si="16"/>
        <v>36000</v>
      </c>
      <c r="F24" s="30">
        <v>0</v>
      </c>
      <c r="G24" s="30">
        <v>0</v>
      </c>
      <c r="H24" s="30">
        <v>0</v>
      </c>
      <c r="I24" s="30">
        <v>36000</v>
      </c>
      <c r="J24" s="30">
        <v>738417.47</v>
      </c>
      <c r="K24" s="30">
        <v>0</v>
      </c>
      <c r="L24" s="30">
        <v>680792.9</v>
      </c>
      <c r="M24" s="45">
        <f t="shared" si="17"/>
        <v>57624.57</v>
      </c>
      <c r="N24" s="30">
        <v>0</v>
      </c>
      <c r="O24" s="30">
        <v>0</v>
      </c>
      <c r="P24" s="30">
        <v>0</v>
      </c>
      <c r="Q24" s="30">
        <v>57624.57</v>
      </c>
      <c r="R24" s="32">
        <f t="shared" si="2"/>
        <v>0.81599999999999995</v>
      </c>
      <c r="S24" s="32">
        <f t="shared" si="3"/>
        <v>0.78</v>
      </c>
      <c r="T24" s="32">
        <f t="shared" si="4"/>
        <v>3.5999999999999997E-2</v>
      </c>
      <c r="U24" s="32">
        <f t="shared" si="5"/>
        <v>0</v>
      </c>
      <c r="V24" s="32">
        <f t="shared" si="6"/>
        <v>0</v>
      </c>
      <c r="W24" s="32">
        <f t="shared" si="13"/>
        <v>3.5999999999999997E-2</v>
      </c>
      <c r="X24" s="32">
        <f t="shared" si="7"/>
        <v>0.73841747000000002</v>
      </c>
      <c r="Y24" s="32">
        <f t="shared" si="8"/>
        <v>0.68079290000000003</v>
      </c>
      <c r="Z24" s="32">
        <f t="shared" si="9"/>
        <v>5.762457E-2</v>
      </c>
      <c r="AA24" s="32">
        <f t="shared" si="10"/>
        <v>0</v>
      </c>
      <c r="AB24" s="32">
        <f t="shared" si="11"/>
        <v>0</v>
      </c>
      <c r="AC24" s="32">
        <f t="shared" si="14"/>
        <v>5.762457E-2</v>
      </c>
      <c r="AD24" s="32">
        <f t="shared" si="19"/>
        <v>90.492337009803933</v>
      </c>
      <c r="AE24" s="32">
        <f t="shared" si="19"/>
        <v>87.28114102564102</v>
      </c>
      <c r="AF24" s="32">
        <f>Z24/T24%</f>
        <v>160.06825000000001</v>
      </c>
      <c r="AG24" s="46" t="s">
        <v>30</v>
      </c>
      <c r="AH24" s="46" t="s">
        <v>30</v>
      </c>
      <c r="AI24" s="34">
        <f>AC24/W24%</f>
        <v>160.06825000000001</v>
      </c>
      <c r="AJ24" s="35"/>
      <c r="AK24" s="3">
        <f t="shared" si="15"/>
        <v>0</v>
      </c>
    </row>
    <row r="25" spans="1:39" x14ac:dyDescent="0.25">
      <c r="A25" s="44" t="s">
        <v>43</v>
      </c>
      <c r="B25" s="30">
        <v>519337880.31999999</v>
      </c>
      <c r="C25" s="30">
        <v>0</v>
      </c>
      <c r="D25" s="30">
        <v>361775629.73000002</v>
      </c>
      <c r="E25" s="45">
        <f t="shared" si="16"/>
        <v>157562250.59</v>
      </c>
      <c r="F25" s="30">
        <v>121038623.75</v>
      </c>
      <c r="G25" s="30">
        <v>32687800</v>
      </c>
      <c r="H25" s="30">
        <v>759581.5</v>
      </c>
      <c r="I25" s="30">
        <v>3076245.34</v>
      </c>
      <c r="J25" s="30">
        <v>416912231.06999999</v>
      </c>
      <c r="K25" s="30">
        <v>0</v>
      </c>
      <c r="L25" s="30">
        <v>279025287.77999997</v>
      </c>
      <c r="M25" s="45">
        <f t="shared" si="17"/>
        <v>137886943.29000002</v>
      </c>
      <c r="N25" s="30">
        <v>94250128.180000007</v>
      </c>
      <c r="O25" s="30">
        <v>29362034.690000001</v>
      </c>
      <c r="P25" s="30">
        <v>11327883.33</v>
      </c>
      <c r="Q25" s="30">
        <v>2946897.09</v>
      </c>
      <c r="R25" s="32">
        <f t="shared" si="2"/>
        <v>519.33788031999995</v>
      </c>
      <c r="S25" s="32">
        <f t="shared" si="3"/>
        <v>361.77562972999999</v>
      </c>
      <c r="T25" s="32">
        <f t="shared" si="4"/>
        <v>157.56225058999999</v>
      </c>
      <c r="U25" s="32">
        <f t="shared" si="5"/>
        <v>121.03862375</v>
      </c>
      <c r="V25" s="32">
        <f t="shared" si="6"/>
        <v>32.687800000000003</v>
      </c>
      <c r="W25" s="32">
        <f t="shared" si="13"/>
        <v>3.8358268399999997</v>
      </c>
      <c r="X25" s="32">
        <f t="shared" si="7"/>
        <v>416.91223107000002</v>
      </c>
      <c r="Y25" s="32">
        <f t="shared" si="8"/>
        <v>279.02528777999999</v>
      </c>
      <c r="Z25" s="32">
        <f t="shared" si="9"/>
        <v>137.88694329000003</v>
      </c>
      <c r="AA25" s="32">
        <f t="shared" si="10"/>
        <v>94.250128180000004</v>
      </c>
      <c r="AB25" s="32">
        <f t="shared" si="11"/>
        <v>29.362034690000002</v>
      </c>
      <c r="AC25" s="32">
        <f t="shared" si="14"/>
        <v>14.274780420000001</v>
      </c>
      <c r="AD25" s="32">
        <f t="shared" si="19"/>
        <v>80.277647148155566</v>
      </c>
      <c r="AE25" s="32">
        <f t="shared" si="19"/>
        <v>77.126612422246865</v>
      </c>
      <c r="AF25" s="32">
        <f t="shared" si="19"/>
        <v>87.512676909396276</v>
      </c>
      <c r="AG25" s="32">
        <f t="shared" si="19"/>
        <v>77.867812157770004</v>
      </c>
      <c r="AH25" s="32">
        <f t="shared" si="19"/>
        <v>89.825667955628717</v>
      </c>
      <c r="AI25" s="34">
        <f t="shared" si="19"/>
        <v>372.1435042672573</v>
      </c>
      <c r="AJ25" s="35"/>
      <c r="AK25" s="3">
        <f t="shared" si="15"/>
        <v>0</v>
      </c>
    </row>
    <row r="26" spans="1:39" x14ac:dyDescent="0.25">
      <c r="A26" s="44" t="s">
        <v>44</v>
      </c>
      <c r="B26" s="30">
        <v>18823699.510000002</v>
      </c>
      <c r="C26" s="30">
        <v>0</v>
      </c>
      <c r="D26" s="30">
        <v>0</v>
      </c>
      <c r="E26" s="45">
        <f t="shared" si="16"/>
        <v>18823699.509999998</v>
      </c>
      <c r="F26" s="30">
        <v>12129247.34</v>
      </c>
      <c r="G26" s="30">
        <v>447700</v>
      </c>
      <c r="H26" s="30">
        <v>4916270.6100000003</v>
      </c>
      <c r="I26" s="30">
        <v>1330481.56</v>
      </c>
      <c r="J26" s="37">
        <v>21297388.52</v>
      </c>
      <c r="K26" s="37">
        <v>0</v>
      </c>
      <c r="L26" s="37">
        <v>202436.27</v>
      </c>
      <c r="M26" s="45">
        <f t="shared" si="17"/>
        <v>21094952.25</v>
      </c>
      <c r="N26" s="30">
        <v>13967916.380000001</v>
      </c>
      <c r="O26" s="30">
        <v>90432.92</v>
      </c>
      <c r="P26" s="30">
        <v>5748791.6799999997</v>
      </c>
      <c r="Q26" s="30">
        <v>1287811.27</v>
      </c>
      <c r="R26" s="32">
        <f t="shared" si="2"/>
        <v>18.823699510000001</v>
      </c>
      <c r="S26" s="32">
        <f t="shared" si="3"/>
        <v>0</v>
      </c>
      <c r="T26" s="32">
        <f t="shared" si="4"/>
        <v>18.823699509999997</v>
      </c>
      <c r="U26" s="32">
        <f t="shared" si="5"/>
        <v>12.129247339999999</v>
      </c>
      <c r="V26" s="32">
        <f t="shared" si="6"/>
        <v>0.44769999999999999</v>
      </c>
      <c r="W26" s="32">
        <f t="shared" si="13"/>
        <v>6.2467521699999997</v>
      </c>
      <c r="X26" s="32">
        <f t="shared" ref="X26:X37" si="20">J26/1000000</f>
        <v>21.297388519999998</v>
      </c>
      <c r="Y26" s="32">
        <f t="shared" si="8"/>
        <v>0.20243627</v>
      </c>
      <c r="Z26" s="57">
        <f t="shared" si="9"/>
        <v>21.094952249999999</v>
      </c>
      <c r="AA26" s="32">
        <f t="shared" si="10"/>
        <v>13.96791638</v>
      </c>
      <c r="AB26" s="32">
        <f t="shared" si="11"/>
        <v>9.043292E-2</v>
      </c>
      <c r="AC26" s="32">
        <f t="shared" si="14"/>
        <v>7.0366029499999989</v>
      </c>
      <c r="AD26" s="32">
        <f t="shared" si="19"/>
        <v>113.14135411418921</v>
      </c>
      <c r="AE26" s="58" t="s">
        <v>30</v>
      </c>
      <c r="AF26" s="32">
        <f>Z26/T26%</f>
        <v>112.06592114793062</v>
      </c>
      <c r="AG26" s="32">
        <f>AA26/U26%</f>
        <v>115.15897061424754</v>
      </c>
      <c r="AH26" s="58" t="s">
        <v>30</v>
      </c>
      <c r="AI26" s="34">
        <f>AC26/W26%</f>
        <v>112.64418306513349</v>
      </c>
      <c r="AJ26" s="35"/>
      <c r="AK26" s="59">
        <f t="shared" si="15"/>
        <v>0</v>
      </c>
      <c r="AL26" s="59">
        <f>AK26*1000</f>
        <v>0</v>
      </c>
    </row>
    <row r="27" spans="1:39" s="66" customFormat="1" hidden="1" x14ac:dyDescent="0.25">
      <c r="A27" s="60" t="s">
        <v>45</v>
      </c>
      <c r="B27" s="61">
        <v>-29764.29</v>
      </c>
      <c r="C27" s="61">
        <v>0</v>
      </c>
      <c r="D27" s="61">
        <v>0</v>
      </c>
      <c r="E27" s="45">
        <f t="shared" si="16"/>
        <v>-29764.29</v>
      </c>
      <c r="F27" s="61">
        <v>-18722.66</v>
      </c>
      <c r="G27" s="61">
        <v>0</v>
      </c>
      <c r="H27" s="61">
        <v>0</v>
      </c>
      <c r="I27" s="61">
        <v>-11041.63</v>
      </c>
      <c r="J27" s="61">
        <v>1769767.68</v>
      </c>
      <c r="K27" s="61">
        <v>0</v>
      </c>
      <c r="L27" s="61">
        <v>195008.33</v>
      </c>
      <c r="M27" s="45">
        <f t="shared" si="17"/>
        <v>1574759.35</v>
      </c>
      <c r="N27" s="61">
        <v>135143.43</v>
      </c>
      <c r="O27" s="61">
        <v>-135376.67000000001</v>
      </c>
      <c r="P27" s="61">
        <v>1502086.56</v>
      </c>
      <c r="Q27" s="61">
        <v>72906.03</v>
      </c>
      <c r="R27" s="62">
        <f t="shared" si="2"/>
        <v>-2.9764290000000002E-2</v>
      </c>
      <c r="S27" s="62"/>
      <c r="T27" s="62">
        <f t="shared" ref="T27:T37" si="21">E27/1000000</f>
        <v>-2.9764290000000002E-2</v>
      </c>
      <c r="U27" s="62">
        <f t="shared" ref="U27:U37" si="22">F27/1000000</f>
        <v>-1.8722659999999999E-2</v>
      </c>
      <c r="V27" s="62"/>
      <c r="W27" s="62">
        <f t="shared" si="13"/>
        <v>-1.1041629999999998E-2</v>
      </c>
      <c r="X27" s="62">
        <f t="shared" si="20"/>
        <v>1.76976768</v>
      </c>
      <c r="Y27" s="62">
        <f t="shared" si="8"/>
        <v>0.19500832999999998</v>
      </c>
      <c r="Z27" s="62">
        <f t="shared" si="9"/>
        <v>1.5747593500000001</v>
      </c>
      <c r="AA27" s="62">
        <f t="shared" si="10"/>
        <v>0.13514342999999998</v>
      </c>
      <c r="AB27" s="62">
        <f t="shared" si="11"/>
        <v>-0.13537667</v>
      </c>
      <c r="AC27" s="62">
        <f t="shared" si="14"/>
        <v>1.5749925900000001</v>
      </c>
      <c r="AD27" s="32">
        <f t="shared" si="19"/>
        <v>-5945.942873154373</v>
      </c>
      <c r="AE27" s="62"/>
      <c r="AF27" s="32">
        <f t="shared" ref="AF27" si="23">Z27/T27%</f>
        <v>-5290.7673927380765</v>
      </c>
      <c r="AG27" s="32">
        <f t="shared" ref="AG27" si="24">AA27/U27%</f>
        <v>-721.81746610791413</v>
      </c>
      <c r="AH27" s="62"/>
      <c r="AI27" s="63"/>
      <c r="AJ27" s="64"/>
      <c r="AK27" s="65">
        <f t="shared" si="15"/>
        <v>0</v>
      </c>
      <c r="AL27" s="66">
        <f>AK27*1000</f>
        <v>0</v>
      </c>
    </row>
    <row r="28" spans="1:39" s="183" customFormat="1" ht="26.4" x14ac:dyDescent="0.25">
      <c r="A28" s="44" t="s">
        <v>46</v>
      </c>
      <c r="B28" s="51">
        <v>0</v>
      </c>
      <c r="C28" s="51">
        <v>0</v>
      </c>
      <c r="D28" s="51">
        <v>0</v>
      </c>
      <c r="E28" s="45">
        <f t="shared" si="16"/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-368871.06</v>
      </c>
      <c r="L28" s="51">
        <v>0</v>
      </c>
      <c r="M28" s="45">
        <f t="shared" si="17"/>
        <v>-368871.06</v>
      </c>
      <c r="N28" s="51">
        <v>0</v>
      </c>
      <c r="O28" s="51">
        <v>0</v>
      </c>
      <c r="P28" s="51">
        <v>0</v>
      </c>
      <c r="Q28" s="51">
        <v>-368871.06</v>
      </c>
      <c r="R28" s="32">
        <f t="shared" si="2"/>
        <v>0</v>
      </c>
      <c r="S28" s="32">
        <f t="shared" ref="S28:S37" si="25">D28/1000000</f>
        <v>0</v>
      </c>
      <c r="T28" s="32">
        <f t="shared" si="21"/>
        <v>0</v>
      </c>
      <c r="U28" s="32">
        <f t="shared" si="22"/>
        <v>0</v>
      </c>
      <c r="V28" s="32">
        <f t="shared" ref="V28:V37" si="26">G28/1000000</f>
        <v>0</v>
      </c>
      <c r="W28" s="32">
        <f t="shared" si="13"/>
        <v>0</v>
      </c>
      <c r="X28" s="32">
        <f t="shared" si="20"/>
        <v>0</v>
      </c>
      <c r="Y28" s="32">
        <f t="shared" si="8"/>
        <v>0</v>
      </c>
      <c r="Z28" s="32">
        <f t="shared" si="9"/>
        <v>-0.36887105999999997</v>
      </c>
      <c r="AA28" s="32">
        <f t="shared" si="10"/>
        <v>0</v>
      </c>
      <c r="AB28" s="32">
        <f t="shared" si="11"/>
        <v>0</v>
      </c>
      <c r="AC28" s="32">
        <f t="shared" si="14"/>
        <v>-0.36887105999999997</v>
      </c>
      <c r="AD28" s="32"/>
      <c r="AE28" s="32"/>
      <c r="AF28" s="32"/>
      <c r="AG28" s="32"/>
      <c r="AH28" s="32"/>
      <c r="AI28" s="34"/>
      <c r="AJ28" s="35"/>
      <c r="AK28" s="182"/>
    </row>
    <row r="29" spans="1:39" s="43" customFormat="1" x14ac:dyDescent="0.25">
      <c r="A29" s="36" t="s">
        <v>47</v>
      </c>
      <c r="B29" s="37">
        <v>17549218977.889999</v>
      </c>
      <c r="C29" s="37">
        <v>23014265723.59</v>
      </c>
      <c r="D29" s="37">
        <v>18362706685.299999</v>
      </c>
      <c r="E29" s="68">
        <f>F29+G29+H29+I29-E133</f>
        <v>20203581887.43</v>
      </c>
      <c r="F29" s="37">
        <v>9583619417.2099991</v>
      </c>
      <c r="G29" s="37">
        <v>11260452530.190001</v>
      </c>
      <c r="H29" s="37">
        <v>245465519.44999999</v>
      </c>
      <c r="I29" s="37">
        <v>1111240549.3299999</v>
      </c>
      <c r="J29" s="37">
        <v>12190687900.870001</v>
      </c>
      <c r="K29" s="37">
        <v>15829495236.780001</v>
      </c>
      <c r="L29" s="37">
        <v>13059062180.59</v>
      </c>
      <c r="M29" s="68">
        <f>N29+O29+P29+Q29-M133</f>
        <v>13753256409.129999</v>
      </c>
      <c r="N29" s="37">
        <v>6383900414.6700001</v>
      </c>
      <c r="O29" s="37">
        <v>7972345425.7200003</v>
      </c>
      <c r="P29" s="37">
        <v>-216501.51</v>
      </c>
      <c r="Q29" s="37">
        <v>605091618.17999995</v>
      </c>
      <c r="R29" s="39">
        <f t="shared" si="2"/>
        <v>17549.218977889999</v>
      </c>
      <c r="S29" s="39">
        <f t="shared" si="25"/>
        <v>18362.7066853</v>
      </c>
      <c r="T29" s="39">
        <f t="shared" si="21"/>
        <v>20203.581887430002</v>
      </c>
      <c r="U29" s="39">
        <f t="shared" si="22"/>
        <v>9583.6194172099986</v>
      </c>
      <c r="V29" s="39">
        <f t="shared" si="26"/>
        <v>11260.452530190001</v>
      </c>
      <c r="W29" s="39">
        <f t="shared" si="13"/>
        <v>1356.7060687799999</v>
      </c>
      <c r="X29" s="39">
        <f t="shared" si="20"/>
        <v>12190.687900870002</v>
      </c>
      <c r="Y29" s="39">
        <f t="shared" si="8"/>
        <v>13059.062180590001</v>
      </c>
      <c r="Z29" s="39">
        <f t="shared" si="9"/>
        <v>13753.256409129999</v>
      </c>
      <c r="AA29" s="39">
        <f t="shared" si="10"/>
        <v>6383.9004146699999</v>
      </c>
      <c r="AB29" s="39">
        <f t="shared" si="11"/>
        <v>7972.3454257200001</v>
      </c>
      <c r="AC29" s="39">
        <f t="shared" si="14"/>
        <v>604.87511667000001</v>
      </c>
      <c r="AD29" s="39">
        <f t="shared" si="19"/>
        <v>69.465700531908965</v>
      </c>
      <c r="AE29" s="39">
        <f t="shared" si="19"/>
        <v>71.117305331921713</v>
      </c>
      <c r="AF29" s="39">
        <f t="shared" si="19"/>
        <v>68.073356921362631</v>
      </c>
      <c r="AG29" s="39">
        <f t="shared" si="19"/>
        <v>66.612624487215854</v>
      </c>
      <c r="AH29" s="39">
        <f t="shared" si="19"/>
        <v>70.799511869932644</v>
      </c>
      <c r="AI29" s="40">
        <f t="shared" si="19"/>
        <v>44.584094564707442</v>
      </c>
      <c r="AJ29" s="41"/>
      <c r="AK29" s="69">
        <f>X29-Y29-Z29</f>
        <v>-14621.630688849998</v>
      </c>
      <c r="AL29" s="43">
        <f>AK29*1000</f>
        <v>-14621630.688849999</v>
      </c>
    </row>
    <row r="30" spans="1:39" x14ac:dyDescent="0.25">
      <c r="A30" s="44" t="s">
        <v>48</v>
      </c>
      <c r="B30" s="30">
        <v>15317765389.43</v>
      </c>
      <c r="C30" s="30">
        <v>23014265723.59</v>
      </c>
      <c r="D30" s="30">
        <v>15256903989.43</v>
      </c>
      <c r="E30" s="72">
        <f>F30+G30+H30+I30-G133-H133-I133</f>
        <v>21077930994.84</v>
      </c>
      <c r="F30" s="54">
        <v>9810989017.3799992</v>
      </c>
      <c r="G30" s="54">
        <v>11370587723.59</v>
      </c>
      <c r="H30" s="54">
        <v>631330533.94000006</v>
      </c>
      <c r="I30" s="54">
        <v>1262219848.6800001</v>
      </c>
      <c r="J30" s="37">
        <v>11228941256.49</v>
      </c>
      <c r="K30" s="37">
        <v>15829126365.719999</v>
      </c>
      <c r="L30" s="37">
        <v>11228941256.49</v>
      </c>
      <c r="M30" s="72">
        <f>N30+O30+P30+Q30-O133-P133-Q133</f>
        <v>14621261817.790001</v>
      </c>
      <c r="N30" s="30">
        <v>6611656188.1000004</v>
      </c>
      <c r="O30" s="30">
        <v>8081110346.1499996</v>
      </c>
      <c r="P30" s="30">
        <v>384642054.92000002</v>
      </c>
      <c r="Q30" s="30">
        <v>751717776.54999995</v>
      </c>
      <c r="R30" s="32">
        <f t="shared" si="2"/>
        <v>15317.76538943</v>
      </c>
      <c r="S30" s="32">
        <f t="shared" si="25"/>
        <v>15256.90398943</v>
      </c>
      <c r="T30" s="32">
        <f t="shared" si="21"/>
        <v>21077.93099484</v>
      </c>
      <c r="U30" s="32">
        <f t="shared" si="22"/>
        <v>9810.9890173799995</v>
      </c>
      <c r="V30" s="32">
        <f t="shared" si="26"/>
        <v>11370.587723590001</v>
      </c>
      <c r="W30" s="32">
        <f t="shared" si="13"/>
        <v>1893.5503826200002</v>
      </c>
      <c r="X30" s="32">
        <f t="shared" si="20"/>
        <v>11228.941256489999</v>
      </c>
      <c r="Y30" s="32">
        <f t="shared" si="8"/>
        <v>11228.941256489999</v>
      </c>
      <c r="Z30" s="32">
        <f t="shared" si="9"/>
        <v>14621.26181779</v>
      </c>
      <c r="AA30" s="32">
        <f t="shared" si="10"/>
        <v>6611.6561881000007</v>
      </c>
      <c r="AB30" s="32">
        <f t="shared" si="11"/>
        <v>8081.1103461499997</v>
      </c>
      <c r="AC30" s="32">
        <f t="shared" si="14"/>
        <v>1136.35983147</v>
      </c>
      <c r="AD30" s="32">
        <f t="shared" si="19"/>
        <v>73.306653882024548</v>
      </c>
      <c r="AE30" s="32">
        <f t="shared" si="19"/>
        <v>73.599081860051172</v>
      </c>
      <c r="AF30" s="32">
        <f t="shared" si="19"/>
        <v>69.367633006149276</v>
      </c>
      <c r="AG30" s="32">
        <f t="shared" si="19"/>
        <v>67.39031280523875</v>
      </c>
      <c r="AH30" s="32">
        <f t="shared" si="19"/>
        <v>71.070295947715323</v>
      </c>
      <c r="AI30" s="34">
        <f t="shared" si="19"/>
        <v>60.012125470761553</v>
      </c>
      <c r="AJ30" s="35"/>
      <c r="AK30" s="4">
        <f>X30-Y30-Z30</f>
        <v>-14621.26181779</v>
      </c>
      <c r="AL30" s="3">
        <f>AK30*1000</f>
        <v>-14621261.81779</v>
      </c>
      <c r="AM30" s="2">
        <f>AL30-K30</f>
        <v>-15843747627.537788</v>
      </c>
    </row>
    <row r="31" spans="1:39" ht="26.4" x14ac:dyDescent="0.25">
      <c r="A31" s="44" t="s">
        <v>49</v>
      </c>
      <c r="B31" s="30">
        <v>2200255738.0100002</v>
      </c>
      <c r="C31" s="30">
        <v>0</v>
      </c>
      <c r="D31" s="30">
        <v>2200255738.0100002</v>
      </c>
      <c r="E31" s="72">
        <f>F31+G31+H31+I31</f>
        <v>0</v>
      </c>
      <c r="F31" s="54">
        <v>0</v>
      </c>
      <c r="G31" s="54">
        <v>0</v>
      </c>
      <c r="H31" s="54">
        <v>0</v>
      </c>
      <c r="I31" s="54">
        <v>0</v>
      </c>
      <c r="J31" s="37">
        <v>899717945.52999997</v>
      </c>
      <c r="K31" s="37">
        <v>0</v>
      </c>
      <c r="L31" s="37">
        <v>899707315.52999997</v>
      </c>
      <c r="M31" s="72">
        <f>N31+O31+P31+Q31</f>
        <v>10630</v>
      </c>
      <c r="N31" s="30">
        <v>0</v>
      </c>
      <c r="O31" s="30">
        <v>0</v>
      </c>
      <c r="P31" s="30">
        <v>0</v>
      </c>
      <c r="Q31" s="30">
        <v>10630</v>
      </c>
      <c r="R31" s="32">
        <f>B31/1000000</f>
        <v>2200.2557380100002</v>
      </c>
      <c r="S31" s="32">
        <f t="shared" si="25"/>
        <v>2200.2557380100002</v>
      </c>
      <c r="T31" s="32">
        <f t="shared" si="21"/>
        <v>0</v>
      </c>
      <c r="U31" s="32">
        <f t="shared" si="22"/>
        <v>0</v>
      </c>
      <c r="V31" s="32">
        <f t="shared" si="26"/>
        <v>0</v>
      </c>
      <c r="W31" s="32">
        <f t="shared" si="13"/>
        <v>0</v>
      </c>
      <c r="X31" s="32">
        <f t="shared" si="20"/>
        <v>899.71794552999995</v>
      </c>
      <c r="Y31" s="32">
        <f t="shared" si="8"/>
        <v>899.70731552999996</v>
      </c>
      <c r="Z31" s="32">
        <f t="shared" si="9"/>
        <v>1.0630000000000001E-2</v>
      </c>
      <c r="AA31" s="32">
        <f t="shared" si="10"/>
        <v>0</v>
      </c>
      <c r="AB31" s="32">
        <f t="shared" si="11"/>
        <v>0</v>
      </c>
      <c r="AC31" s="32">
        <f t="shared" si="14"/>
        <v>1.0630000000000001E-2</v>
      </c>
      <c r="AD31" s="32">
        <f t="shared" ref="AD31:AD32" si="27">X31/R31%</f>
        <v>40.891516835390284</v>
      </c>
      <c r="AE31" s="32">
        <f t="shared" ref="AE31" si="28">Y31/S31%</f>
        <v>40.891033709732831</v>
      </c>
      <c r="AF31" s="32"/>
      <c r="AG31" s="32"/>
      <c r="AH31" s="32"/>
      <c r="AI31" s="34"/>
      <c r="AJ31" s="35"/>
      <c r="AK31" s="4">
        <f>X31-Y31-Z31</f>
        <v>-8.0768725041480138E-15</v>
      </c>
      <c r="AL31" s="3">
        <f t="shared" ref="AL31:AL37" si="29">AK31*1000</f>
        <v>-8.0768725041480138E-12</v>
      </c>
    </row>
    <row r="32" spans="1:39" s="73" customFormat="1" ht="26.4" x14ac:dyDescent="0.25">
      <c r="A32" s="44" t="s">
        <v>50</v>
      </c>
      <c r="B32" s="30">
        <v>1791078</v>
      </c>
      <c r="C32" s="30">
        <v>0</v>
      </c>
      <c r="D32" s="30">
        <v>0</v>
      </c>
      <c r="E32" s="72">
        <f>F32+G32+H32+I32</f>
        <v>1791078</v>
      </c>
      <c r="F32" s="54">
        <v>0</v>
      </c>
      <c r="G32" s="54">
        <v>1791078</v>
      </c>
      <c r="H32" s="54">
        <v>0</v>
      </c>
      <c r="I32" s="54">
        <v>0</v>
      </c>
      <c r="J32" s="30">
        <v>1641078</v>
      </c>
      <c r="K32" s="30">
        <v>0</v>
      </c>
      <c r="L32" s="30">
        <v>0</v>
      </c>
      <c r="M32" s="72">
        <f>N32+O32+P32+Q32</f>
        <v>1641078</v>
      </c>
      <c r="N32" s="30">
        <v>0</v>
      </c>
      <c r="O32" s="30">
        <v>1641078</v>
      </c>
      <c r="P32" s="30">
        <v>0</v>
      </c>
      <c r="Q32" s="30">
        <v>0</v>
      </c>
      <c r="R32" s="33">
        <f>B32/1000000</f>
        <v>1.7910779999999999</v>
      </c>
      <c r="S32" s="33">
        <f t="shared" si="25"/>
        <v>0</v>
      </c>
      <c r="T32" s="33">
        <f t="shared" si="21"/>
        <v>1.7910779999999999</v>
      </c>
      <c r="U32" s="33">
        <f t="shared" si="22"/>
        <v>0</v>
      </c>
      <c r="V32" s="33">
        <f t="shared" si="26"/>
        <v>1.7910779999999999</v>
      </c>
      <c r="W32" s="32">
        <f t="shared" si="13"/>
        <v>0</v>
      </c>
      <c r="X32" s="33">
        <f>J32/1000000</f>
        <v>1.641078</v>
      </c>
      <c r="Y32" s="33">
        <f t="shared" si="8"/>
        <v>0</v>
      </c>
      <c r="Z32" s="33">
        <f t="shared" si="9"/>
        <v>1.641078</v>
      </c>
      <c r="AA32" s="33">
        <f t="shared" si="10"/>
        <v>0</v>
      </c>
      <c r="AB32" s="33">
        <f t="shared" si="11"/>
        <v>1.641078</v>
      </c>
      <c r="AC32" s="32">
        <f t="shared" si="14"/>
        <v>0</v>
      </c>
      <c r="AD32" s="32">
        <f t="shared" si="27"/>
        <v>91.625155353368186</v>
      </c>
      <c r="AE32" s="32"/>
      <c r="AF32" s="32">
        <f t="shared" ref="AF32" si="30">Z32/T32%</f>
        <v>91.625155353368186</v>
      </c>
      <c r="AG32" s="32"/>
      <c r="AH32" s="32">
        <f t="shared" ref="AH32" si="31">AB32/V32%</f>
        <v>91.625155353368186</v>
      </c>
      <c r="AI32" s="34"/>
      <c r="AJ32" s="35"/>
      <c r="AK32" s="4">
        <f>X32-Y32-Z32</f>
        <v>0</v>
      </c>
      <c r="AL32" s="3">
        <f t="shared" si="29"/>
        <v>0</v>
      </c>
    </row>
    <row r="33" spans="1:39" x14ac:dyDescent="0.25">
      <c r="A33" s="44" t="s">
        <v>51</v>
      </c>
      <c r="B33" s="30">
        <v>78200439.959999993</v>
      </c>
      <c r="C33" s="30">
        <v>0</v>
      </c>
      <c r="D33" s="30">
        <v>52209031.479999997</v>
      </c>
      <c r="E33" s="72">
        <f>F33+G33+H33+I33</f>
        <v>25991408.48</v>
      </c>
      <c r="F33" s="30">
        <v>9300985.4000000004</v>
      </c>
      <c r="G33" s="30">
        <v>9381481.3300000001</v>
      </c>
      <c r="H33" s="30">
        <v>5289911.25</v>
      </c>
      <c r="I33" s="30">
        <v>2019030.5</v>
      </c>
      <c r="J33" s="54">
        <v>57213050.869999997</v>
      </c>
      <c r="K33" s="54">
        <v>0</v>
      </c>
      <c r="L33" s="54">
        <v>29946668.48</v>
      </c>
      <c r="M33" s="72">
        <f>N33+O33+P33+Q33</f>
        <v>27266382.390000001</v>
      </c>
      <c r="N33" s="54">
        <v>9000985.4000000004</v>
      </c>
      <c r="O33" s="54">
        <v>9916808.0600000005</v>
      </c>
      <c r="P33" s="54">
        <v>6296369.3099999996</v>
      </c>
      <c r="Q33" s="54">
        <v>2052219.62</v>
      </c>
      <c r="R33" s="32">
        <f t="shared" si="2"/>
        <v>78.200439959999997</v>
      </c>
      <c r="S33" s="32">
        <f t="shared" si="25"/>
        <v>52.20903148</v>
      </c>
      <c r="T33" s="32">
        <f t="shared" si="21"/>
        <v>25.99140848</v>
      </c>
      <c r="U33" s="32">
        <f t="shared" si="22"/>
        <v>9.3009854000000001</v>
      </c>
      <c r="V33" s="32">
        <f t="shared" si="26"/>
        <v>9.3814813299999997</v>
      </c>
      <c r="W33" s="32">
        <f t="shared" si="13"/>
        <v>7.3089417499999998</v>
      </c>
      <c r="X33" s="32">
        <f t="shared" si="20"/>
        <v>57.213050869999996</v>
      </c>
      <c r="Y33" s="32">
        <f t="shared" si="8"/>
        <v>29.94666848</v>
      </c>
      <c r="Z33" s="32">
        <f t="shared" si="9"/>
        <v>27.26638239</v>
      </c>
      <c r="AA33" s="32">
        <f t="shared" si="10"/>
        <v>9.0009854000000011</v>
      </c>
      <c r="AB33" s="32">
        <f t="shared" si="11"/>
        <v>9.916808060000001</v>
      </c>
      <c r="AC33" s="32">
        <f t="shared" si="14"/>
        <v>8.34858893</v>
      </c>
      <c r="AD33" s="32">
        <f t="shared" si="19"/>
        <v>73.162057527124929</v>
      </c>
      <c r="AE33" s="32">
        <f>Y33/S33%</f>
        <v>57.359172601146284</v>
      </c>
      <c r="AF33" s="32">
        <f>Z33/T33%</f>
        <v>104.90536675217534</v>
      </c>
      <c r="AG33" s="32">
        <f>AA33/U33%</f>
        <v>96.774535308914693</v>
      </c>
      <c r="AH33" s="32">
        <f>AB33/V33%</f>
        <v>105.70620684697352</v>
      </c>
      <c r="AI33" s="34">
        <f>AC33/W33%</f>
        <v>114.22431886257678</v>
      </c>
      <c r="AJ33" s="35"/>
      <c r="AK33" s="4">
        <f t="shared" si="15"/>
        <v>0</v>
      </c>
      <c r="AL33" s="3">
        <f t="shared" si="29"/>
        <v>0</v>
      </c>
    </row>
    <row r="34" spans="1:39" ht="79.2" hidden="1" x14ac:dyDescent="0.25">
      <c r="A34" s="266" t="s">
        <v>52</v>
      </c>
      <c r="B34" s="30"/>
      <c r="C34" s="30"/>
      <c r="D34" s="30"/>
      <c r="E34" s="72">
        <f>F34+G34+H34+I34</f>
        <v>0</v>
      </c>
      <c r="F34" s="30"/>
      <c r="G34" s="30"/>
      <c r="H34" s="30"/>
      <c r="I34" s="30"/>
      <c r="J34" s="54"/>
      <c r="K34" s="54"/>
      <c r="L34" s="54"/>
      <c r="M34" s="72">
        <f>N34+O34+P34+Q34</f>
        <v>0</v>
      </c>
      <c r="N34" s="54"/>
      <c r="O34" s="54"/>
      <c r="P34" s="54"/>
      <c r="Q34" s="54"/>
      <c r="R34" s="32">
        <f t="shared" si="2"/>
        <v>0</v>
      </c>
      <c r="S34" s="32">
        <f t="shared" si="25"/>
        <v>0</v>
      </c>
      <c r="T34" s="32">
        <f t="shared" si="21"/>
        <v>0</v>
      </c>
      <c r="U34" s="32">
        <f t="shared" si="22"/>
        <v>0</v>
      </c>
      <c r="V34" s="32">
        <f t="shared" si="26"/>
        <v>0</v>
      </c>
      <c r="W34" s="32">
        <f t="shared" si="13"/>
        <v>0</v>
      </c>
      <c r="X34" s="32">
        <f t="shared" si="20"/>
        <v>0</v>
      </c>
      <c r="Y34" s="32">
        <f t="shared" si="8"/>
        <v>0</v>
      </c>
      <c r="Z34" s="32">
        <f t="shared" si="9"/>
        <v>0</v>
      </c>
      <c r="AA34" s="32">
        <f t="shared" si="10"/>
        <v>0</v>
      </c>
      <c r="AB34" s="32">
        <f t="shared" si="11"/>
        <v>0</v>
      </c>
      <c r="AC34" s="32">
        <f t="shared" si="14"/>
        <v>0</v>
      </c>
      <c r="AD34" s="58" t="s">
        <v>30</v>
      </c>
      <c r="AE34" s="58" t="s">
        <v>30</v>
      </c>
      <c r="AF34" s="58" t="s">
        <v>30</v>
      </c>
      <c r="AG34" s="58" t="s">
        <v>30</v>
      </c>
      <c r="AH34" s="58" t="s">
        <v>30</v>
      </c>
      <c r="AI34" s="53" t="s">
        <v>30</v>
      </c>
      <c r="AJ34" s="74"/>
      <c r="AK34" s="4"/>
      <c r="AM34" s="3">
        <f>(S29-S35-S36)*1000</f>
        <v>17509368.758920003</v>
      </c>
    </row>
    <row r="35" spans="1:39" ht="13.95" customHeight="1" x14ac:dyDescent="0.25">
      <c r="A35" s="44" t="s">
        <v>229</v>
      </c>
      <c r="B35" s="30">
        <v>39451768.810000002</v>
      </c>
      <c r="C35" s="30">
        <v>1461433795.3599999</v>
      </c>
      <c r="D35" s="30">
        <v>918356498.12</v>
      </c>
      <c r="E35" s="72">
        <f>F35+G35+H35+H36+I35+I36</f>
        <v>21393630.800000101</v>
      </c>
      <c r="F35" s="30">
        <v>3271462.69</v>
      </c>
      <c r="G35" s="30">
        <v>562275423.70000005</v>
      </c>
      <c r="H35" s="30">
        <v>323974.03000000003</v>
      </c>
      <c r="I35" s="30">
        <v>16658205.630000001</v>
      </c>
      <c r="J35" s="30">
        <v>60659943.509999998</v>
      </c>
      <c r="K35" s="30">
        <v>1484499661.6199999</v>
      </c>
      <c r="L35" s="30">
        <v>957952313.62</v>
      </c>
      <c r="M35" s="72">
        <f>N35+O35+P35+P36+Q35+Q36</f>
        <v>26071856.26000002</v>
      </c>
      <c r="N35" s="30">
        <v>3271495.23</v>
      </c>
      <c r="O35" s="30">
        <v>562644294.75999999</v>
      </c>
      <c r="P35" s="30">
        <v>323974.03000000003</v>
      </c>
      <c r="Q35" s="30">
        <v>20967527.489999998</v>
      </c>
      <c r="R35" s="32">
        <f t="shared" si="2"/>
        <v>39.451768810000004</v>
      </c>
      <c r="S35" s="32">
        <f t="shared" si="25"/>
        <v>918.35649811999997</v>
      </c>
      <c r="T35" s="32">
        <f t="shared" si="21"/>
        <v>21.3936308000001</v>
      </c>
      <c r="U35" s="32">
        <f t="shared" si="22"/>
        <v>3.2714626899999999</v>
      </c>
      <c r="V35" s="32">
        <f t="shared" si="26"/>
        <v>562.27542370000003</v>
      </c>
      <c r="W35" s="32">
        <f t="shared" si="13"/>
        <v>16.98217966</v>
      </c>
      <c r="X35" s="32">
        <f t="shared" si="20"/>
        <v>60.659943509999998</v>
      </c>
      <c r="Y35" s="32">
        <f t="shared" si="8"/>
        <v>957.95231362000004</v>
      </c>
      <c r="Z35" s="32">
        <f t="shared" si="9"/>
        <v>26.071856260000022</v>
      </c>
      <c r="AA35" s="32">
        <f t="shared" si="10"/>
        <v>3.2714952300000002</v>
      </c>
      <c r="AB35" s="32">
        <f t="shared" si="11"/>
        <v>562.64429475999998</v>
      </c>
      <c r="AC35" s="32">
        <f t="shared" si="14"/>
        <v>21.291501520000001</v>
      </c>
      <c r="AD35" s="32">
        <f t="shared" si="19"/>
        <v>153.75722138629249</v>
      </c>
      <c r="AE35" s="32">
        <f t="shared" si="19"/>
        <v>104.31159528800178</v>
      </c>
      <c r="AF35" s="32">
        <f>Z35/T35%</f>
        <v>121.86737493852563</v>
      </c>
      <c r="AG35" s="32">
        <f>AA35/U35%</f>
        <v>100.0009946621155</v>
      </c>
      <c r="AH35" s="32">
        <f>AB35/V35%</f>
        <v>100.06560326922572</v>
      </c>
      <c r="AI35" s="34">
        <f>AC35/W35%</f>
        <v>125.37555217455521</v>
      </c>
      <c r="AJ35" s="35"/>
      <c r="AK35" s="4">
        <f t="shared" si="15"/>
        <v>-923.3642263700001</v>
      </c>
      <c r="AL35" s="3">
        <f t="shared" si="29"/>
        <v>-923364.22637000005</v>
      </c>
    </row>
    <row r="36" spans="1:39" x14ac:dyDescent="0.25">
      <c r="A36" s="44" t="s">
        <v>230</v>
      </c>
      <c r="B36" s="30">
        <v>-88245436.319999993</v>
      </c>
      <c r="C36" s="30">
        <v>-1461433795.3599999</v>
      </c>
      <c r="D36" s="30">
        <v>-65018571.740000002</v>
      </c>
      <c r="E36" s="72">
        <f>F36+G36</f>
        <v>-923525224.68999994</v>
      </c>
      <c r="F36" s="30">
        <v>-239942048.25999999</v>
      </c>
      <c r="G36" s="30">
        <v>-683583176.42999995</v>
      </c>
      <c r="H36" s="30">
        <v>-391478899.76999998</v>
      </c>
      <c r="I36" s="30">
        <v>-169656535.47999999</v>
      </c>
      <c r="J36" s="30">
        <v>-57485373.530000001</v>
      </c>
      <c r="K36" s="30">
        <v>-1484130790.5599999</v>
      </c>
      <c r="L36" s="30">
        <v>-57485373.530000001</v>
      </c>
      <c r="M36" s="72">
        <f>N36+O36</f>
        <v>-922995355.30999994</v>
      </c>
      <c r="N36" s="30">
        <v>-240028254.06</v>
      </c>
      <c r="O36" s="30">
        <v>-682967101.25</v>
      </c>
      <c r="P36" s="30">
        <v>-391478899.76999998</v>
      </c>
      <c r="Q36" s="30">
        <v>-169656535.47999999</v>
      </c>
      <c r="R36" s="32">
        <f t="shared" si="2"/>
        <v>-88.245436319999996</v>
      </c>
      <c r="S36" s="32">
        <f t="shared" si="25"/>
        <v>-65.018571739999999</v>
      </c>
      <c r="T36" s="32">
        <f t="shared" si="21"/>
        <v>-923.52522468999996</v>
      </c>
      <c r="U36" s="32">
        <f t="shared" si="22"/>
        <v>-239.94204825999998</v>
      </c>
      <c r="V36" s="32">
        <f t="shared" si="26"/>
        <v>-683.58317642999998</v>
      </c>
      <c r="W36" s="32">
        <f t="shared" si="13"/>
        <v>-561.13543525</v>
      </c>
      <c r="X36" s="32">
        <f t="shared" si="20"/>
        <v>-57.485373530000004</v>
      </c>
      <c r="Y36" s="32">
        <f t="shared" si="8"/>
        <v>-57.485373530000004</v>
      </c>
      <c r="Z36" s="32">
        <f t="shared" si="9"/>
        <v>-922.99535530999992</v>
      </c>
      <c r="AA36" s="32">
        <f t="shared" si="10"/>
        <v>-240.02825405999999</v>
      </c>
      <c r="AB36" s="32">
        <f t="shared" si="11"/>
        <v>-682.96710125000004</v>
      </c>
      <c r="AC36" s="32">
        <f t="shared" si="14"/>
        <v>-561.13543525</v>
      </c>
      <c r="AD36" s="32">
        <f t="shared" si="19"/>
        <v>65.142602186864011</v>
      </c>
      <c r="AE36" s="32">
        <f t="shared" si="19"/>
        <v>88.413774697906035</v>
      </c>
      <c r="AF36" s="32">
        <f t="shared" si="19"/>
        <v>99.942625348411255</v>
      </c>
      <c r="AG36" s="32">
        <f t="shared" si="19"/>
        <v>100.03592775865054</v>
      </c>
      <c r="AH36" s="32">
        <f t="shared" si="19"/>
        <v>99.909875608229939</v>
      </c>
      <c r="AI36" s="34">
        <f t="shared" si="19"/>
        <v>100</v>
      </c>
      <c r="AJ36" s="35"/>
      <c r="AK36" s="4">
        <f t="shared" si="15"/>
        <v>922.99535530999992</v>
      </c>
      <c r="AL36" s="3">
        <f t="shared" si="29"/>
        <v>922995.3553099999</v>
      </c>
    </row>
    <row r="37" spans="1:39" s="43" customFormat="1" ht="13.8" thickBot="1" x14ac:dyDescent="0.35">
      <c r="A37" s="75" t="s">
        <v>53</v>
      </c>
      <c r="B37" s="76">
        <f t="shared" ref="B37:D37" si="32">B12+B13+B14+B15+B16+B17+B18+B19+B20+B21+B22+B23+B24+B25+B26+B28+B29</f>
        <v>77860104091.02002</v>
      </c>
      <c r="C37" s="76">
        <f t="shared" si="32"/>
        <v>23014977190.259998</v>
      </c>
      <c r="D37" s="76">
        <f t="shared" si="32"/>
        <v>65814027202.130005</v>
      </c>
      <c r="E37" s="76">
        <f>E12+E13+E14+E15+E16+E17+E18+E19+E20+E21+E22+E23+E24+E25+E26+E28+E29</f>
        <v>33063857950.400002</v>
      </c>
      <c r="F37" s="76">
        <f t="shared" ref="F37:L37" si="33">F12+F13+F14+F15+F16+F17+F18+F19+F20+F21+F22+F23+F24+F25+F26+F28+F29</f>
        <v>18989597052.159996</v>
      </c>
      <c r="G37" s="76">
        <f t="shared" si="33"/>
        <v>13764910853.59</v>
      </c>
      <c r="H37" s="76">
        <f t="shared" si="33"/>
        <v>883495979.55999994</v>
      </c>
      <c r="I37" s="76">
        <f t="shared" si="33"/>
        <v>1423050193.8399999</v>
      </c>
      <c r="J37" s="76">
        <f t="shared" si="33"/>
        <v>53483177544.589996</v>
      </c>
      <c r="K37" s="76">
        <f t="shared" si="33"/>
        <v>15829126365.720001</v>
      </c>
      <c r="L37" s="76">
        <f t="shared" si="33"/>
        <v>45219909611</v>
      </c>
      <c r="M37" s="76">
        <f>M12+M13+M14+M15+M16+M17+M18+M19+M20+M21+M22+M23+M24+M25+M26+M28+M29</f>
        <v>22884529751.379997</v>
      </c>
      <c r="N37" s="76">
        <f t="shared" ref="N37:Q37" si="34">N12+N13+N14+N15+N16+N17+N18+N19+N20+N21+N22+N23+N24+N25+N26+N28+N29</f>
        <v>13071763984.650002</v>
      </c>
      <c r="O37" s="76">
        <f t="shared" si="34"/>
        <v>9831725277.7400017</v>
      </c>
      <c r="P37" s="76">
        <f t="shared" si="34"/>
        <v>409170287.75000006</v>
      </c>
      <c r="Q37" s="76">
        <f t="shared" si="34"/>
        <v>779734749.16999996</v>
      </c>
      <c r="R37" s="77">
        <f t="shared" si="2"/>
        <v>77860.104091020024</v>
      </c>
      <c r="S37" s="77">
        <f t="shared" si="25"/>
        <v>65814.027202130004</v>
      </c>
      <c r="T37" s="77">
        <f t="shared" si="21"/>
        <v>33063.857950400001</v>
      </c>
      <c r="U37" s="77">
        <f t="shared" si="22"/>
        <v>18989.597052159996</v>
      </c>
      <c r="V37" s="77">
        <f t="shared" si="26"/>
        <v>13764.91085359</v>
      </c>
      <c r="W37" s="77">
        <f t="shared" si="13"/>
        <v>2306.5461733999996</v>
      </c>
      <c r="X37" s="77">
        <f t="shared" si="20"/>
        <v>53483.177544589998</v>
      </c>
      <c r="Y37" s="77">
        <f t="shared" si="8"/>
        <v>45219.909611000003</v>
      </c>
      <c r="Z37" s="77">
        <f t="shared" si="9"/>
        <v>22884.529751379996</v>
      </c>
      <c r="AA37" s="77">
        <f t="shared" si="10"/>
        <v>13071.763984650002</v>
      </c>
      <c r="AB37" s="77">
        <f t="shared" si="11"/>
        <v>9831.7252777400008</v>
      </c>
      <c r="AC37" s="77">
        <f t="shared" si="14"/>
        <v>1188.9050369200002</v>
      </c>
      <c r="AD37" s="77">
        <f t="shared" si="19"/>
        <v>68.691376885480508</v>
      </c>
      <c r="AE37" s="77">
        <f t="shared" si="19"/>
        <v>68.708619626207138</v>
      </c>
      <c r="AF37" s="77">
        <f t="shared" si="19"/>
        <v>69.21312626527039</v>
      </c>
      <c r="AG37" s="77">
        <f t="shared" si="19"/>
        <v>68.836447391405486</v>
      </c>
      <c r="AH37" s="77">
        <f t="shared" si="19"/>
        <v>71.426000373811419</v>
      </c>
      <c r="AI37" s="78">
        <f t="shared" si="19"/>
        <v>51.544818422926973</v>
      </c>
      <c r="AJ37" s="79"/>
      <c r="AK37" s="4">
        <f>X37-Y37-Z37</f>
        <v>-14621.26181779</v>
      </c>
      <c r="AL37" s="3">
        <f t="shared" si="29"/>
        <v>-14621261.81779</v>
      </c>
      <c r="AM37" s="43">
        <f>X37-R37</f>
        <v>-24376.926546430026</v>
      </c>
    </row>
    <row r="38" spans="1:39" s="70" customFormat="1" ht="14.4" hidden="1" thickTop="1" thickBot="1" x14ac:dyDescent="0.35">
      <c r="A38" s="80" t="s">
        <v>54</v>
      </c>
      <c r="B38" s="81">
        <f t="shared" ref="B38:Q38" si="35">B37-B10</f>
        <v>0</v>
      </c>
      <c r="C38" s="81">
        <f t="shared" si="35"/>
        <v>0</v>
      </c>
      <c r="D38" s="81">
        <f t="shared" si="35"/>
        <v>0</v>
      </c>
      <c r="E38" s="81">
        <f t="shared" si="35"/>
        <v>0</v>
      </c>
      <c r="F38" s="81">
        <f t="shared" si="35"/>
        <v>0</v>
      </c>
      <c r="G38" s="81">
        <f t="shared" si="35"/>
        <v>0</v>
      </c>
      <c r="H38" s="81">
        <f t="shared" si="35"/>
        <v>0</v>
      </c>
      <c r="I38" s="81">
        <f t="shared" si="35"/>
        <v>0</v>
      </c>
      <c r="J38" s="81">
        <f t="shared" si="35"/>
        <v>0</v>
      </c>
      <c r="K38" s="81">
        <f t="shared" si="35"/>
        <v>0</v>
      </c>
      <c r="L38" s="81">
        <f t="shared" si="35"/>
        <v>0</v>
      </c>
      <c r="M38" s="81">
        <f t="shared" si="35"/>
        <v>0</v>
      </c>
      <c r="N38" s="81">
        <f t="shared" si="35"/>
        <v>0</v>
      </c>
      <c r="O38" s="81">
        <f t="shared" si="35"/>
        <v>0</v>
      </c>
      <c r="P38" s="81">
        <f t="shared" si="35"/>
        <v>0</v>
      </c>
      <c r="Q38" s="81">
        <f t="shared" si="35"/>
        <v>0</v>
      </c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3"/>
      <c r="AJ38" s="84"/>
    </row>
    <row r="39" spans="1:39" s="70" customFormat="1" ht="14.4" hidden="1" thickTop="1" thickBot="1" x14ac:dyDescent="0.35">
      <c r="A39" s="85" t="s">
        <v>55</v>
      </c>
      <c r="B39" s="86">
        <f>B30+B31+B32+B33+B34+B35+B36</f>
        <v>17549218977.890003</v>
      </c>
      <c r="C39" s="86">
        <f t="shared" ref="C39:AC39" si="36">C30+C31+C32+C33+C34+C35+C36</f>
        <v>23014265723.59</v>
      </c>
      <c r="D39" s="86">
        <f t="shared" si="36"/>
        <v>18362706685.299999</v>
      </c>
      <c r="E39" s="86">
        <f t="shared" si="36"/>
        <v>20203581887.43</v>
      </c>
      <c r="F39" s="86">
        <f t="shared" si="36"/>
        <v>9583619417.2099991</v>
      </c>
      <c r="G39" s="86">
        <f t="shared" si="36"/>
        <v>11260452530.190001</v>
      </c>
      <c r="H39" s="86">
        <f t="shared" si="36"/>
        <v>245465519.45000005</v>
      </c>
      <c r="I39" s="86">
        <f t="shared" ref="I39" si="37">I30+I31+I32+I33+I34+I35+I36</f>
        <v>1111240549.3300002</v>
      </c>
      <c r="J39" s="86">
        <f t="shared" si="36"/>
        <v>12190687900.870001</v>
      </c>
      <c r="K39" s="86">
        <f t="shared" si="36"/>
        <v>15829495236.780001</v>
      </c>
      <c r="L39" s="86">
        <f t="shared" si="36"/>
        <v>13059062180.59</v>
      </c>
      <c r="M39" s="86">
        <f t="shared" si="36"/>
        <v>13753256409.130001</v>
      </c>
      <c r="N39" s="86">
        <f t="shared" si="36"/>
        <v>6383900414.6699991</v>
      </c>
      <c r="O39" s="86">
        <f t="shared" si="36"/>
        <v>7972345425.7199993</v>
      </c>
      <c r="P39" s="86">
        <f t="shared" si="36"/>
        <v>-216501.50999999046</v>
      </c>
      <c r="Q39" s="86">
        <f t="shared" ref="Q39" si="38">Q30+Q31+Q32+Q33+Q34+Q35+Q36</f>
        <v>605091618.17999995</v>
      </c>
      <c r="R39" s="86">
        <f t="shared" si="36"/>
        <v>17549.218977889996</v>
      </c>
      <c r="S39" s="86">
        <f t="shared" si="36"/>
        <v>18362.7066853</v>
      </c>
      <c r="T39" s="86">
        <f t="shared" si="36"/>
        <v>20203.581887430002</v>
      </c>
      <c r="U39" s="86">
        <f t="shared" si="36"/>
        <v>9583.6194172099986</v>
      </c>
      <c r="V39" s="86">
        <f t="shared" si="36"/>
        <v>11260.452530190001</v>
      </c>
      <c r="W39" s="86">
        <f t="shared" si="36"/>
        <v>1356.7060687800001</v>
      </c>
      <c r="X39" s="86">
        <f t="shared" si="36"/>
        <v>12190.687900869998</v>
      </c>
      <c r="Y39" s="86">
        <f t="shared" si="36"/>
        <v>13059.062180590001</v>
      </c>
      <c r="Z39" s="86">
        <f t="shared" si="36"/>
        <v>13753.256409130001</v>
      </c>
      <c r="AA39" s="86">
        <f t="shared" si="36"/>
        <v>6383.9004146700008</v>
      </c>
      <c r="AB39" s="86">
        <f t="shared" si="36"/>
        <v>7972.3454257199992</v>
      </c>
      <c r="AC39" s="86">
        <f t="shared" si="36"/>
        <v>604.87511667000012</v>
      </c>
      <c r="AD39" s="87"/>
      <c r="AE39" s="87"/>
      <c r="AF39" s="87"/>
      <c r="AG39" s="87"/>
      <c r="AH39" s="87"/>
      <c r="AI39" s="87"/>
      <c r="AJ39" s="84"/>
    </row>
    <row r="40" spans="1:39" s="70" customFormat="1" ht="14.4" hidden="1" thickTop="1" thickBot="1" x14ac:dyDescent="0.35">
      <c r="A40" s="88" t="s">
        <v>56</v>
      </c>
      <c r="B40" s="89">
        <f t="shared" ref="B40:AC40" si="39">B39-B29</f>
        <v>0</v>
      </c>
      <c r="C40" s="89">
        <f t="shared" si="39"/>
        <v>0</v>
      </c>
      <c r="D40" s="89">
        <f t="shared" si="39"/>
        <v>0</v>
      </c>
      <c r="E40" s="89">
        <f t="shared" si="39"/>
        <v>0</v>
      </c>
      <c r="F40" s="89">
        <f t="shared" si="39"/>
        <v>0</v>
      </c>
      <c r="G40" s="89">
        <f t="shared" si="39"/>
        <v>0</v>
      </c>
      <c r="H40" s="89">
        <f t="shared" si="39"/>
        <v>0</v>
      </c>
      <c r="I40" s="89">
        <f t="shared" si="39"/>
        <v>0</v>
      </c>
      <c r="J40" s="89">
        <f t="shared" si="39"/>
        <v>0</v>
      </c>
      <c r="K40" s="89">
        <f t="shared" si="39"/>
        <v>0</v>
      </c>
      <c r="L40" s="89">
        <f t="shared" si="39"/>
        <v>0</v>
      </c>
      <c r="M40" s="89">
        <f t="shared" si="39"/>
        <v>0</v>
      </c>
      <c r="N40" s="89">
        <f t="shared" si="39"/>
        <v>0</v>
      </c>
      <c r="O40" s="89">
        <f t="shared" si="39"/>
        <v>0</v>
      </c>
      <c r="P40" s="89">
        <f t="shared" si="39"/>
        <v>9.5460563898086548E-9</v>
      </c>
      <c r="Q40" s="89">
        <f t="shared" si="39"/>
        <v>0</v>
      </c>
      <c r="R40" s="90">
        <f t="shared" si="39"/>
        <v>0</v>
      </c>
      <c r="S40" s="90">
        <f t="shared" si="39"/>
        <v>0</v>
      </c>
      <c r="T40" s="90">
        <f t="shared" si="39"/>
        <v>0</v>
      </c>
      <c r="U40" s="90">
        <f t="shared" si="39"/>
        <v>0</v>
      </c>
      <c r="V40" s="90">
        <f t="shared" si="39"/>
        <v>0</v>
      </c>
      <c r="W40" s="90">
        <f t="shared" si="39"/>
        <v>0</v>
      </c>
      <c r="X40" s="90">
        <f t="shared" si="39"/>
        <v>0</v>
      </c>
      <c r="Y40" s="90">
        <f t="shared" si="39"/>
        <v>0</v>
      </c>
      <c r="Z40" s="90">
        <f t="shared" si="39"/>
        <v>0</v>
      </c>
      <c r="AA40" s="90">
        <f t="shared" si="39"/>
        <v>0</v>
      </c>
      <c r="AB40" s="90">
        <f t="shared" si="39"/>
        <v>0</v>
      </c>
      <c r="AC40" s="90">
        <f t="shared" si="39"/>
        <v>0</v>
      </c>
      <c r="AD40" s="84"/>
      <c r="AE40" s="84"/>
      <c r="AF40" s="84"/>
      <c r="AG40" s="84"/>
      <c r="AH40" s="84"/>
      <c r="AI40" s="84"/>
      <c r="AJ40" s="84"/>
    </row>
    <row r="41" spans="1:39" s="70" customFormat="1" ht="14.4" hidden="1" thickTop="1" thickBot="1" x14ac:dyDescent="0.35">
      <c r="A41" s="88"/>
      <c r="B41" s="84"/>
      <c r="C41" s="84"/>
      <c r="D41" s="89"/>
      <c r="E41" s="89"/>
      <c r="F41" s="84"/>
      <c r="G41" s="84"/>
      <c r="H41" s="84"/>
      <c r="I41" s="84"/>
      <c r="J41" s="84"/>
      <c r="K41" s="84"/>
      <c r="L41" s="84"/>
      <c r="M41" s="89"/>
      <c r="N41" s="89"/>
      <c r="O41" s="89"/>
      <c r="P41" s="89"/>
      <c r="Q41" s="89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</row>
    <row r="42" spans="1:39" s="70" customFormat="1" ht="40.799999999999997" hidden="1" thickTop="1" thickBot="1" x14ac:dyDescent="0.35">
      <c r="A42" s="88" t="s">
        <v>57</v>
      </c>
      <c r="B42" s="84"/>
      <c r="C42" s="84"/>
      <c r="D42" s="84"/>
      <c r="E42" s="91">
        <f>G133-H30-I30</f>
        <v>240099.99999976158</v>
      </c>
      <c r="F42" s="84"/>
      <c r="G42" s="84"/>
      <c r="H42" s="84"/>
      <c r="I42" s="84"/>
      <c r="J42" s="84"/>
      <c r="K42" s="84"/>
      <c r="L42" s="84"/>
      <c r="M42" s="91">
        <f>O133-P30-Q30</f>
        <v>0</v>
      </c>
      <c r="N42" s="84"/>
      <c r="O42" s="84"/>
      <c r="P42" s="84"/>
      <c r="Q42" s="84"/>
      <c r="R42" s="84"/>
      <c r="S42" s="84"/>
      <c r="T42" s="92">
        <f>V133-W30</f>
        <v>0.24009999999975662</v>
      </c>
      <c r="U42" s="67"/>
      <c r="V42" s="67"/>
      <c r="W42" s="67"/>
      <c r="X42" s="67"/>
      <c r="Y42" s="67"/>
      <c r="Z42" s="92">
        <f>AB133-AC30</f>
        <v>0</v>
      </c>
      <c r="AA42" s="84"/>
      <c r="AB42" s="84"/>
      <c r="AC42" s="84"/>
      <c r="AD42" s="84"/>
      <c r="AE42" s="84"/>
      <c r="AF42" s="84"/>
      <c r="AG42" s="84"/>
      <c r="AH42" s="84"/>
      <c r="AI42" s="84"/>
      <c r="AJ42" s="84"/>
    </row>
    <row r="43" spans="1:39" ht="13.5" customHeight="1" thickTop="1" x14ac:dyDescent="0.3">
      <c r="A43" s="382" t="s">
        <v>0</v>
      </c>
      <c r="B43" s="384" t="s">
        <v>121</v>
      </c>
      <c r="C43" s="384"/>
      <c r="D43" s="384"/>
      <c r="E43" s="384"/>
      <c r="F43" s="384"/>
      <c r="G43" s="384"/>
      <c r="H43" s="384"/>
      <c r="I43" s="384"/>
      <c r="J43" s="384" t="s">
        <v>267</v>
      </c>
      <c r="K43" s="384"/>
      <c r="L43" s="384"/>
      <c r="M43" s="384"/>
      <c r="N43" s="384"/>
      <c r="O43" s="384"/>
      <c r="P43" s="384"/>
      <c r="Q43" s="384"/>
      <c r="R43" s="384" t="s">
        <v>122</v>
      </c>
      <c r="S43" s="384"/>
      <c r="T43" s="384"/>
      <c r="U43" s="384"/>
      <c r="V43" s="384"/>
      <c r="W43" s="384"/>
      <c r="X43" s="384" t="s">
        <v>263</v>
      </c>
      <c r="Y43" s="384"/>
      <c r="Z43" s="384"/>
      <c r="AA43" s="384"/>
      <c r="AB43" s="384"/>
      <c r="AC43" s="384"/>
      <c r="AD43" s="384" t="s">
        <v>1</v>
      </c>
      <c r="AE43" s="384"/>
      <c r="AF43" s="384"/>
      <c r="AG43" s="384"/>
      <c r="AH43" s="384"/>
      <c r="AI43" s="385"/>
      <c r="AJ43" s="9"/>
    </row>
    <row r="44" spans="1:39" ht="12.75" customHeight="1" x14ac:dyDescent="0.3">
      <c r="A44" s="383"/>
      <c r="B44" s="380" t="s">
        <v>2</v>
      </c>
      <c r="C44" s="387" t="s">
        <v>3</v>
      </c>
      <c r="D44" s="387"/>
      <c r="E44" s="387"/>
      <c r="F44" s="387"/>
      <c r="G44" s="387"/>
      <c r="H44" s="387"/>
      <c r="I44" s="387"/>
      <c r="J44" s="380" t="s">
        <v>2</v>
      </c>
      <c r="K44" s="387" t="s">
        <v>3</v>
      </c>
      <c r="L44" s="387"/>
      <c r="M44" s="387"/>
      <c r="N44" s="387"/>
      <c r="O44" s="387"/>
      <c r="P44" s="387"/>
      <c r="Q44" s="387"/>
      <c r="R44" s="380" t="s">
        <v>2</v>
      </c>
      <c r="S44" s="387" t="s">
        <v>4</v>
      </c>
      <c r="T44" s="387"/>
      <c r="U44" s="387"/>
      <c r="V44" s="387"/>
      <c r="W44" s="387"/>
      <c r="X44" s="380" t="s">
        <v>2</v>
      </c>
      <c r="Y44" s="387" t="s">
        <v>4</v>
      </c>
      <c r="Z44" s="387"/>
      <c r="AA44" s="387"/>
      <c r="AB44" s="387"/>
      <c r="AC44" s="387"/>
      <c r="AD44" s="391" t="s">
        <v>2</v>
      </c>
      <c r="AE44" s="387" t="s">
        <v>4</v>
      </c>
      <c r="AF44" s="387"/>
      <c r="AG44" s="387"/>
      <c r="AH44" s="387"/>
      <c r="AI44" s="388"/>
      <c r="AJ44" s="9"/>
    </row>
    <row r="45" spans="1:39" ht="12.75" customHeight="1" x14ac:dyDescent="0.3">
      <c r="A45" s="383"/>
      <c r="B45" s="380"/>
      <c r="C45" s="394" t="s">
        <v>5</v>
      </c>
      <c r="D45" s="380" t="s">
        <v>6</v>
      </c>
      <c r="E45" s="380" t="s">
        <v>7</v>
      </c>
      <c r="F45" s="386" t="s">
        <v>8</v>
      </c>
      <c r="G45" s="386"/>
      <c r="H45" s="386"/>
      <c r="I45" s="386"/>
      <c r="J45" s="380"/>
      <c r="K45" s="394" t="s">
        <v>5</v>
      </c>
      <c r="L45" s="380" t="s">
        <v>6</v>
      </c>
      <c r="M45" s="380" t="s">
        <v>7</v>
      </c>
      <c r="N45" s="386" t="s">
        <v>8</v>
      </c>
      <c r="O45" s="386"/>
      <c r="P45" s="386"/>
      <c r="Q45" s="386"/>
      <c r="R45" s="380"/>
      <c r="S45" s="380" t="s">
        <v>6</v>
      </c>
      <c r="T45" s="391" t="s">
        <v>7</v>
      </c>
      <c r="U45" s="386" t="s">
        <v>8</v>
      </c>
      <c r="V45" s="386"/>
      <c r="W45" s="386"/>
      <c r="X45" s="380"/>
      <c r="Y45" s="380" t="s">
        <v>6</v>
      </c>
      <c r="Z45" s="391" t="s">
        <v>7</v>
      </c>
      <c r="AA45" s="386" t="s">
        <v>8</v>
      </c>
      <c r="AB45" s="386"/>
      <c r="AC45" s="386"/>
      <c r="AD45" s="391"/>
      <c r="AE45" s="391" t="s">
        <v>6</v>
      </c>
      <c r="AF45" s="391" t="s">
        <v>7</v>
      </c>
      <c r="AG45" s="392" t="s">
        <v>8</v>
      </c>
      <c r="AH45" s="392"/>
      <c r="AI45" s="393"/>
      <c r="AJ45" s="11"/>
    </row>
    <row r="46" spans="1:39" ht="57.75" customHeight="1" x14ac:dyDescent="0.3">
      <c r="A46" s="383"/>
      <c r="B46" s="380"/>
      <c r="C46" s="394"/>
      <c r="D46" s="380"/>
      <c r="E46" s="380"/>
      <c r="F46" s="290" t="s">
        <v>9</v>
      </c>
      <c r="G46" s="290" t="s">
        <v>10</v>
      </c>
      <c r="H46" s="290" t="s">
        <v>119</v>
      </c>
      <c r="I46" s="290" t="s">
        <v>120</v>
      </c>
      <c r="J46" s="380"/>
      <c r="K46" s="394"/>
      <c r="L46" s="380"/>
      <c r="M46" s="380"/>
      <c r="N46" s="290" t="s">
        <v>9</v>
      </c>
      <c r="O46" s="290" t="s">
        <v>10</v>
      </c>
      <c r="P46" s="290" t="s">
        <v>119</v>
      </c>
      <c r="Q46" s="290" t="s">
        <v>120</v>
      </c>
      <c r="R46" s="380"/>
      <c r="S46" s="380"/>
      <c r="T46" s="391"/>
      <c r="U46" s="290" t="s">
        <v>9</v>
      </c>
      <c r="V46" s="290" t="s">
        <v>10</v>
      </c>
      <c r="W46" s="290" t="s">
        <v>11</v>
      </c>
      <c r="X46" s="380"/>
      <c r="Y46" s="380"/>
      <c r="Z46" s="391"/>
      <c r="AA46" s="290" t="s">
        <v>9</v>
      </c>
      <c r="AB46" s="290" t="s">
        <v>10</v>
      </c>
      <c r="AC46" s="290" t="s">
        <v>11</v>
      </c>
      <c r="AD46" s="391"/>
      <c r="AE46" s="391"/>
      <c r="AF46" s="391"/>
      <c r="AG46" s="291" t="s">
        <v>9</v>
      </c>
      <c r="AH46" s="291" t="s">
        <v>10</v>
      </c>
      <c r="AI46" s="292" t="s">
        <v>12</v>
      </c>
      <c r="AJ46" s="15"/>
    </row>
    <row r="47" spans="1:39" x14ac:dyDescent="0.3">
      <c r="A47" s="16" t="s">
        <v>13</v>
      </c>
      <c r="B47" s="17"/>
      <c r="C47" s="17"/>
      <c r="D47" s="18"/>
      <c r="E47" s="17"/>
      <c r="F47" s="19"/>
      <c r="G47" s="19"/>
      <c r="H47" s="19"/>
      <c r="I47" s="19"/>
      <c r="J47" s="17"/>
      <c r="K47" s="17"/>
      <c r="L47" s="17"/>
      <c r="M47" s="17"/>
      <c r="N47" s="19"/>
      <c r="O47" s="19"/>
      <c r="P47" s="19"/>
      <c r="Q47" s="19"/>
      <c r="R47" s="17" t="s">
        <v>14</v>
      </c>
      <c r="S47" s="17" t="s">
        <v>15</v>
      </c>
      <c r="T47" s="17" t="s">
        <v>16</v>
      </c>
      <c r="U47" s="19">
        <v>4</v>
      </c>
      <c r="V47" s="19">
        <v>5</v>
      </c>
      <c r="W47" s="19">
        <v>6</v>
      </c>
      <c r="X47" s="17" t="s">
        <v>17</v>
      </c>
      <c r="Y47" s="17" t="s">
        <v>18</v>
      </c>
      <c r="Z47" s="17" t="s">
        <v>19</v>
      </c>
      <c r="AA47" s="19">
        <v>10</v>
      </c>
      <c r="AB47" s="19">
        <v>11</v>
      </c>
      <c r="AC47" s="19">
        <v>12</v>
      </c>
      <c r="AD47" s="17" t="s">
        <v>20</v>
      </c>
      <c r="AE47" s="17" t="s">
        <v>21</v>
      </c>
      <c r="AF47" s="17" t="s">
        <v>22</v>
      </c>
      <c r="AG47" s="19" t="s">
        <v>23</v>
      </c>
      <c r="AH47" s="19" t="s">
        <v>24</v>
      </c>
      <c r="AI47" s="20" t="s">
        <v>25</v>
      </c>
      <c r="AJ47" s="21"/>
    </row>
    <row r="48" spans="1:39" x14ac:dyDescent="0.3">
      <c r="A48" s="296" t="s">
        <v>58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295"/>
      <c r="N48" s="171"/>
      <c r="O48" s="171"/>
      <c r="P48" s="171"/>
      <c r="Q48" s="171"/>
      <c r="R48" s="297"/>
      <c r="S48" s="297"/>
      <c r="T48" s="297"/>
      <c r="U48" s="297"/>
      <c r="V48" s="297"/>
      <c r="W48" s="297"/>
      <c r="X48" s="297"/>
      <c r="Y48" s="297"/>
      <c r="Z48" s="25">
        <f>AA49+AB49+AC49-Z49</f>
        <v>1207.8645479299994</v>
      </c>
      <c r="AA48" s="297"/>
      <c r="AB48" s="297"/>
      <c r="AC48" s="297"/>
      <c r="AD48" s="297"/>
      <c r="AE48" s="297"/>
      <c r="AF48" s="297"/>
      <c r="AG48" s="297"/>
      <c r="AH48" s="297"/>
      <c r="AI48" s="298"/>
      <c r="AJ48" s="93"/>
    </row>
    <row r="49" spans="1:36" s="43" customFormat="1" hidden="1" x14ac:dyDescent="0.25">
      <c r="A49" s="94" t="s">
        <v>59</v>
      </c>
      <c r="B49" s="299">
        <v>85353146774.929993</v>
      </c>
      <c r="C49" s="299">
        <v>23014977190.259998</v>
      </c>
      <c r="D49" s="299">
        <v>70714783753.949997</v>
      </c>
      <c r="E49" s="95">
        <f>F49+G49+H49+I49-E133</f>
        <v>35656144082.490005</v>
      </c>
      <c r="F49" s="299">
        <v>20223541816.52</v>
      </c>
      <c r="G49" s="299">
        <v>14293029845.049999</v>
      </c>
      <c r="H49" s="299">
        <v>1414205099.4100001</v>
      </c>
      <c r="I49" s="299">
        <v>1722563450.26</v>
      </c>
      <c r="J49" s="299">
        <v>58642935311.989998</v>
      </c>
      <c r="K49" s="299">
        <v>15829126365.719999</v>
      </c>
      <c r="L49" s="299">
        <v>49251332541.349998</v>
      </c>
      <c r="M49" s="95">
        <f>N49+O49+P49+Q49-M133</f>
        <v>24012864588.43</v>
      </c>
      <c r="N49" s="299">
        <v>13364996448.059999</v>
      </c>
      <c r="O49" s="299">
        <v>9987933031.6100006</v>
      </c>
      <c r="P49" s="299">
        <v>851825475.24000001</v>
      </c>
      <c r="Q49" s="299">
        <v>1015974181.45</v>
      </c>
      <c r="R49" s="96">
        <f>B49/1000000</f>
        <v>85353.146774929992</v>
      </c>
      <c r="S49" s="96">
        <f t="shared" ref="S49:V50" si="40">D49/1000000</f>
        <v>70714.783753950003</v>
      </c>
      <c r="T49" s="96">
        <f t="shared" si="40"/>
        <v>35656.144082490006</v>
      </c>
      <c r="U49" s="96">
        <f t="shared" si="40"/>
        <v>20223.541816519999</v>
      </c>
      <c r="V49" s="96">
        <f t="shared" si="40"/>
        <v>14293.029845049999</v>
      </c>
      <c r="W49" s="96">
        <f t="shared" ref="W49:W57" si="41">(H49+I49)/1000000</f>
        <v>3136.7685496700001</v>
      </c>
      <c r="X49" s="96">
        <f t="shared" ref="X49:X63" si="42">J49/1000000</f>
        <v>58642.935311989997</v>
      </c>
      <c r="Y49" s="96">
        <f t="shared" ref="Y49:AB50" si="43">L49/1000000</f>
        <v>49251.332541349999</v>
      </c>
      <c r="Z49" s="96">
        <f t="shared" si="43"/>
        <v>24012.864588429999</v>
      </c>
      <c r="AA49" s="96">
        <f t="shared" si="43"/>
        <v>13364.996448059999</v>
      </c>
      <c r="AB49" s="96">
        <f t="shared" si="43"/>
        <v>9987.9330316100004</v>
      </c>
      <c r="AC49" s="96">
        <f t="shared" ref="AC49:AC57" si="44">(P49+Q49)/1000000</f>
        <v>1867.7996566900001</v>
      </c>
      <c r="AD49" s="96">
        <f t="shared" ref="AD49:AI64" si="45">X49/R49%</f>
        <v>68.706237002165992</v>
      </c>
      <c r="AE49" s="96">
        <f t="shared" si="45"/>
        <v>69.647858519540335</v>
      </c>
      <c r="AF49" s="96">
        <f t="shared" si="45"/>
        <v>67.345657267024052</v>
      </c>
      <c r="AG49" s="96">
        <f t="shared" si="45"/>
        <v>66.086329334966138</v>
      </c>
      <c r="AH49" s="96">
        <f t="shared" si="45"/>
        <v>69.879746561006783</v>
      </c>
      <c r="AI49" s="97">
        <f t="shared" si="45"/>
        <v>59.545345061767456</v>
      </c>
      <c r="AJ49" s="98"/>
    </row>
    <row r="50" spans="1:36" s="43" customFormat="1" x14ac:dyDescent="0.25">
      <c r="A50" s="99" t="s">
        <v>60</v>
      </c>
      <c r="B50" s="37">
        <v>5820835413.2799997</v>
      </c>
      <c r="C50" s="37">
        <v>157035309.62</v>
      </c>
      <c r="D50" s="37">
        <v>2626520944.1100001</v>
      </c>
      <c r="E50" s="300">
        <f>F50+G50+H50+I50-E51</f>
        <v>3298800059.0500002</v>
      </c>
      <c r="F50" s="37">
        <v>1533528700.9000001</v>
      </c>
      <c r="G50" s="37">
        <v>1150477899.0899999</v>
      </c>
      <c r="H50" s="37">
        <v>200879423.38</v>
      </c>
      <c r="I50" s="37">
        <v>466463755.42000002</v>
      </c>
      <c r="J50" s="37">
        <v>3680081485.4499998</v>
      </c>
      <c r="K50" s="37">
        <v>120778231.34</v>
      </c>
      <c r="L50" s="37">
        <v>1529750697.8</v>
      </c>
      <c r="M50" s="300">
        <f>N50+O50+P50+Q50-M51</f>
        <v>2229881831.23</v>
      </c>
      <c r="N50" s="37">
        <v>976270071.59000003</v>
      </c>
      <c r="O50" s="37">
        <v>832360450.86000001</v>
      </c>
      <c r="P50" s="37">
        <v>130389001.75</v>
      </c>
      <c r="Q50" s="37">
        <v>332089494.79000002</v>
      </c>
      <c r="R50" s="39">
        <f>B50/1000000</f>
        <v>5820.8354132799996</v>
      </c>
      <c r="S50" s="39">
        <f t="shared" si="40"/>
        <v>2626.5209441100001</v>
      </c>
      <c r="T50" s="39">
        <f t="shared" si="40"/>
        <v>3298.8000590500001</v>
      </c>
      <c r="U50" s="39">
        <f t="shared" si="40"/>
        <v>1533.5287009000001</v>
      </c>
      <c r="V50" s="39">
        <f t="shared" si="40"/>
        <v>1150.4778990899999</v>
      </c>
      <c r="W50" s="39">
        <f t="shared" si="41"/>
        <v>667.34317879999992</v>
      </c>
      <c r="X50" s="39">
        <f t="shared" si="42"/>
        <v>3680.0814854499999</v>
      </c>
      <c r="Y50" s="39">
        <f t="shared" si="43"/>
        <v>1529.7506977999999</v>
      </c>
      <c r="Z50" s="39">
        <f t="shared" si="43"/>
        <v>2229.88183123</v>
      </c>
      <c r="AA50" s="39">
        <f t="shared" si="43"/>
        <v>976.27007159000004</v>
      </c>
      <c r="AB50" s="39">
        <f t="shared" si="43"/>
        <v>832.36045086000001</v>
      </c>
      <c r="AC50" s="39">
        <f t="shared" si="44"/>
        <v>462.47849654000004</v>
      </c>
      <c r="AD50" s="39">
        <f t="shared" si="45"/>
        <v>63.222565562565869</v>
      </c>
      <c r="AE50" s="39">
        <f t="shared" si="45"/>
        <v>58.242470947375516</v>
      </c>
      <c r="AF50" s="39">
        <f>Z50/T50%</f>
        <v>67.596756132960934</v>
      </c>
      <c r="AG50" s="39">
        <f>AA50/U50%</f>
        <v>63.661675912361133</v>
      </c>
      <c r="AH50" s="39">
        <f t="shared" si="45"/>
        <v>72.349103926149027</v>
      </c>
      <c r="AI50" s="40">
        <f>AC50/W50%</f>
        <v>69.30144957375866</v>
      </c>
      <c r="AJ50" s="41"/>
    </row>
    <row r="51" spans="1:36" hidden="1" x14ac:dyDescent="0.25">
      <c r="A51" s="100" t="s">
        <v>61</v>
      </c>
      <c r="B51" s="185">
        <v>1145715.1399999999</v>
      </c>
      <c r="C51" s="186">
        <v>157035309.62</v>
      </c>
      <c r="D51" s="186">
        <v>105631305.02000001</v>
      </c>
      <c r="E51" s="187">
        <f>F51+G51+H51+I51</f>
        <v>52549719.740000002</v>
      </c>
      <c r="F51" s="185">
        <v>0</v>
      </c>
      <c r="G51" s="186">
        <v>39987307.740000002</v>
      </c>
      <c r="H51" s="186">
        <v>1156711</v>
      </c>
      <c r="I51" s="186">
        <v>11405701</v>
      </c>
      <c r="J51" s="30">
        <v>0</v>
      </c>
      <c r="K51" s="30">
        <v>120778231.34</v>
      </c>
      <c r="L51" s="30">
        <v>79551043.579999998</v>
      </c>
      <c r="M51" s="187">
        <f>N51+O51+P51+Q51</f>
        <v>41227187.759999998</v>
      </c>
      <c r="N51" s="30">
        <v>0</v>
      </c>
      <c r="O51" s="30">
        <v>32844574.609999999</v>
      </c>
      <c r="P51" s="30">
        <v>858509.65</v>
      </c>
      <c r="Q51" s="30">
        <v>7524103.5</v>
      </c>
      <c r="R51" s="32">
        <f>B51/1000000</f>
        <v>1.1457151399999999</v>
      </c>
      <c r="S51" s="32">
        <f t="shared" ref="S51:S82" si="46">D51/1000000</f>
        <v>105.63130502000001</v>
      </c>
      <c r="T51" s="32"/>
      <c r="U51" s="32"/>
      <c r="V51" s="32">
        <f t="shared" ref="V51:V71" si="47">G51/1000000</f>
        <v>39.987307739999999</v>
      </c>
      <c r="W51" s="32">
        <f t="shared" si="41"/>
        <v>12.562412</v>
      </c>
      <c r="X51" s="32"/>
      <c r="Y51" s="32">
        <f t="shared" ref="Y51:Y77" si="48">L51/1000000</f>
        <v>79.551043579999998</v>
      </c>
      <c r="Z51" s="32"/>
      <c r="AA51" s="32"/>
      <c r="AB51" s="32">
        <f t="shared" ref="AB51:AB65" si="49">O51/1000000</f>
        <v>32.844574610000002</v>
      </c>
      <c r="AC51" s="32">
        <f t="shared" si="44"/>
        <v>8.382613150000001</v>
      </c>
      <c r="AD51" s="32">
        <f t="shared" si="45"/>
        <v>0</v>
      </c>
      <c r="AE51" s="32">
        <f t="shared" si="45"/>
        <v>75.310102024147071</v>
      </c>
      <c r="AF51" s="32"/>
      <c r="AG51" s="32"/>
      <c r="AH51" s="32">
        <f t="shared" si="45"/>
        <v>82.137499287417654</v>
      </c>
      <c r="AI51" s="34">
        <f>AC51/W51%</f>
        <v>66.727736281854163</v>
      </c>
      <c r="AJ51" s="35"/>
    </row>
    <row r="52" spans="1:36" s="43" customFormat="1" x14ac:dyDescent="0.25">
      <c r="A52" s="99" t="s">
        <v>62</v>
      </c>
      <c r="B52" s="37">
        <v>31272500</v>
      </c>
      <c r="C52" s="37">
        <v>56373400</v>
      </c>
      <c r="D52" s="37">
        <v>31272500</v>
      </c>
      <c r="E52" s="300">
        <f>F52+G52+H52+I52-E53</f>
        <v>31272500</v>
      </c>
      <c r="F52" s="37">
        <v>6171600</v>
      </c>
      <c r="G52" s="37">
        <v>25100900</v>
      </c>
      <c r="H52" s="37">
        <v>4002200</v>
      </c>
      <c r="I52" s="37">
        <v>21098700</v>
      </c>
      <c r="J52" s="37">
        <v>20922734.649999999</v>
      </c>
      <c r="K52" s="37">
        <v>44103285.020000003</v>
      </c>
      <c r="L52" s="37">
        <v>24100813.5</v>
      </c>
      <c r="M52" s="300">
        <f>N52+O52+P52+Q52-M53</f>
        <v>20922734.650000002</v>
      </c>
      <c r="N52" s="37">
        <v>4098341.98</v>
      </c>
      <c r="O52" s="37">
        <v>20002471.52</v>
      </c>
      <c r="P52" s="37">
        <v>2680138.2799999998</v>
      </c>
      <c r="Q52" s="37">
        <v>14144254.390000001</v>
      </c>
      <c r="R52" s="39">
        <f t="shared" ref="R52:R105" si="50">B52/1000000</f>
        <v>31.272500000000001</v>
      </c>
      <c r="S52" s="39">
        <f t="shared" si="46"/>
        <v>31.272500000000001</v>
      </c>
      <c r="T52" s="39">
        <f>E52/1000000</f>
        <v>31.272500000000001</v>
      </c>
      <c r="U52" s="39">
        <f>F52/1000000</f>
        <v>6.1715999999999998</v>
      </c>
      <c r="V52" s="39">
        <f t="shared" si="47"/>
        <v>25.100899999999999</v>
      </c>
      <c r="W52" s="39">
        <f t="shared" si="41"/>
        <v>25.100899999999999</v>
      </c>
      <c r="X52" s="39">
        <f t="shared" si="42"/>
        <v>20.922734649999999</v>
      </c>
      <c r="Y52" s="39">
        <f t="shared" si="48"/>
        <v>24.100813500000001</v>
      </c>
      <c r="Z52" s="39">
        <f>M52/1000000</f>
        <v>20.922734650000002</v>
      </c>
      <c r="AA52" s="39">
        <f>N52/1000000</f>
        <v>4.0983419799999998</v>
      </c>
      <c r="AB52" s="39">
        <f t="shared" si="49"/>
        <v>20.00247152</v>
      </c>
      <c r="AC52" s="39">
        <f t="shared" si="44"/>
        <v>16.824392670000002</v>
      </c>
      <c r="AD52" s="39">
        <f t="shared" si="45"/>
        <v>66.90457958270045</v>
      </c>
      <c r="AE52" s="39">
        <f t="shared" si="45"/>
        <v>77.067114877288347</v>
      </c>
      <c r="AF52" s="39">
        <f t="shared" si="45"/>
        <v>66.904579582700464</v>
      </c>
      <c r="AG52" s="39">
        <f>AA52/U52%</f>
        <v>66.406474496078815</v>
      </c>
      <c r="AH52" s="39">
        <f t="shared" si="45"/>
        <v>79.688264245505152</v>
      </c>
      <c r="AI52" s="40">
        <f>AC52/W52%</f>
        <v>67.027049508184973</v>
      </c>
      <c r="AJ52" s="41"/>
    </row>
    <row r="53" spans="1:36" hidden="1" x14ac:dyDescent="0.3">
      <c r="A53" s="100" t="s">
        <v>61</v>
      </c>
      <c r="B53" s="101">
        <v>0</v>
      </c>
      <c r="C53" s="101">
        <v>56373400</v>
      </c>
      <c r="D53" s="101">
        <v>31272500</v>
      </c>
      <c r="E53" s="187">
        <f>F53+G53+H53+I53</f>
        <v>25100900</v>
      </c>
      <c r="F53" s="101">
        <v>0</v>
      </c>
      <c r="G53" s="101">
        <v>25100900</v>
      </c>
      <c r="H53" s="101">
        <v>0</v>
      </c>
      <c r="I53" s="101">
        <v>0</v>
      </c>
      <c r="J53" s="101">
        <v>0</v>
      </c>
      <c r="K53" s="101">
        <v>44103285.020000003</v>
      </c>
      <c r="L53" s="101">
        <v>24100813.5</v>
      </c>
      <c r="M53" s="187">
        <f>N53+O53+P53+Q53</f>
        <v>20002471.52</v>
      </c>
      <c r="N53" s="101">
        <v>0</v>
      </c>
      <c r="O53" s="101">
        <v>20002471.52</v>
      </c>
      <c r="P53" s="101">
        <v>0</v>
      </c>
      <c r="Q53" s="101">
        <v>0</v>
      </c>
      <c r="R53" s="32">
        <f t="shared" si="50"/>
        <v>0</v>
      </c>
      <c r="S53" s="32">
        <f t="shared" si="46"/>
        <v>31.272500000000001</v>
      </c>
      <c r="T53" s="32"/>
      <c r="U53" s="32"/>
      <c r="V53" s="32">
        <f t="shared" si="47"/>
        <v>25.100899999999999</v>
      </c>
      <c r="W53" s="32">
        <f t="shared" si="41"/>
        <v>0</v>
      </c>
      <c r="X53" s="32">
        <f t="shared" si="42"/>
        <v>0</v>
      </c>
      <c r="Y53" s="32">
        <f t="shared" si="48"/>
        <v>24.100813500000001</v>
      </c>
      <c r="Z53" s="32"/>
      <c r="AA53" s="32"/>
      <c r="AB53" s="32">
        <f t="shared" si="49"/>
        <v>20.00247152</v>
      </c>
      <c r="AC53" s="32">
        <f t="shared" si="44"/>
        <v>0</v>
      </c>
      <c r="AD53" s="32"/>
      <c r="AE53" s="32">
        <f t="shared" si="45"/>
        <v>77.067114877288347</v>
      </c>
      <c r="AF53" s="32"/>
      <c r="AG53" s="32"/>
      <c r="AH53" s="32">
        <f t="shared" si="45"/>
        <v>79.688264245505152</v>
      </c>
      <c r="AI53" s="34"/>
      <c r="AJ53" s="35"/>
    </row>
    <row r="54" spans="1:36" s="43" customFormat="1" ht="26.4" x14ac:dyDescent="0.25">
      <c r="A54" s="99" t="s">
        <v>63</v>
      </c>
      <c r="B54" s="37">
        <v>1271765664.5699999</v>
      </c>
      <c r="C54" s="37">
        <v>11364509.66</v>
      </c>
      <c r="D54" s="37">
        <v>1084909944.2</v>
      </c>
      <c r="E54" s="300">
        <f>F54+G54+H54+I54-E55</f>
        <v>192952916.37</v>
      </c>
      <c r="F54" s="37">
        <v>148968701.72</v>
      </c>
      <c r="G54" s="37">
        <v>22529847.149999999</v>
      </c>
      <c r="H54" s="37">
        <v>10133944.949999999</v>
      </c>
      <c r="I54" s="37">
        <v>16587736.210000001</v>
      </c>
      <c r="J54" s="37">
        <v>900719215.29999995</v>
      </c>
      <c r="K54" s="37">
        <v>9711254.1500000004</v>
      </c>
      <c r="L54" s="37">
        <v>789481796.63999999</v>
      </c>
      <c r="M54" s="300">
        <f>N54+O54+P54+Q54-M55</f>
        <v>117534614.65999998</v>
      </c>
      <c r="N54" s="37">
        <v>92384980.75</v>
      </c>
      <c r="O54" s="37">
        <v>15266578.08</v>
      </c>
      <c r="P54" s="37">
        <v>4625652.49</v>
      </c>
      <c r="Q54" s="37">
        <v>8671461.4900000002</v>
      </c>
      <c r="R54" s="39">
        <f t="shared" si="50"/>
        <v>1271.7656645699999</v>
      </c>
      <c r="S54" s="39">
        <f t="shared" si="46"/>
        <v>1084.9099442000002</v>
      </c>
      <c r="T54" s="39">
        <f>E54/1000000</f>
        <v>192.95291637</v>
      </c>
      <c r="U54" s="39">
        <f>F54/1000000</f>
        <v>148.96870172000001</v>
      </c>
      <c r="V54" s="39">
        <f t="shared" si="47"/>
        <v>22.529847149999998</v>
      </c>
      <c r="W54" s="39">
        <f t="shared" si="41"/>
        <v>26.721681159999999</v>
      </c>
      <c r="X54" s="39">
        <f t="shared" si="42"/>
        <v>900.71921529999997</v>
      </c>
      <c r="Y54" s="39">
        <f t="shared" si="48"/>
        <v>789.48179663999997</v>
      </c>
      <c r="Z54" s="39">
        <f>M54/1000000</f>
        <v>117.53461465999999</v>
      </c>
      <c r="AA54" s="39">
        <f>N54/1000000</f>
        <v>92.384980749999997</v>
      </c>
      <c r="AB54" s="39">
        <f t="shared" si="49"/>
        <v>15.26657808</v>
      </c>
      <c r="AC54" s="39">
        <f t="shared" si="44"/>
        <v>13.297113980000001</v>
      </c>
      <c r="AD54" s="39">
        <f t="shared" si="45"/>
        <v>70.824306740860521</v>
      </c>
      <c r="AE54" s="39">
        <f t="shared" si="45"/>
        <v>72.76933913829636</v>
      </c>
      <c r="AF54" s="39">
        <f t="shared" si="45"/>
        <v>60.913624355187032</v>
      </c>
      <c r="AG54" s="39">
        <f>AA54/U54%</f>
        <v>62.016369669144211</v>
      </c>
      <c r="AH54" s="39">
        <f t="shared" si="45"/>
        <v>67.761569700662619</v>
      </c>
      <c r="AI54" s="40">
        <f t="shared" si="45"/>
        <v>49.761517250286666</v>
      </c>
      <c r="AJ54" s="41"/>
    </row>
    <row r="55" spans="1:36" hidden="1" x14ac:dyDescent="0.3">
      <c r="A55" s="100" t="s">
        <v>61</v>
      </c>
      <c r="B55" s="101">
        <v>200000</v>
      </c>
      <c r="C55" s="101">
        <v>11364509.66</v>
      </c>
      <c r="D55" s="101">
        <v>6297196</v>
      </c>
      <c r="E55" s="187">
        <f>F55+G55+H55+I55</f>
        <v>5267313.66</v>
      </c>
      <c r="F55" s="101">
        <v>0</v>
      </c>
      <c r="G55" s="101">
        <v>4503313.66</v>
      </c>
      <c r="H55" s="101">
        <v>764000</v>
      </c>
      <c r="I55" s="101">
        <v>0</v>
      </c>
      <c r="J55" s="101">
        <v>0</v>
      </c>
      <c r="K55" s="101">
        <v>9711254.1500000004</v>
      </c>
      <c r="L55" s="101">
        <v>6297196</v>
      </c>
      <c r="M55" s="187">
        <f>N55+O55+P55+Q55</f>
        <v>3414058.15</v>
      </c>
      <c r="N55" s="101">
        <v>0</v>
      </c>
      <c r="O55" s="101">
        <v>3019724.84</v>
      </c>
      <c r="P55" s="101">
        <v>394333.31</v>
      </c>
      <c r="Q55" s="101">
        <v>0</v>
      </c>
      <c r="R55" s="32"/>
      <c r="S55" s="32">
        <f t="shared" si="46"/>
        <v>6.2971959999999996</v>
      </c>
      <c r="T55" s="32"/>
      <c r="U55" s="32"/>
      <c r="V55" s="32">
        <f t="shared" si="47"/>
        <v>4.5033136599999999</v>
      </c>
      <c r="W55" s="32">
        <f t="shared" si="41"/>
        <v>0.76400000000000001</v>
      </c>
      <c r="X55" s="32"/>
      <c r="Y55" s="32">
        <f t="shared" si="48"/>
        <v>6.2971959999999996</v>
      </c>
      <c r="Z55" s="32"/>
      <c r="AA55" s="32">
        <f t="shared" ref="AA55" si="51">N55/1000000</f>
        <v>0</v>
      </c>
      <c r="AB55" s="32">
        <f t="shared" si="49"/>
        <v>3.0197248399999999</v>
      </c>
      <c r="AC55" s="32">
        <f t="shared" si="44"/>
        <v>0.39433330999999999</v>
      </c>
      <c r="AD55" s="32"/>
      <c r="AE55" s="32">
        <f t="shared" si="45"/>
        <v>100</v>
      </c>
      <c r="AF55" s="32"/>
      <c r="AG55" s="32"/>
      <c r="AH55" s="32">
        <f t="shared" si="45"/>
        <v>67.055618772954844</v>
      </c>
      <c r="AI55" s="34">
        <f t="shared" si="45"/>
        <v>51.614307591623032</v>
      </c>
      <c r="AJ55" s="35"/>
    </row>
    <row r="56" spans="1:36" s="43" customFormat="1" x14ac:dyDescent="0.25">
      <c r="A56" s="99" t="s">
        <v>64</v>
      </c>
      <c r="B56" s="37">
        <v>12090226568.82</v>
      </c>
      <c r="C56" s="37">
        <v>944953949.75</v>
      </c>
      <c r="D56" s="37">
        <v>10226690332.639999</v>
      </c>
      <c r="E56" s="300">
        <f>F56+G56+H56+I56-E57</f>
        <v>2588846918.7400002</v>
      </c>
      <c r="F56" s="37">
        <v>1913380958.9400001</v>
      </c>
      <c r="G56" s="37">
        <v>523196248.98000002</v>
      </c>
      <c r="H56" s="37">
        <v>189191745.21000001</v>
      </c>
      <c r="I56" s="37">
        <v>182721232.80000001</v>
      </c>
      <c r="J56" s="37">
        <v>7986703402.0100002</v>
      </c>
      <c r="K56" s="37">
        <v>563547955.80999994</v>
      </c>
      <c r="L56" s="37">
        <v>6882120603.6300001</v>
      </c>
      <c r="M56" s="300">
        <f>N56+O56+P56+Q56-M57</f>
        <v>1555104783.6200001</v>
      </c>
      <c r="N56" s="37">
        <v>1217998124.1500001</v>
      </c>
      <c r="O56" s="37">
        <v>262054195.59999999</v>
      </c>
      <c r="P56" s="37">
        <v>99070756.299999997</v>
      </c>
      <c r="Q56" s="37">
        <v>89007678.140000001</v>
      </c>
      <c r="R56" s="39">
        <f t="shared" si="50"/>
        <v>12090.22656882</v>
      </c>
      <c r="S56" s="39">
        <f t="shared" si="46"/>
        <v>10226.690332639999</v>
      </c>
      <c r="T56" s="39">
        <f>E56/1000000</f>
        <v>2588.8469187400001</v>
      </c>
      <c r="U56" s="39">
        <f>F56/1000000</f>
        <v>1913.38095894</v>
      </c>
      <c r="V56" s="39">
        <f t="shared" si="47"/>
        <v>523.19624898000006</v>
      </c>
      <c r="W56" s="39">
        <f t="shared" si="41"/>
        <v>371.91297801000002</v>
      </c>
      <c r="X56" s="39">
        <f t="shared" si="42"/>
        <v>7986.70340201</v>
      </c>
      <c r="Y56" s="39">
        <f t="shared" si="48"/>
        <v>6882.12060363</v>
      </c>
      <c r="Z56" s="39">
        <f>M56/1000000</f>
        <v>1555.10478362</v>
      </c>
      <c r="AA56" s="39">
        <f>N56/1000000</f>
        <v>1217.9981241500002</v>
      </c>
      <c r="AB56" s="39">
        <f t="shared" si="49"/>
        <v>262.05419560000001</v>
      </c>
      <c r="AC56" s="39">
        <f t="shared" si="44"/>
        <v>188.07843444</v>
      </c>
      <c r="AD56" s="39">
        <f t="shared" si="45"/>
        <v>66.059170657787746</v>
      </c>
      <c r="AE56" s="39">
        <f t="shared" si="45"/>
        <v>67.295678071572112</v>
      </c>
      <c r="AF56" s="39">
        <f t="shared" si="45"/>
        <v>60.069398942169755</v>
      </c>
      <c r="AG56" s="39">
        <f>AA56/U56%</f>
        <v>63.656854034168013</v>
      </c>
      <c r="AH56" s="39">
        <f t="shared" si="45"/>
        <v>50.087170179619811</v>
      </c>
      <c r="AI56" s="40">
        <f t="shared" si="45"/>
        <v>50.570548908068197</v>
      </c>
      <c r="AJ56" s="41"/>
    </row>
    <row r="57" spans="1:36" hidden="1" x14ac:dyDescent="0.3">
      <c r="A57" s="100" t="s">
        <v>61</v>
      </c>
      <c r="B57" s="101">
        <v>33537116</v>
      </c>
      <c r="C57" s="101">
        <v>944953949.75</v>
      </c>
      <c r="D57" s="101">
        <v>758847798.55999994</v>
      </c>
      <c r="E57" s="187">
        <f>F57+G57+H57+I57</f>
        <v>219643267.19</v>
      </c>
      <c r="F57" s="101">
        <v>0</v>
      </c>
      <c r="G57" s="101">
        <v>209339508.38999999</v>
      </c>
      <c r="H57" s="101">
        <v>140000</v>
      </c>
      <c r="I57" s="101">
        <v>10163758.800000001</v>
      </c>
      <c r="J57" s="101">
        <v>0</v>
      </c>
      <c r="K57" s="101">
        <v>563547955.80999994</v>
      </c>
      <c r="L57" s="101">
        <v>450521985.24000001</v>
      </c>
      <c r="M57" s="187">
        <f>N57+O57+P57+Q57</f>
        <v>113025970.56999999</v>
      </c>
      <c r="N57" s="101">
        <v>0</v>
      </c>
      <c r="O57" s="101">
        <v>107028436.66</v>
      </c>
      <c r="P57" s="101">
        <v>140000</v>
      </c>
      <c r="Q57" s="101">
        <v>5857533.9100000001</v>
      </c>
      <c r="R57" s="32">
        <f t="shared" si="50"/>
        <v>33.537115999999997</v>
      </c>
      <c r="S57" s="32">
        <f t="shared" si="46"/>
        <v>758.84779855999989</v>
      </c>
      <c r="T57" s="32"/>
      <c r="U57" s="32"/>
      <c r="V57" s="32">
        <f t="shared" si="47"/>
        <v>209.33950838999999</v>
      </c>
      <c r="W57" s="32">
        <f t="shared" si="41"/>
        <v>10.303758800000001</v>
      </c>
      <c r="X57" s="32">
        <f t="shared" si="42"/>
        <v>0</v>
      </c>
      <c r="Y57" s="32">
        <f t="shared" si="48"/>
        <v>450.52198523999999</v>
      </c>
      <c r="Z57" s="32"/>
      <c r="AA57" s="32"/>
      <c r="AB57" s="32">
        <f t="shared" si="49"/>
        <v>107.02843666</v>
      </c>
      <c r="AC57" s="32">
        <f t="shared" si="44"/>
        <v>5.9975339100000005</v>
      </c>
      <c r="AD57" s="32">
        <f t="shared" si="45"/>
        <v>0</v>
      </c>
      <c r="AE57" s="32">
        <f t="shared" si="45"/>
        <v>59.369215552172221</v>
      </c>
      <c r="AF57" s="102" t="s">
        <v>30</v>
      </c>
      <c r="AG57" s="102" t="s">
        <v>30</v>
      </c>
      <c r="AH57" s="32">
        <f t="shared" si="45"/>
        <v>51.126725902406235</v>
      </c>
      <c r="AI57" s="34">
        <f t="shared" si="45"/>
        <v>58.207242875289353</v>
      </c>
      <c r="AJ57" s="35"/>
    </row>
    <row r="58" spans="1:36" x14ac:dyDescent="0.25">
      <c r="A58" s="100" t="s">
        <v>65</v>
      </c>
      <c r="B58" s="30">
        <v>594313334.21000004</v>
      </c>
      <c r="C58" s="30">
        <v>0</v>
      </c>
      <c r="D58" s="30">
        <v>594203334.21000004</v>
      </c>
      <c r="E58" s="301">
        <f>F58+G58+H58+I58</f>
        <v>110000</v>
      </c>
      <c r="F58" s="30">
        <v>0</v>
      </c>
      <c r="G58" s="30">
        <v>50000</v>
      </c>
      <c r="H58" s="30">
        <v>60000</v>
      </c>
      <c r="I58" s="30">
        <v>0</v>
      </c>
      <c r="J58" s="30">
        <v>395408332.81999999</v>
      </c>
      <c r="K58" s="30">
        <v>0</v>
      </c>
      <c r="L58" s="30">
        <v>395322453.57999998</v>
      </c>
      <c r="M58" s="301">
        <f>N58+O58+P58+Q58</f>
        <v>85879.239999999991</v>
      </c>
      <c r="N58" s="30">
        <v>0</v>
      </c>
      <c r="O58" s="30">
        <v>50000</v>
      </c>
      <c r="P58" s="30">
        <v>35879.24</v>
      </c>
      <c r="Q58" s="30">
        <v>0</v>
      </c>
      <c r="R58" s="32">
        <f t="shared" si="50"/>
        <v>594.31333420999999</v>
      </c>
      <c r="S58" s="32">
        <f t="shared" si="46"/>
        <v>594.20333421000009</v>
      </c>
      <c r="T58" s="32">
        <f>E58/1000000</f>
        <v>0.11</v>
      </c>
      <c r="U58" s="32">
        <f>F58/1000000</f>
        <v>0</v>
      </c>
      <c r="V58" s="32">
        <f t="shared" si="47"/>
        <v>0.05</v>
      </c>
      <c r="W58" s="32">
        <f t="shared" ref="W58:W136" si="52">(H58+I58)/1000000</f>
        <v>0.06</v>
      </c>
      <c r="X58" s="32">
        <f t="shared" si="42"/>
        <v>395.40833282</v>
      </c>
      <c r="Y58" s="32">
        <f t="shared" si="48"/>
        <v>395.32245358</v>
      </c>
      <c r="Z58" s="32">
        <f>M58/1000000</f>
        <v>8.5879239999999996E-2</v>
      </c>
      <c r="AA58" s="32">
        <f>N58/1000000</f>
        <v>0</v>
      </c>
      <c r="AB58" s="32">
        <f t="shared" si="49"/>
        <v>0.05</v>
      </c>
      <c r="AC58" s="106">
        <f t="shared" ref="AC58:AC84" si="53">(P58+Q58)/1000000</f>
        <v>3.587924E-2</v>
      </c>
      <c r="AD58" s="32">
        <f t="shared" si="45"/>
        <v>66.531963874847676</v>
      </c>
      <c r="AE58" s="32">
        <f t="shared" si="45"/>
        <v>66.529827555677642</v>
      </c>
      <c r="AF58" s="32">
        <f>Z58/T58%</f>
        <v>78.072036363636357</v>
      </c>
      <c r="AG58" s="58" t="s">
        <v>30</v>
      </c>
      <c r="AH58" s="32">
        <f t="shared" si="45"/>
        <v>100</v>
      </c>
      <c r="AI58" s="34">
        <f t="shared" si="45"/>
        <v>59.798733333333338</v>
      </c>
      <c r="AJ58" s="35"/>
    </row>
    <row r="59" spans="1:36" hidden="1" x14ac:dyDescent="0.25">
      <c r="A59" s="100" t="s">
        <v>66</v>
      </c>
      <c r="B59" s="30">
        <v>77472431.269999996</v>
      </c>
      <c r="C59" s="30">
        <v>6000000</v>
      </c>
      <c r="D59" s="30">
        <v>70080500</v>
      </c>
      <c r="E59" s="301">
        <f>F59+G59+H59+I59-E60</f>
        <v>13391931.27</v>
      </c>
      <c r="F59" s="30">
        <v>1350000</v>
      </c>
      <c r="G59" s="30">
        <v>10002617.02</v>
      </c>
      <c r="H59" s="30">
        <v>1794314.25</v>
      </c>
      <c r="I59" s="30">
        <v>245000</v>
      </c>
      <c r="J59" s="30">
        <v>45043943.799999997</v>
      </c>
      <c r="K59" s="30">
        <v>0</v>
      </c>
      <c r="L59" s="30">
        <v>41617313.710000001</v>
      </c>
      <c r="M59" s="301">
        <f>N59+O59+P59+Q59-M60</f>
        <v>3426630.09</v>
      </c>
      <c r="N59" s="30">
        <v>527100</v>
      </c>
      <c r="O59" s="30">
        <v>2575287.02</v>
      </c>
      <c r="P59" s="30">
        <v>252000</v>
      </c>
      <c r="Q59" s="30">
        <v>72243.070000000007</v>
      </c>
      <c r="R59" s="32">
        <f t="shared" si="50"/>
        <v>77.472431270000001</v>
      </c>
      <c r="S59" s="32">
        <f t="shared" si="46"/>
        <v>70.080500000000001</v>
      </c>
      <c r="T59" s="32">
        <f>E59/1000000</f>
        <v>13.391931269999999</v>
      </c>
      <c r="U59" s="32">
        <f>F59/1000000</f>
        <v>1.35</v>
      </c>
      <c r="V59" s="32">
        <f t="shared" si="47"/>
        <v>10.002617019999999</v>
      </c>
      <c r="W59" s="32">
        <f t="shared" si="52"/>
        <v>2.0393142499999999</v>
      </c>
      <c r="X59" s="32">
        <f t="shared" si="42"/>
        <v>45.043943799999994</v>
      </c>
      <c r="Y59" s="32">
        <f t="shared" si="48"/>
        <v>41.617313709999998</v>
      </c>
      <c r="Z59" s="32">
        <f>M59/1000000</f>
        <v>3.4266300899999997</v>
      </c>
      <c r="AA59" s="32">
        <f>N59/1000000</f>
        <v>0.52710000000000001</v>
      </c>
      <c r="AB59" s="32">
        <f t="shared" si="49"/>
        <v>2.5752870200000002</v>
      </c>
      <c r="AC59" s="106">
        <f t="shared" si="53"/>
        <v>0.32424307000000002</v>
      </c>
      <c r="AD59" s="32">
        <f t="shared" si="45"/>
        <v>58.141900365843512</v>
      </c>
      <c r="AE59" s="32">
        <f t="shared" si="45"/>
        <v>59.385012535584075</v>
      </c>
      <c r="AF59" s="32">
        <f>Z59/T59%</f>
        <v>25.58727356730229</v>
      </c>
      <c r="AG59" s="32">
        <f>AA59/U59%</f>
        <v>39.044444444444444</v>
      </c>
      <c r="AH59" s="32">
        <f t="shared" si="45"/>
        <v>25.746132385662413</v>
      </c>
      <c r="AI59" s="34">
        <f t="shared" si="45"/>
        <v>15.899612823281162</v>
      </c>
      <c r="AJ59" s="35"/>
    </row>
    <row r="60" spans="1:36" s="110" customFormat="1" hidden="1" x14ac:dyDescent="0.25">
      <c r="A60" s="103" t="s">
        <v>67</v>
      </c>
      <c r="B60" s="104">
        <v>0</v>
      </c>
      <c r="C60" s="104">
        <v>6000000</v>
      </c>
      <c r="D60" s="104">
        <v>6000000</v>
      </c>
      <c r="E60" s="105">
        <f>F60+G60+H60+I60</f>
        <v>0</v>
      </c>
      <c r="F60" s="104">
        <v>0</v>
      </c>
      <c r="G60" s="104">
        <v>0</v>
      </c>
      <c r="H60" s="104">
        <v>0</v>
      </c>
      <c r="I60" s="104">
        <v>0</v>
      </c>
      <c r="J60" s="104">
        <v>0</v>
      </c>
      <c r="K60" s="104">
        <v>0</v>
      </c>
      <c r="L60" s="104">
        <v>0</v>
      </c>
      <c r="M60" s="105">
        <f>N60+O60+P60+Q60</f>
        <v>0</v>
      </c>
      <c r="N60" s="104">
        <v>0</v>
      </c>
      <c r="O60" s="104">
        <v>0</v>
      </c>
      <c r="P60" s="104">
        <v>0</v>
      </c>
      <c r="Q60" s="104">
        <v>0</v>
      </c>
      <c r="R60" s="106"/>
      <c r="S60" s="106">
        <f t="shared" si="46"/>
        <v>6</v>
      </c>
      <c r="T60" s="106"/>
      <c r="U60" s="106"/>
      <c r="V60" s="106">
        <f t="shared" si="47"/>
        <v>0</v>
      </c>
      <c r="W60" s="106">
        <f t="shared" si="52"/>
        <v>0</v>
      </c>
      <c r="X60" s="106"/>
      <c r="Y60" s="106">
        <f t="shared" si="48"/>
        <v>0</v>
      </c>
      <c r="Z60" s="106"/>
      <c r="AA60" s="106"/>
      <c r="AB60" s="106">
        <f t="shared" si="49"/>
        <v>0</v>
      </c>
      <c r="AC60" s="106">
        <f t="shared" si="53"/>
        <v>0</v>
      </c>
      <c r="AD60" s="107"/>
      <c r="AE60" s="106">
        <f t="shared" si="45"/>
        <v>0</v>
      </c>
      <c r="AF60" s="106"/>
      <c r="AG60" s="106"/>
      <c r="AH60" s="106"/>
      <c r="AI60" s="108" t="e">
        <f t="shared" si="45"/>
        <v>#DIV/0!</v>
      </c>
      <c r="AJ60" s="109"/>
    </row>
    <row r="61" spans="1:36" x14ac:dyDescent="0.25">
      <c r="A61" s="100" t="s">
        <v>68</v>
      </c>
      <c r="B61" s="30">
        <v>1111627320</v>
      </c>
      <c r="C61" s="30">
        <v>0</v>
      </c>
      <c r="D61" s="30">
        <v>1099158000</v>
      </c>
      <c r="E61" s="300">
        <f>F61+G61+H61+I61-E62</f>
        <v>12469320</v>
      </c>
      <c r="F61" s="30">
        <v>0</v>
      </c>
      <c r="G61" s="30">
        <v>12435300</v>
      </c>
      <c r="H61" s="30">
        <v>20020</v>
      </c>
      <c r="I61" s="30">
        <v>14000</v>
      </c>
      <c r="J61" s="37">
        <v>905876982.86000001</v>
      </c>
      <c r="K61" s="37">
        <v>0</v>
      </c>
      <c r="L61" s="37">
        <v>897242191.57000005</v>
      </c>
      <c r="M61" s="300">
        <f>N61+O61+P61+Q61-M62</f>
        <v>8634791.2899999991</v>
      </c>
      <c r="N61" s="37">
        <v>0</v>
      </c>
      <c r="O61" s="37">
        <v>8605791.2899999991</v>
      </c>
      <c r="P61" s="37">
        <v>20000</v>
      </c>
      <c r="Q61" s="37">
        <v>9000</v>
      </c>
      <c r="R61" s="32">
        <f t="shared" si="50"/>
        <v>1111.6273200000001</v>
      </c>
      <c r="S61" s="32">
        <f t="shared" si="46"/>
        <v>1099.1579999999999</v>
      </c>
      <c r="T61" s="32">
        <f>E61/1000000</f>
        <v>12.46932</v>
      </c>
      <c r="U61" s="32">
        <f>F61/1000000</f>
        <v>0</v>
      </c>
      <c r="V61" s="32">
        <f t="shared" si="47"/>
        <v>12.4353</v>
      </c>
      <c r="W61" s="32">
        <f t="shared" si="52"/>
        <v>3.4020000000000002E-2</v>
      </c>
      <c r="X61" s="32">
        <f t="shared" si="42"/>
        <v>905.87698286</v>
      </c>
      <c r="Y61" s="32">
        <f t="shared" si="48"/>
        <v>897.24219157000005</v>
      </c>
      <c r="Z61" s="32">
        <f>M61/1000000</f>
        <v>8.634791289999999</v>
      </c>
      <c r="AA61" s="32">
        <f>N61/1000000</f>
        <v>0</v>
      </c>
      <c r="AB61" s="32">
        <f t="shared" si="49"/>
        <v>8.6057912899999991</v>
      </c>
      <c r="AC61" s="32">
        <f t="shared" si="53"/>
        <v>2.9000000000000001E-2</v>
      </c>
      <c r="AD61" s="32">
        <f t="shared" si="45"/>
        <v>81.491068684781879</v>
      </c>
      <c r="AE61" s="32">
        <f t="shared" si="45"/>
        <v>81.629955981760602</v>
      </c>
      <c r="AF61" s="32">
        <f>Z61/T61%</f>
        <v>69.24829333115197</v>
      </c>
      <c r="AG61" s="58" t="s">
        <v>30</v>
      </c>
      <c r="AH61" s="32">
        <f t="shared" si="45"/>
        <v>69.204532982718547</v>
      </c>
      <c r="AI61" s="34">
        <f>AC61/W61%</f>
        <v>85.243974132863016</v>
      </c>
      <c r="AJ61" s="35"/>
    </row>
    <row r="62" spans="1:36" s="110" customFormat="1" hidden="1" x14ac:dyDescent="0.25">
      <c r="A62" s="103" t="s">
        <v>67</v>
      </c>
      <c r="B62" s="104"/>
      <c r="C62" s="104"/>
      <c r="D62" s="104"/>
      <c r="E62" s="105">
        <f>F62+G62+H62+I62</f>
        <v>0</v>
      </c>
      <c r="F62" s="104"/>
      <c r="G62" s="104"/>
      <c r="H62" s="104"/>
      <c r="I62" s="104"/>
      <c r="J62" s="111"/>
      <c r="K62" s="111"/>
      <c r="L62" s="111"/>
      <c r="M62" s="105">
        <f>N62+O62+P62+Q62</f>
        <v>0</v>
      </c>
      <c r="N62" s="111"/>
      <c r="O62" s="111"/>
      <c r="P62" s="111"/>
      <c r="Q62" s="111"/>
      <c r="R62" s="106"/>
      <c r="S62" s="106">
        <f t="shared" si="46"/>
        <v>0</v>
      </c>
      <c r="T62" s="106"/>
      <c r="U62" s="106"/>
      <c r="V62" s="106">
        <f t="shared" si="47"/>
        <v>0</v>
      </c>
      <c r="W62" s="106">
        <f t="shared" si="52"/>
        <v>0</v>
      </c>
      <c r="X62" s="106"/>
      <c r="Y62" s="106">
        <f t="shared" si="48"/>
        <v>0</v>
      </c>
      <c r="Z62" s="106"/>
      <c r="AA62" s="106"/>
      <c r="AB62" s="106">
        <f t="shared" si="49"/>
        <v>0</v>
      </c>
      <c r="AC62" s="106">
        <f t="shared" si="53"/>
        <v>0</v>
      </c>
      <c r="AD62" s="106"/>
      <c r="AE62" s="106" t="e">
        <f t="shared" si="45"/>
        <v>#DIV/0!</v>
      </c>
      <c r="AF62" s="106"/>
      <c r="AG62" s="112"/>
      <c r="AH62" s="32" t="e">
        <f t="shared" si="45"/>
        <v>#DIV/0!</v>
      </c>
      <c r="AI62" s="108"/>
      <c r="AJ62" s="109"/>
    </row>
    <row r="63" spans="1:36" hidden="1" x14ac:dyDescent="0.25">
      <c r="A63" s="100" t="s">
        <v>69</v>
      </c>
      <c r="B63" s="113">
        <v>93364407.700000003</v>
      </c>
      <c r="C63" s="113">
        <v>3823672.7</v>
      </c>
      <c r="D63" s="113">
        <v>85659335</v>
      </c>
      <c r="E63" s="300">
        <f>F63+G63+H63+I63-E64</f>
        <v>8705072.6999999993</v>
      </c>
      <c r="F63" s="113">
        <v>0</v>
      </c>
      <c r="G63" s="113">
        <v>5925072.7000000002</v>
      </c>
      <c r="H63" s="113">
        <v>0</v>
      </c>
      <c r="I63" s="113">
        <v>5603672.7000000002</v>
      </c>
      <c r="J63" s="30">
        <v>4252779.2699999996</v>
      </c>
      <c r="K63" s="30">
        <v>0</v>
      </c>
      <c r="L63" s="30">
        <v>1426393.23</v>
      </c>
      <c r="M63" s="300">
        <f>N63+O63+P63+Q63-M64</f>
        <v>2826386.04</v>
      </c>
      <c r="N63" s="30">
        <v>0</v>
      </c>
      <c r="O63" s="30">
        <v>46386.04</v>
      </c>
      <c r="P63" s="30">
        <v>0</v>
      </c>
      <c r="Q63" s="30">
        <v>2780000</v>
      </c>
      <c r="R63" s="32">
        <f t="shared" si="50"/>
        <v>93.364407700000001</v>
      </c>
      <c r="S63" s="32">
        <f t="shared" si="46"/>
        <v>85.659334999999999</v>
      </c>
      <c r="T63" s="32">
        <f>E63/1000000</f>
        <v>8.7050726999999988</v>
      </c>
      <c r="U63" s="32">
        <f>F63/1000000</f>
        <v>0</v>
      </c>
      <c r="V63" s="32">
        <f t="shared" si="47"/>
        <v>5.9250727000000003</v>
      </c>
      <c r="W63" s="32">
        <f t="shared" si="52"/>
        <v>5.6036727000000006</v>
      </c>
      <c r="X63" s="32">
        <f t="shared" si="42"/>
        <v>4.2527792699999996</v>
      </c>
      <c r="Y63" s="32">
        <f t="shared" si="48"/>
        <v>1.42639323</v>
      </c>
      <c r="Z63" s="32">
        <f>M63/1000000</f>
        <v>2.82638604</v>
      </c>
      <c r="AA63" s="32">
        <f>N63/1000000</f>
        <v>0</v>
      </c>
      <c r="AB63" s="32">
        <f t="shared" si="49"/>
        <v>4.6386040000000003E-2</v>
      </c>
      <c r="AC63" s="32">
        <f t="shared" si="53"/>
        <v>2.78</v>
      </c>
      <c r="AD63" s="32">
        <f t="shared" si="45"/>
        <v>4.5550326669078194</v>
      </c>
      <c r="AE63" s="32">
        <f t="shared" si="45"/>
        <v>1.6651929763405238</v>
      </c>
      <c r="AF63" s="32">
        <f>Z63/T63%</f>
        <v>32.468264624602163</v>
      </c>
      <c r="AG63" s="58" t="s">
        <v>30</v>
      </c>
      <c r="AH63" s="32">
        <f t="shared" si="45"/>
        <v>0.78287714511924889</v>
      </c>
      <c r="AI63" s="34">
        <f>AC63/W63%</f>
        <v>49.610320745535326</v>
      </c>
      <c r="AJ63" s="35"/>
    </row>
    <row r="64" spans="1:36" s="110" customFormat="1" hidden="1" x14ac:dyDescent="0.3">
      <c r="A64" s="103" t="s">
        <v>67</v>
      </c>
      <c r="B64" s="111">
        <v>0</v>
      </c>
      <c r="C64" s="111">
        <v>3823672.7</v>
      </c>
      <c r="D64" s="111">
        <v>1000000</v>
      </c>
      <c r="E64" s="105">
        <f>F64+G64+H64+I64</f>
        <v>2823672.7</v>
      </c>
      <c r="F64" s="111">
        <v>0</v>
      </c>
      <c r="G64" s="111">
        <v>2823672.7</v>
      </c>
      <c r="H64" s="111">
        <v>0</v>
      </c>
      <c r="I64" s="111">
        <v>0</v>
      </c>
      <c r="J64" s="111">
        <v>0</v>
      </c>
      <c r="K64" s="111">
        <v>0</v>
      </c>
      <c r="L64" s="111">
        <v>0</v>
      </c>
      <c r="M64" s="105">
        <f>N64+O64+P64+Q64</f>
        <v>0</v>
      </c>
      <c r="N64" s="111">
        <v>0</v>
      </c>
      <c r="O64" s="111">
        <v>0</v>
      </c>
      <c r="P64" s="111">
        <v>0</v>
      </c>
      <c r="Q64" s="111">
        <v>0</v>
      </c>
      <c r="R64" s="106"/>
      <c r="S64" s="106">
        <f t="shared" si="46"/>
        <v>1</v>
      </c>
      <c r="T64" s="106"/>
      <c r="U64" s="106"/>
      <c r="V64" s="106">
        <f t="shared" si="47"/>
        <v>2.8236727000000004</v>
      </c>
      <c r="W64" s="106">
        <f t="shared" si="52"/>
        <v>0</v>
      </c>
      <c r="X64" s="106"/>
      <c r="Y64" s="106">
        <f t="shared" si="48"/>
        <v>0</v>
      </c>
      <c r="Z64" s="106"/>
      <c r="AA64" s="106"/>
      <c r="AB64" s="106">
        <f t="shared" si="49"/>
        <v>0</v>
      </c>
      <c r="AC64" s="106">
        <f t="shared" si="53"/>
        <v>0</v>
      </c>
      <c r="AD64" s="106"/>
      <c r="AE64" s="106">
        <f t="shared" si="45"/>
        <v>0</v>
      </c>
      <c r="AF64" s="106"/>
      <c r="AG64" s="112" t="s">
        <v>30</v>
      </c>
      <c r="AH64" s="32">
        <f t="shared" si="45"/>
        <v>0</v>
      </c>
      <c r="AI64" s="108"/>
      <c r="AJ64" s="109"/>
    </row>
    <row r="65" spans="1:36" x14ac:dyDescent="0.25">
      <c r="A65" s="100" t="s">
        <v>70</v>
      </c>
      <c r="B65" s="30">
        <v>884089100</v>
      </c>
      <c r="C65" s="30">
        <v>0</v>
      </c>
      <c r="D65" s="30">
        <v>883249100</v>
      </c>
      <c r="E65" s="300">
        <f>F65+G65+H65+I65-E66</f>
        <v>840000</v>
      </c>
      <c r="F65" s="30">
        <v>0</v>
      </c>
      <c r="G65" s="30">
        <v>0</v>
      </c>
      <c r="H65" s="30">
        <v>840000</v>
      </c>
      <c r="I65" s="30">
        <v>0</v>
      </c>
      <c r="J65" s="37">
        <v>619176157.32000005</v>
      </c>
      <c r="K65" s="37">
        <v>0</v>
      </c>
      <c r="L65" s="37">
        <v>619176157.32000005</v>
      </c>
      <c r="M65" s="300">
        <f>N65+O65+P65+Q65-M66</f>
        <v>0</v>
      </c>
      <c r="N65" s="30">
        <v>0</v>
      </c>
      <c r="O65" s="30">
        <v>0</v>
      </c>
      <c r="P65" s="30">
        <v>0</v>
      </c>
      <c r="Q65" s="30">
        <v>0</v>
      </c>
      <c r="R65" s="32">
        <f t="shared" si="50"/>
        <v>884.08910000000003</v>
      </c>
      <c r="S65" s="32">
        <f t="shared" si="46"/>
        <v>883.2491</v>
      </c>
      <c r="T65" s="32">
        <f>E65/1000000</f>
        <v>0.84</v>
      </c>
      <c r="U65" s="32">
        <f>F65/1000000</f>
        <v>0</v>
      </c>
      <c r="V65" s="32">
        <f t="shared" si="47"/>
        <v>0</v>
      </c>
      <c r="W65" s="32">
        <f t="shared" si="52"/>
        <v>0.84</v>
      </c>
      <c r="X65" s="32">
        <f t="shared" ref="X65:X107" si="54">J65/1000000</f>
        <v>619.17615732000002</v>
      </c>
      <c r="Y65" s="32">
        <f t="shared" si="48"/>
        <v>619.17615732000002</v>
      </c>
      <c r="Z65" s="32">
        <f>M65/1000000</f>
        <v>0</v>
      </c>
      <c r="AA65" s="32">
        <f>N65/1000000</f>
        <v>0</v>
      </c>
      <c r="AB65" s="32">
        <f t="shared" si="49"/>
        <v>0</v>
      </c>
      <c r="AC65" s="32">
        <f t="shared" si="53"/>
        <v>0</v>
      </c>
      <c r="AD65" s="32">
        <f>X65/R65%</f>
        <v>70.035492725789737</v>
      </c>
      <c r="AE65" s="32">
        <f>Y65/S65%</f>
        <v>70.102098866559857</v>
      </c>
      <c r="AF65" s="32">
        <f t="shared" ref="AF65" si="55">Z65/T65%</f>
        <v>0</v>
      </c>
      <c r="AG65" s="32"/>
      <c r="AH65" s="32"/>
      <c r="AI65" s="34">
        <f t="shared" ref="AH65:AI66" si="56">AC65/W65%</f>
        <v>0</v>
      </c>
      <c r="AJ65" s="35"/>
    </row>
    <row r="66" spans="1:36" s="110" customFormat="1" hidden="1" x14ac:dyDescent="0.25">
      <c r="A66" s="103" t="s">
        <v>67</v>
      </c>
      <c r="B66" s="104"/>
      <c r="C66" s="104"/>
      <c r="D66" s="104"/>
      <c r="E66" s="105">
        <f>F66+G66+H66+I66</f>
        <v>0</v>
      </c>
      <c r="F66" s="104"/>
      <c r="G66" s="104"/>
      <c r="H66" s="104"/>
      <c r="I66" s="104"/>
      <c r="J66" s="302"/>
      <c r="K66" s="302"/>
      <c r="L66" s="302"/>
      <c r="M66" s="105">
        <f>N66+O66+P66+Q66</f>
        <v>0</v>
      </c>
      <c r="N66" s="104"/>
      <c r="O66" s="104"/>
      <c r="P66" s="104"/>
      <c r="Q66" s="104"/>
      <c r="R66" s="106"/>
      <c r="S66" s="106">
        <f t="shared" si="46"/>
        <v>0</v>
      </c>
      <c r="T66" s="106"/>
      <c r="U66" s="106"/>
      <c r="V66" s="106">
        <f t="shared" si="47"/>
        <v>0</v>
      </c>
      <c r="W66" s="106">
        <f t="shared" si="52"/>
        <v>0</v>
      </c>
      <c r="X66" s="106"/>
      <c r="Y66" s="106">
        <f t="shared" si="48"/>
        <v>0</v>
      </c>
      <c r="Z66" s="106"/>
      <c r="AA66" s="106"/>
      <c r="AB66" s="106">
        <f t="shared" ref="AB66:AB133" si="57">O66/1000000</f>
        <v>0</v>
      </c>
      <c r="AC66" s="106"/>
      <c r="AD66" s="107"/>
      <c r="AE66" s="106"/>
      <c r="AF66" s="106"/>
      <c r="AG66" s="106"/>
      <c r="AH66" s="106" t="e">
        <f t="shared" si="56"/>
        <v>#DIV/0!</v>
      </c>
      <c r="AI66" s="108"/>
      <c r="AJ66" s="109"/>
    </row>
    <row r="67" spans="1:36" x14ac:dyDescent="0.25">
      <c r="A67" s="100" t="s">
        <v>71</v>
      </c>
      <c r="B67" s="30">
        <v>750697158.25999999</v>
      </c>
      <c r="C67" s="30">
        <v>10046039.529999999</v>
      </c>
      <c r="D67" s="30">
        <v>534518858.07999998</v>
      </c>
      <c r="E67" s="300">
        <f>F67+G67+H67+I67-E68</f>
        <v>219491616.18000001</v>
      </c>
      <c r="F67" s="30">
        <v>152273880.97999999</v>
      </c>
      <c r="G67" s="30">
        <v>61069198.140000001</v>
      </c>
      <c r="H67" s="30">
        <v>11581213</v>
      </c>
      <c r="I67" s="30">
        <v>1300047.5900000001</v>
      </c>
      <c r="J67" s="30">
        <v>494235807.73000002</v>
      </c>
      <c r="K67" s="30">
        <v>4482273.09</v>
      </c>
      <c r="L67" s="30">
        <v>381143531.17000002</v>
      </c>
      <c r="M67" s="300">
        <f>N67+O67+P67+Q67-M68</f>
        <v>116445592.56000002</v>
      </c>
      <c r="N67" s="30">
        <v>72754575.280000001</v>
      </c>
      <c r="O67" s="30">
        <v>39781143.460000001</v>
      </c>
      <c r="P67" s="30">
        <v>4235635.51</v>
      </c>
      <c r="Q67" s="30">
        <v>803195.4</v>
      </c>
      <c r="R67" s="32">
        <f t="shared" si="50"/>
        <v>750.69715826000004</v>
      </c>
      <c r="S67" s="32">
        <f t="shared" si="46"/>
        <v>534.51885807999997</v>
      </c>
      <c r="T67" s="32">
        <f>E67/1000000</f>
        <v>219.49161617999999</v>
      </c>
      <c r="U67" s="32">
        <f>F67/1000000</f>
        <v>152.27388098</v>
      </c>
      <c r="V67" s="32">
        <f t="shared" si="47"/>
        <v>61.069198139999997</v>
      </c>
      <c r="W67" s="32">
        <f t="shared" si="52"/>
        <v>12.88126059</v>
      </c>
      <c r="X67" s="32">
        <f t="shared" si="54"/>
        <v>494.23580773000003</v>
      </c>
      <c r="Y67" s="32">
        <f t="shared" si="48"/>
        <v>381.14353117000002</v>
      </c>
      <c r="Z67" s="32">
        <f>M67/1000000</f>
        <v>116.44559256000002</v>
      </c>
      <c r="AA67" s="32">
        <f>N67/1000000</f>
        <v>72.754575279999997</v>
      </c>
      <c r="AB67" s="32">
        <f t="shared" si="57"/>
        <v>39.781143460000003</v>
      </c>
      <c r="AC67" s="32">
        <f t="shared" si="53"/>
        <v>5.0388309099999997</v>
      </c>
      <c r="AD67" s="32">
        <f>X67/R67%</f>
        <v>65.836909370426056</v>
      </c>
      <c r="AE67" s="32">
        <f t="shared" ref="AE67:AE131" si="58">Y67/S67%</f>
        <v>71.30590911966577</v>
      </c>
      <c r="AF67" s="32">
        <f>Z67/T67%</f>
        <v>53.052410195251227</v>
      </c>
      <c r="AG67" s="32">
        <f>AA67/U67%</f>
        <v>47.778762064622065</v>
      </c>
      <c r="AH67" s="32">
        <f>AB67/V67%</f>
        <v>65.141093499872838</v>
      </c>
      <c r="AI67" s="34">
        <f>AC67/W67%</f>
        <v>39.117529490178569</v>
      </c>
      <c r="AJ67" s="35"/>
    </row>
    <row r="68" spans="1:36" s="110" customFormat="1" hidden="1" x14ac:dyDescent="0.25">
      <c r="A68" s="103" t="s">
        <v>67</v>
      </c>
      <c r="B68" s="104">
        <v>3072000</v>
      </c>
      <c r="C68" s="104">
        <v>10046039.529999999</v>
      </c>
      <c r="D68" s="104">
        <v>6385316</v>
      </c>
      <c r="E68" s="105">
        <f>F68+G68+H68+I68</f>
        <v>6732723.5300000003</v>
      </c>
      <c r="F68" s="104">
        <v>0</v>
      </c>
      <c r="G68" s="104">
        <v>6732723.5300000003</v>
      </c>
      <c r="H68" s="104">
        <v>0</v>
      </c>
      <c r="I68" s="104">
        <v>0</v>
      </c>
      <c r="J68" s="104">
        <v>0</v>
      </c>
      <c r="K68" s="104">
        <v>4482273.09</v>
      </c>
      <c r="L68" s="104">
        <v>3353316</v>
      </c>
      <c r="M68" s="105">
        <f>N68+O68+P68+Q68</f>
        <v>1128957.0900000001</v>
      </c>
      <c r="N68" s="104">
        <v>0</v>
      </c>
      <c r="O68" s="104">
        <v>1128957.0900000001</v>
      </c>
      <c r="P68" s="104">
        <v>0</v>
      </c>
      <c r="Q68" s="104">
        <v>0</v>
      </c>
      <c r="R68" s="106"/>
      <c r="S68" s="106">
        <f t="shared" si="46"/>
        <v>6.3853160000000004</v>
      </c>
      <c r="T68" s="106"/>
      <c r="U68" s="106"/>
      <c r="V68" s="106">
        <f t="shared" si="47"/>
        <v>6.7327235300000003</v>
      </c>
      <c r="W68" s="106">
        <f t="shared" si="52"/>
        <v>0</v>
      </c>
      <c r="X68" s="106"/>
      <c r="Y68" s="106">
        <f t="shared" si="48"/>
        <v>3.353316</v>
      </c>
      <c r="Z68" s="106"/>
      <c r="AA68" s="106"/>
      <c r="AB68" s="106">
        <f t="shared" si="57"/>
        <v>1.1289570900000001</v>
      </c>
      <c r="AC68" s="106">
        <f t="shared" si="53"/>
        <v>0</v>
      </c>
      <c r="AD68" s="106"/>
      <c r="AE68" s="106">
        <f t="shared" si="58"/>
        <v>52.516054021445449</v>
      </c>
      <c r="AF68" s="106"/>
      <c r="AG68" s="106"/>
      <c r="AH68" s="106">
        <f t="shared" ref="AH68:AI84" si="59">AB68/V68%</f>
        <v>16.768208065718689</v>
      </c>
      <c r="AI68" s="108" t="e">
        <f t="shared" si="59"/>
        <v>#DIV/0!</v>
      </c>
      <c r="AJ68" s="109"/>
    </row>
    <row r="69" spans="1:36" x14ac:dyDescent="0.25">
      <c r="A69" s="100" t="s">
        <v>72</v>
      </c>
      <c r="B69" s="30">
        <v>8078172388.9499998</v>
      </c>
      <c r="C69" s="30">
        <v>883690433.63</v>
      </c>
      <c r="D69" s="30">
        <v>6600401338.7200003</v>
      </c>
      <c r="E69" s="300">
        <f>F69+G69+H69+I69-E70</f>
        <v>2166104581.79</v>
      </c>
      <c r="F69" s="30">
        <v>1677794199.72</v>
      </c>
      <c r="G69" s="30">
        <v>358315423.93000001</v>
      </c>
      <c r="H69" s="30">
        <v>170036702.21000001</v>
      </c>
      <c r="I69" s="30">
        <v>155315158</v>
      </c>
      <c r="J69" s="30">
        <v>5280014601.3100004</v>
      </c>
      <c r="K69" s="30">
        <v>550909245.05999994</v>
      </c>
      <c r="L69" s="30">
        <v>4377680373.2799997</v>
      </c>
      <c r="M69" s="300">
        <f>N69+O69+P69+Q69-M70</f>
        <v>1345319920.1899998</v>
      </c>
      <c r="N69" s="30">
        <v>1094275949.53</v>
      </c>
      <c r="O69" s="30">
        <v>185985563.69999999</v>
      </c>
      <c r="P69" s="30">
        <v>93097205.5</v>
      </c>
      <c r="Q69" s="30">
        <v>79884754.359999999</v>
      </c>
      <c r="R69" s="32">
        <f t="shared" si="50"/>
        <v>8078.1723889499999</v>
      </c>
      <c r="S69" s="32">
        <f t="shared" si="46"/>
        <v>6600.4013387200002</v>
      </c>
      <c r="T69" s="32">
        <f>E69/1000000</f>
        <v>2166.1045817899999</v>
      </c>
      <c r="U69" s="32">
        <f>F69/1000000</f>
        <v>1677.7941997200001</v>
      </c>
      <c r="V69" s="32">
        <f t="shared" si="47"/>
        <v>358.31542393000001</v>
      </c>
      <c r="W69" s="32">
        <f t="shared" si="52"/>
        <v>325.35186021000004</v>
      </c>
      <c r="X69" s="32">
        <f t="shared" si="54"/>
        <v>5280.0146013100002</v>
      </c>
      <c r="Y69" s="32">
        <f t="shared" si="48"/>
        <v>4377.6803732799999</v>
      </c>
      <c r="Z69" s="32">
        <f>M69/1000000</f>
        <v>1345.3199201899997</v>
      </c>
      <c r="AA69" s="32">
        <f>N69/1000000</f>
        <v>1094.2759495299999</v>
      </c>
      <c r="AB69" s="32">
        <f t="shared" si="57"/>
        <v>185.9855637</v>
      </c>
      <c r="AC69" s="32">
        <f t="shared" si="53"/>
        <v>172.98195986000002</v>
      </c>
      <c r="AD69" s="32">
        <f>X69/R69%</f>
        <v>65.361499446736815</v>
      </c>
      <c r="AE69" s="32">
        <f t="shared" si="58"/>
        <v>66.324457387146595</v>
      </c>
      <c r="AF69" s="32">
        <f>Z69/T69%</f>
        <v>62.107800865195074</v>
      </c>
      <c r="AG69" s="32">
        <f>AA69/U69%</f>
        <v>65.221106957731706</v>
      </c>
      <c r="AH69" s="32">
        <f t="shared" si="59"/>
        <v>51.905542234300768</v>
      </c>
      <c r="AI69" s="34">
        <f t="shared" si="59"/>
        <v>53.167656625152823</v>
      </c>
      <c r="AJ69" s="35"/>
    </row>
    <row r="70" spans="1:36" s="110" customFormat="1" hidden="1" x14ac:dyDescent="0.25">
      <c r="A70" s="103" t="s">
        <v>67</v>
      </c>
      <c r="B70" s="104">
        <v>0</v>
      </c>
      <c r="C70" s="104">
        <v>883690433.63</v>
      </c>
      <c r="D70" s="104">
        <v>688333531.55999994</v>
      </c>
      <c r="E70" s="105">
        <f>F70+G70+H70+I70</f>
        <v>195356902.07000002</v>
      </c>
      <c r="F70" s="104">
        <v>0</v>
      </c>
      <c r="G70" s="104">
        <v>185194143.27000001</v>
      </c>
      <c r="H70" s="104">
        <v>0</v>
      </c>
      <c r="I70" s="104">
        <v>10162758.800000001</v>
      </c>
      <c r="J70" s="104">
        <v>0</v>
      </c>
      <c r="K70" s="104">
        <v>550909245.05999994</v>
      </c>
      <c r="L70" s="104">
        <v>442985692.16000003</v>
      </c>
      <c r="M70" s="105">
        <f>N70+O70+P70+Q70</f>
        <v>107923552.89999999</v>
      </c>
      <c r="N70" s="104">
        <v>0</v>
      </c>
      <c r="O70" s="104">
        <v>102066018.98999999</v>
      </c>
      <c r="P70" s="104">
        <v>0</v>
      </c>
      <c r="Q70" s="104">
        <v>5857533.9100000001</v>
      </c>
      <c r="R70" s="106">
        <f t="shared" si="50"/>
        <v>0</v>
      </c>
      <c r="S70" s="106">
        <f t="shared" si="46"/>
        <v>688.33353155999998</v>
      </c>
      <c r="T70" s="106"/>
      <c r="U70" s="106"/>
      <c r="V70" s="106">
        <f t="shared" si="47"/>
        <v>185.19414327000001</v>
      </c>
      <c r="W70" s="106">
        <f t="shared" si="52"/>
        <v>10.162758800000001</v>
      </c>
      <c r="X70" s="106">
        <f t="shared" si="54"/>
        <v>0</v>
      </c>
      <c r="Y70" s="106">
        <f t="shared" si="48"/>
        <v>442.98569216000004</v>
      </c>
      <c r="Z70" s="106"/>
      <c r="AA70" s="106"/>
      <c r="AB70" s="106">
        <f t="shared" si="57"/>
        <v>102.06601898999999</v>
      </c>
      <c r="AC70" s="106">
        <f t="shared" si="53"/>
        <v>5.8575339099999999</v>
      </c>
      <c r="AD70" s="106"/>
      <c r="AE70" s="106">
        <f t="shared" si="58"/>
        <v>64.356256356717424</v>
      </c>
      <c r="AF70" s="106"/>
      <c r="AG70" s="106"/>
      <c r="AH70" s="106">
        <f t="shared" si="59"/>
        <v>55.112984237949107</v>
      </c>
      <c r="AI70" s="108">
        <f t="shared" si="59"/>
        <v>57.637242261422159</v>
      </c>
      <c r="AJ70" s="109"/>
    </row>
    <row r="71" spans="1:36" hidden="1" x14ac:dyDescent="0.25">
      <c r="A71" s="100" t="s">
        <v>73</v>
      </c>
      <c r="B71" s="30">
        <v>25127831.149999999</v>
      </c>
      <c r="C71" s="30">
        <v>0</v>
      </c>
      <c r="D71" s="30">
        <v>22538291.149999999</v>
      </c>
      <c r="E71" s="300">
        <f>F71+G71+H71+I71-E72</f>
        <v>2589540</v>
      </c>
      <c r="F71" s="30">
        <v>2589540</v>
      </c>
      <c r="G71" s="30">
        <v>0</v>
      </c>
      <c r="H71" s="30">
        <v>0</v>
      </c>
      <c r="I71" s="30">
        <v>0</v>
      </c>
      <c r="J71" s="30">
        <v>13331957.52</v>
      </c>
      <c r="K71" s="30">
        <v>0</v>
      </c>
      <c r="L71" s="30">
        <v>11605597.52</v>
      </c>
      <c r="M71" s="300">
        <f>N71+O71+P71+Q71-M72</f>
        <v>1726360</v>
      </c>
      <c r="N71" s="30">
        <v>1726360</v>
      </c>
      <c r="O71" s="30">
        <v>0</v>
      </c>
      <c r="P71" s="30">
        <v>0</v>
      </c>
      <c r="Q71" s="30">
        <v>0</v>
      </c>
      <c r="R71" s="32">
        <f t="shared" si="50"/>
        <v>25.127831149999999</v>
      </c>
      <c r="S71" s="32">
        <f t="shared" si="46"/>
        <v>22.538291149999999</v>
      </c>
      <c r="T71" s="32">
        <f>E71/1000000</f>
        <v>2.58954</v>
      </c>
      <c r="U71" s="32">
        <f>F71/1000000</f>
        <v>2.58954</v>
      </c>
      <c r="V71" s="32">
        <f t="shared" si="47"/>
        <v>0</v>
      </c>
      <c r="W71" s="32">
        <f t="shared" si="52"/>
        <v>0</v>
      </c>
      <c r="X71" s="32">
        <f t="shared" si="54"/>
        <v>13.33195752</v>
      </c>
      <c r="Y71" s="32">
        <f t="shared" si="48"/>
        <v>11.60559752</v>
      </c>
      <c r="Z71" s="32">
        <f>M71/1000000</f>
        <v>1.7263599999999999</v>
      </c>
      <c r="AA71" s="32">
        <f>N71/1000000</f>
        <v>1.7263599999999999</v>
      </c>
      <c r="AB71" s="32">
        <f t="shared" si="57"/>
        <v>0</v>
      </c>
      <c r="AC71" s="32">
        <f t="shared" si="53"/>
        <v>0</v>
      </c>
      <c r="AD71" s="32">
        <f>X71/R71%</f>
        <v>53.056538944468357</v>
      </c>
      <c r="AE71" s="32">
        <f t="shared" si="58"/>
        <v>51.492801485085081</v>
      </c>
      <c r="AF71" s="32">
        <f>Z71/T71%</f>
        <v>66.666666666666671</v>
      </c>
      <c r="AG71" s="32">
        <f>AA71/U71%</f>
        <v>66.666666666666671</v>
      </c>
      <c r="AH71" s="32"/>
      <c r="AI71" s="34"/>
      <c r="AJ71" s="35"/>
    </row>
    <row r="72" spans="1:36" s="110" customFormat="1" hidden="1" x14ac:dyDescent="0.25">
      <c r="A72" s="103" t="s">
        <v>67</v>
      </c>
      <c r="B72" s="104"/>
      <c r="C72" s="104"/>
      <c r="D72" s="104"/>
      <c r="E72" s="105">
        <f>F72+G72+H72+I72</f>
        <v>0</v>
      </c>
      <c r="F72" s="104"/>
      <c r="G72" s="104"/>
      <c r="H72" s="104"/>
      <c r="I72" s="104"/>
      <c r="J72" s="104"/>
      <c r="K72" s="104"/>
      <c r="L72" s="104"/>
      <c r="M72" s="105">
        <f>N72+O72+P72+Q72</f>
        <v>0</v>
      </c>
      <c r="N72" s="104"/>
      <c r="O72" s="104"/>
      <c r="P72" s="104"/>
      <c r="Q72" s="104"/>
      <c r="R72" s="106"/>
      <c r="S72" s="106">
        <f t="shared" si="46"/>
        <v>0</v>
      </c>
      <c r="T72" s="106"/>
      <c r="U72" s="106"/>
      <c r="V72" s="106">
        <f t="shared" ref="V72:V133" si="60">G72/1000000</f>
        <v>0</v>
      </c>
      <c r="W72" s="106">
        <f t="shared" si="52"/>
        <v>0</v>
      </c>
      <c r="X72" s="106"/>
      <c r="Y72" s="106">
        <f t="shared" si="48"/>
        <v>0</v>
      </c>
      <c r="Z72" s="106"/>
      <c r="AA72" s="106"/>
      <c r="AB72" s="106">
        <f t="shared" si="57"/>
        <v>0</v>
      </c>
      <c r="AC72" s="106"/>
      <c r="AD72" s="106"/>
      <c r="AE72" s="106" t="e">
        <f t="shared" si="58"/>
        <v>#DIV/0!</v>
      </c>
      <c r="AF72" s="106"/>
      <c r="AG72" s="106"/>
      <c r="AH72" s="106" t="e">
        <f t="shared" si="59"/>
        <v>#DIV/0!</v>
      </c>
      <c r="AI72" s="108"/>
      <c r="AJ72" s="109"/>
    </row>
    <row r="73" spans="1:36" ht="26.4" x14ac:dyDescent="0.25">
      <c r="A73" s="100" t="s">
        <v>74</v>
      </c>
      <c r="B73" s="30">
        <v>475362597.27999997</v>
      </c>
      <c r="C73" s="30">
        <v>41393803.890000001</v>
      </c>
      <c r="D73" s="30">
        <v>336881575.48000002</v>
      </c>
      <c r="E73" s="301">
        <f>F73+G73+H73+I73-E74</f>
        <v>165144856.80000001</v>
      </c>
      <c r="F73" s="30">
        <v>79373338.239999995</v>
      </c>
      <c r="G73" s="30">
        <v>75398637.189999998</v>
      </c>
      <c r="H73" s="30">
        <v>4859495.75</v>
      </c>
      <c r="I73" s="30">
        <v>20243354.510000002</v>
      </c>
      <c r="J73" s="30">
        <v>229362839.38</v>
      </c>
      <c r="K73" s="30">
        <v>8156437.6600000001</v>
      </c>
      <c r="L73" s="30">
        <v>156906592.25</v>
      </c>
      <c r="M73" s="301">
        <f>N73+O73+P73+Q73-M74</f>
        <v>76639224.210000008</v>
      </c>
      <c r="N73" s="30">
        <v>48714139.340000004</v>
      </c>
      <c r="O73" s="30">
        <v>25010024.09</v>
      </c>
      <c r="P73" s="30">
        <v>1430036.05</v>
      </c>
      <c r="Q73" s="30">
        <v>5458485.3099999996</v>
      </c>
      <c r="R73" s="32">
        <f t="shared" si="50"/>
        <v>475.36259727999999</v>
      </c>
      <c r="S73" s="32">
        <f t="shared" si="46"/>
        <v>336.88157548000004</v>
      </c>
      <c r="T73" s="32">
        <f t="shared" ref="T73:U75" si="61">E73/1000000</f>
        <v>165.14485680000001</v>
      </c>
      <c r="U73" s="32">
        <f t="shared" si="61"/>
        <v>79.373338239999995</v>
      </c>
      <c r="V73" s="32">
        <f t="shared" si="60"/>
        <v>75.398637190000002</v>
      </c>
      <c r="W73" s="32">
        <f t="shared" si="52"/>
        <v>25.10285026</v>
      </c>
      <c r="X73" s="32">
        <f t="shared" si="54"/>
        <v>229.36283938</v>
      </c>
      <c r="Y73" s="32">
        <f t="shared" si="48"/>
        <v>156.90659224999999</v>
      </c>
      <c r="Z73" s="32">
        <f>M73/1000000</f>
        <v>76.639224210000009</v>
      </c>
      <c r="AA73" s="32">
        <f>N73/1000000</f>
        <v>48.714139340000003</v>
      </c>
      <c r="AB73" s="32">
        <f t="shared" si="57"/>
        <v>25.010024089999998</v>
      </c>
      <c r="AC73" s="32">
        <f t="shared" si="53"/>
        <v>6.8885213599999995</v>
      </c>
      <c r="AD73" s="32">
        <f>X73/R73%</f>
        <v>48.250081241646313</v>
      </c>
      <c r="AE73" s="32">
        <f t="shared" si="58"/>
        <v>46.576186906759226</v>
      </c>
      <c r="AF73" s="32">
        <f>Z73/T73%</f>
        <v>46.407272799790881</v>
      </c>
      <c r="AG73" s="32">
        <f>AA73/U73%</f>
        <v>61.373428937439648</v>
      </c>
      <c r="AH73" s="32">
        <f t="shared" si="59"/>
        <v>33.170392757864114</v>
      </c>
      <c r="AI73" s="34">
        <f>AC73/W73%</f>
        <v>27.441192090351894</v>
      </c>
      <c r="AJ73" s="35"/>
    </row>
    <row r="74" spans="1:36" s="110" customFormat="1" hidden="1" x14ac:dyDescent="0.25">
      <c r="A74" s="103" t="s">
        <v>67</v>
      </c>
      <c r="B74" s="104">
        <v>30465116</v>
      </c>
      <c r="C74" s="104">
        <v>41393803.890000001</v>
      </c>
      <c r="D74" s="104">
        <v>57128951</v>
      </c>
      <c r="E74" s="105">
        <f>F74+G74+H74+I74</f>
        <v>14729968.890000001</v>
      </c>
      <c r="F74" s="104">
        <v>0</v>
      </c>
      <c r="G74" s="104">
        <v>14588968.890000001</v>
      </c>
      <c r="H74" s="104">
        <v>140000</v>
      </c>
      <c r="I74" s="104">
        <v>1000</v>
      </c>
      <c r="J74" s="104">
        <v>0</v>
      </c>
      <c r="K74" s="104">
        <v>8156437.6600000001</v>
      </c>
      <c r="L74" s="104">
        <v>4182977.08</v>
      </c>
      <c r="M74" s="105">
        <f>N74+O74+P74+Q74</f>
        <v>3973460.58</v>
      </c>
      <c r="N74" s="104">
        <v>0</v>
      </c>
      <c r="O74" s="104">
        <v>3833460.58</v>
      </c>
      <c r="P74" s="104">
        <v>140000</v>
      </c>
      <c r="Q74" s="104">
        <v>0</v>
      </c>
      <c r="R74" s="106">
        <f t="shared" si="50"/>
        <v>30.465115999999998</v>
      </c>
      <c r="S74" s="106">
        <f t="shared" si="46"/>
        <v>57.128951000000001</v>
      </c>
      <c r="T74" s="106">
        <f t="shared" si="61"/>
        <v>14.72996889</v>
      </c>
      <c r="U74" s="106">
        <f t="shared" si="61"/>
        <v>0</v>
      </c>
      <c r="V74" s="106">
        <f t="shared" si="60"/>
        <v>14.58896889</v>
      </c>
      <c r="W74" s="106">
        <f t="shared" si="52"/>
        <v>0.14099999999999999</v>
      </c>
      <c r="X74" s="106">
        <f t="shared" si="54"/>
        <v>0</v>
      </c>
      <c r="Y74" s="106">
        <f t="shared" si="48"/>
        <v>4.1829770799999997</v>
      </c>
      <c r="Z74" s="106"/>
      <c r="AA74" s="106"/>
      <c r="AB74" s="106">
        <f t="shared" si="57"/>
        <v>3.8334605800000001</v>
      </c>
      <c r="AC74" s="106">
        <f t="shared" si="53"/>
        <v>0.14000000000000001</v>
      </c>
      <c r="AD74" s="106">
        <f>X74/R74%</f>
        <v>0</v>
      </c>
      <c r="AE74" s="106">
        <f t="shared" si="58"/>
        <v>7.3219917516076904</v>
      </c>
      <c r="AF74" s="106"/>
      <c r="AG74" s="106"/>
      <c r="AH74" s="106">
        <f t="shared" si="59"/>
        <v>26.276432617713258</v>
      </c>
      <c r="AI74" s="108">
        <f t="shared" si="59"/>
        <v>99.290780141843996</v>
      </c>
      <c r="AJ74" s="109"/>
    </row>
    <row r="75" spans="1:36" s="43" customFormat="1" ht="13.5" customHeight="1" x14ac:dyDescent="0.25">
      <c r="A75" s="36" t="s">
        <v>75</v>
      </c>
      <c r="B75" s="37">
        <v>10256904668.41</v>
      </c>
      <c r="C75" s="37">
        <v>3497911340.7199998</v>
      </c>
      <c r="D75" s="37">
        <v>7901038009.3100004</v>
      </c>
      <c r="E75" s="300">
        <f>F75+G75+H75+I75-E76</f>
        <v>4771608358.8400002</v>
      </c>
      <c r="F75" s="37">
        <v>2788806001.6100001</v>
      </c>
      <c r="G75" s="37">
        <v>1428629835.8800001</v>
      </c>
      <c r="H75" s="37">
        <v>780597973.99000001</v>
      </c>
      <c r="I75" s="37">
        <v>855744188.34000003</v>
      </c>
      <c r="J75" s="37">
        <v>5562810909.1199999</v>
      </c>
      <c r="K75" s="37">
        <v>1495219136.46</v>
      </c>
      <c r="L75" s="37">
        <v>4237195852.23</v>
      </c>
      <c r="M75" s="300">
        <f>N75+O75+P75+Q75-M76</f>
        <v>2250783014.4299998</v>
      </c>
      <c r="N75" s="37">
        <v>1240768493.03</v>
      </c>
      <c r="O75" s="37">
        <v>675263237.61000001</v>
      </c>
      <c r="P75" s="37">
        <v>459823900.98000002</v>
      </c>
      <c r="Q75" s="37">
        <v>444978561.73000002</v>
      </c>
      <c r="R75" s="39">
        <f t="shared" si="50"/>
        <v>10256.904668409999</v>
      </c>
      <c r="S75" s="39">
        <f t="shared" si="46"/>
        <v>7901.0380093100002</v>
      </c>
      <c r="T75" s="39">
        <f t="shared" si="61"/>
        <v>4771.6083588399997</v>
      </c>
      <c r="U75" s="39">
        <f t="shared" si="61"/>
        <v>2788.8060016100003</v>
      </c>
      <c r="V75" s="39">
        <f t="shared" si="60"/>
        <v>1428.6298358800002</v>
      </c>
      <c r="W75" s="39">
        <f t="shared" si="52"/>
        <v>1636.3421623299998</v>
      </c>
      <c r="X75" s="39">
        <f t="shared" si="54"/>
        <v>5562.8109091199995</v>
      </c>
      <c r="Y75" s="39">
        <f t="shared" si="48"/>
        <v>4237.1958522300001</v>
      </c>
      <c r="Z75" s="39">
        <f>M75/1000000</f>
        <v>2250.7830144299996</v>
      </c>
      <c r="AA75" s="39">
        <f>N75/1000000</f>
        <v>1240.7684930299999</v>
      </c>
      <c r="AB75" s="39">
        <f t="shared" si="57"/>
        <v>675.26323761000003</v>
      </c>
      <c r="AC75" s="39">
        <f>(P75+Q75)/1000000</f>
        <v>904.80246270999999</v>
      </c>
      <c r="AD75" s="39">
        <f>X75/R75%</f>
        <v>54.234791966554695</v>
      </c>
      <c r="AE75" s="39">
        <f t="shared" si="58"/>
        <v>53.62834411424425</v>
      </c>
      <c r="AF75" s="39">
        <f>Z75/T75%</f>
        <v>47.170321727267144</v>
      </c>
      <c r="AG75" s="39">
        <f>AA75/U75%</f>
        <v>44.491029218729963</v>
      </c>
      <c r="AH75" s="39">
        <f t="shared" si="59"/>
        <v>47.266494136604308</v>
      </c>
      <c r="AI75" s="40">
        <f t="shared" si="59"/>
        <v>55.294209459325117</v>
      </c>
      <c r="AJ75" s="41"/>
    </row>
    <row r="76" spans="1:36" hidden="1" x14ac:dyDescent="0.25">
      <c r="A76" s="100" t="s">
        <v>61</v>
      </c>
      <c r="B76" s="114">
        <v>397277953.54000002</v>
      </c>
      <c r="C76" s="114">
        <v>3497911340.7200003</v>
      </c>
      <c r="D76" s="114">
        <v>2813019653.2800002</v>
      </c>
      <c r="E76" s="187">
        <f>F76+G76+H76+I76</f>
        <v>1082169640.98</v>
      </c>
      <c r="F76" s="114">
        <v>0</v>
      </c>
      <c r="G76" s="114">
        <v>1081143640.98</v>
      </c>
      <c r="H76" s="114">
        <v>1026000</v>
      </c>
      <c r="I76" s="114">
        <v>0</v>
      </c>
      <c r="J76" s="114">
        <v>0</v>
      </c>
      <c r="K76" s="114">
        <v>1495219136.46</v>
      </c>
      <c r="L76" s="114">
        <v>925167957.53999996</v>
      </c>
      <c r="M76" s="187">
        <f>N76+O76+P76+Q76</f>
        <v>570051178.92000008</v>
      </c>
      <c r="N76" s="114">
        <v>0</v>
      </c>
      <c r="O76" s="114">
        <v>569025178.92000008</v>
      </c>
      <c r="P76" s="114">
        <v>1026000</v>
      </c>
      <c r="Q76" s="114">
        <v>0</v>
      </c>
      <c r="R76" s="32">
        <f t="shared" si="50"/>
        <v>397.27795354</v>
      </c>
      <c r="S76" s="32">
        <f t="shared" si="46"/>
        <v>2813.0196532800001</v>
      </c>
      <c r="T76" s="32"/>
      <c r="U76" s="32"/>
      <c r="V76" s="32">
        <f t="shared" si="60"/>
        <v>1081.1436409800001</v>
      </c>
      <c r="W76" s="32">
        <f t="shared" si="52"/>
        <v>1.026</v>
      </c>
      <c r="X76" s="32">
        <f t="shared" si="54"/>
        <v>0</v>
      </c>
      <c r="Y76" s="32">
        <f t="shared" si="48"/>
        <v>925.16795753999997</v>
      </c>
      <c r="Z76" s="32"/>
      <c r="AA76" s="32"/>
      <c r="AB76" s="32">
        <f t="shared" si="57"/>
        <v>569.02517892000003</v>
      </c>
      <c r="AC76" s="32">
        <f t="shared" si="53"/>
        <v>1.026</v>
      </c>
      <c r="AD76" s="32">
        <f>X76/R76%</f>
        <v>0</v>
      </c>
      <c r="AE76" s="32">
        <f t="shared" si="58"/>
        <v>32.888783996274178</v>
      </c>
      <c r="AF76" s="39"/>
      <c r="AG76" s="32"/>
      <c r="AH76" s="32">
        <f t="shared" si="59"/>
        <v>52.631783358981657</v>
      </c>
      <c r="AI76" s="34">
        <f t="shared" si="59"/>
        <v>100</v>
      </c>
      <c r="AJ76" s="35"/>
    </row>
    <row r="77" spans="1:36" x14ac:dyDescent="0.25">
      <c r="A77" s="115" t="s">
        <v>76</v>
      </c>
      <c r="B77" s="114">
        <v>5393870450.1800003</v>
      </c>
      <c r="C77" s="114">
        <v>2702708034.5700002</v>
      </c>
      <c r="D77" s="114">
        <v>4366743907.8900003</v>
      </c>
      <c r="E77" s="300">
        <f>F77+G77+H77+I77-E78</f>
        <v>3013451590.1699996</v>
      </c>
      <c r="F77" s="114">
        <v>1847393688.28</v>
      </c>
      <c r="G77" s="114">
        <v>917364013.02999997</v>
      </c>
      <c r="H77" s="114">
        <v>554466201.88999999</v>
      </c>
      <c r="I77" s="114">
        <v>410610673.66000003</v>
      </c>
      <c r="J77" s="114">
        <v>2080467109.5699999</v>
      </c>
      <c r="K77" s="114">
        <v>996149004.79999995</v>
      </c>
      <c r="L77" s="114">
        <v>1477940127.4400001</v>
      </c>
      <c r="M77" s="300">
        <f>N77+O77+P77+Q77-M78</f>
        <v>1267532244.5800004</v>
      </c>
      <c r="N77" s="114">
        <v>702044998.25999999</v>
      </c>
      <c r="O77" s="114">
        <v>381853221.16000003</v>
      </c>
      <c r="P77" s="114">
        <v>357292379.63</v>
      </c>
      <c r="Q77" s="114">
        <v>157485387.88</v>
      </c>
      <c r="R77" s="32">
        <f>B77/1000000</f>
        <v>5393.8704501800003</v>
      </c>
      <c r="S77" s="32">
        <f t="shared" si="46"/>
        <v>4366.7439078900006</v>
      </c>
      <c r="T77" s="32">
        <f>E77/1000000</f>
        <v>3013.4515901699997</v>
      </c>
      <c r="U77" s="32">
        <f>F77/1000000</f>
        <v>1847.3936882799999</v>
      </c>
      <c r="V77" s="32">
        <f t="shared" si="60"/>
        <v>917.36401303000002</v>
      </c>
      <c r="W77" s="32">
        <f t="shared" si="52"/>
        <v>965.07687554999995</v>
      </c>
      <c r="X77" s="32">
        <f>J77/1000000</f>
        <v>2080.46710957</v>
      </c>
      <c r="Y77" s="32">
        <f t="shared" si="48"/>
        <v>1477.94012744</v>
      </c>
      <c r="Z77" s="32">
        <f>M77/1000000</f>
        <v>1267.5322445800005</v>
      </c>
      <c r="AA77" s="32">
        <f>N77/1000000</f>
        <v>702.04499825999994</v>
      </c>
      <c r="AB77" s="32">
        <f t="shared" si="57"/>
        <v>381.85322116000003</v>
      </c>
      <c r="AC77" s="32">
        <f t="shared" si="53"/>
        <v>514.77776750999999</v>
      </c>
      <c r="AD77" s="32">
        <f>X77/R77%</f>
        <v>38.570950651967777</v>
      </c>
      <c r="AE77" s="32">
        <f>Y77/S77%</f>
        <v>33.845358432162719</v>
      </c>
      <c r="AF77" s="32">
        <f>Z77/T77%</f>
        <v>42.062472439070916</v>
      </c>
      <c r="AG77" s="32">
        <f>AA77/U77%</f>
        <v>38.001916035213526</v>
      </c>
      <c r="AH77" s="32">
        <f t="shared" si="59"/>
        <v>41.625049133850474</v>
      </c>
      <c r="AI77" s="34">
        <f t="shared" si="59"/>
        <v>53.340597060376844</v>
      </c>
      <c r="AJ77" s="35"/>
    </row>
    <row r="78" spans="1:36" s="110" customFormat="1" hidden="1" x14ac:dyDescent="0.25">
      <c r="A78" s="103" t="s">
        <v>67</v>
      </c>
      <c r="B78" s="116">
        <v>397256509.54000002</v>
      </c>
      <c r="C78" s="116">
        <v>2702708034.5700002</v>
      </c>
      <c r="D78" s="116">
        <v>2383581557.4200001</v>
      </c>
      <c r="E78" s="105">
        <f>F78+G78+H78+I78</f>
        <v>716382986.69000006</v>
      </c>
      <c r="F78" s="116">
        <v>0</v>
      </c>
      <c r="G78" s="116">
        <v>716382986.69000006</v>
      </c>
      <c r="H78" s="116">
        <v>0</v>
      </c>
      <c r="I78" s="116">
        <v>0</v>
      </c>
      <c r="J78" s="116">
        <v>0</v>
      </c>
      <c r="K78" s="116">
        <v>996149004.79999995</v>
      </c>
      <c r="L78" s="116">
        <v>665005262.45000005</v>
      </c>
      <c r="M78" s="105">
        <f>N78+O78+P78+Q78</f>
        <v>331143742.35000002</v>
      </c>
      <c r="N78" s="116">
        <v>0</v>
      </c>
      <c r="O78" s="116">
        <v>331143742.35000002</v>
      </c>
      <c r="P78" s="116">
        <v>0</v>
      </c>
      <c r="Q78" s="116">
        <v>0</v>
      </c>
      <c r="R78" s="106"/>
      <c r="S78" s="106">
        <f t="shared" si="46"/>
        <v>2383.5815574200001</v>
      </c>
      <c r="T78" s="106"/>
      <c r="U78" s="106"/>
      <c r="V78" s="106">
        <f t="shared" si="60"/>
        <v>716.38298669000005</v>
      </c>
      <c r="W78" s="106">
        <f t="shared" si="52"/>
        <v>0</v>
      </c>
      <c r="X78" s="106"/>
      <c r="Y78" s="106">
        <f t="shared" ref="Y78:Y84" si="62">L78/1000000</f>
        <v>665.00526245000003</v>
      </c>
      <c r="Z78" s="106"/>
      <c r="AA78" s="106"/>
      <c r="AB78" s="106">
        <f t="shared" si="57"/>
        <v>331.14374235000002</v>
      </c>
      <c r="AC78" s="106">
        <f t="shared" si="53"/>
        <v>0</v>
      </c>
      <c r="AD78" s="106"/>
      <c r="AE78" s="106">
        <f t="shared" ref="AE78:AE83" si="63">Y78/S78%</f>
        <v>27.899412981270288</v>
      </c>
      <c r="AF78" s="106"/>
      <c r="AG78" s="106"/>
      <c r="AH78" s="106">
        <f t="shared" si="59"/>
        <v>46.224400704995475</v>
      </c>
      <c r="AI78" s="108" t="e">
        <f t="shared" si="59"/>
        <v>#DIV/0!</v>
      </c>
      <c r="AJ78" s="109"/>
    </row>
    <row r="79" spans="1:36" x14ac:dyDescent="0.25">
      <c r="A79" s="100" t="s">
        <v>77</v>
      </c>
      <c r="B79" s="114">
        <v>3835230037.9400001</v>
      </c>
      <c r="C79" s="114">
        <v>768515317.33000004</v>
      </c>
      <c r="D79" s="114">
        <v>3463030242.3899999</v>
      </c>
      <c r="E79" s="300">
        <f>F79+G79+H79+I79-E80</f>
        <v>783915388.38000011</v>
      </c>
      <c r="F79" s="114">
        <v>199691416.22</v>
      </c>
      <c r="G79" s="114">
        <v>484563775.00999999</v>
      </c>
      <c r="H79" s="114">
        <v>117130049.08</v>
      </c>
      <c r="I79" s="114">
        <v>339329872.56999999</v>
      </c>
      <c r="J79" s="114">
        <v>2827921653.0500002</v>
      </c>
      <c r="K79" s="114">
        <v>477214030.54000002</v>
      </c>
      <c r="L79" s="114">
        <v>2708604912.4699998</v>
      </c>
      <c r="M79" s="300">
        <f>N79+O79+P79+Q79-M80</f>
        <v>363935714.99000001</v>
      </c>
      <c r="N79" s="114">
        <v>53807835.990000002</v>
      </c>
      <c r="O79" s="114">
        <v>275997489.75999999</v>
      </c>
      <c r="P79" s="114">
        <v>43869736.280000001</v>
      </c>
      <c r="Q79" s="114">
        <v>222855709.09</v>
      </c>
      <c r="R79" s="32">
        <f>B79/1000000</f>
        <v>3835.2300379399999</v>
      </c>
      <c r="S79" s="32">
        <f t="shared" si="46"/>
        <v>3463.0302423899998</v>
      </c>
      <c r="T79" s="32">
        <f>E79/1000000</f>
        <v>783.91538838000008</v>
      </c>
      <c r="U79" s="32">
        <f>F79/1000000</f>
        <v>199.69141622000001</v>
      </c>
      <c r="V79" s="32">
        <f t="shared" si="60"/>
        <v>484.56377500999997</v>
      </c>
      <c r="W79" s="32">
        <f t="shared" si="52"/>
        <v>456.45992164999996</v>
      </c>
      <c r="X79" s="32">
        <f>J79/1000000</f>
        <v>2827.9216530500003</v>
      </c>
      <c r="Y79" s="32">
        <f t="shared" si="62"/>
        <v>2708.6049124699998</v>
      </c>
      <c r="Z79" s="32">
        <f>M79/1000000</f>
        <v>363.93571499000001</v>
      </c>
      <c r="AA79" s="32">
        <f>N79/1000000</f>
        <v>53.807835990000001</v>
      </c>
      <c r="AB79" s="32">
        <f t="shared" si="57"/>
        <v>275.99748976000001</v>
      </c>
      <c r="AC79" s="32">
        <f t="shared" si="53"/>
        <v>266.72544536999999</v>
      </c>
      <c r="AD79" s="32">
        <f>X79/R79%</f>
        <v>73.735385493824225</v>
      </c>
      <c r="AE79" s="32">
        <f t="shared" si="63"/>
        <v>78.214878961053032</v>
      </c>
      <c r="AF79" s="32">
        <f>Z79/T79%</f>
        <v>46.425382175758941</v>
      </c>
      <c r="AG79" s="32">
        <f>AA79/U79%</f>
        <v>26.945492704964298</v>
      </c>
      <c r="AH79" s="32">
        <f t="shared" si="59"/>
        <v>56.957928758563149</v>
      </c>
      <c r="AI79" s="34">
        <f t="shared" si="59"/>
        <v>58.433486209664913</v>
      </c>
      <c r="AJ79" s="35"/>
    </row>
    <row r="80" spans="1:36" s="110" customFormat="1" hidden="1" x14ac:dyDescent="0.25">
      <c r="A80" s="103" t="s">
        <v>67</v>
      </c>
      <c r="B80" s="116">
        <v>21444</v>
      </c>
      <c r="C80" s="116">
        <v>768515317.33000004</v>
      </c>
      <c r="D80" s="116">
        <v>411737036.82999998</v>
      </c>
      <c r="E80" s="105">
        <f>F80+G80+H80+I80</f>
        <v>356799724.5</v>
      </c>
      <c r="F80" s="116">
        <v>0</v>
      </c>
      <c r="G80" s="116">
        <v>355949724.5</v>
      </c>
      <c r="H80" s="116">
        <v>850000</v>
      </c>
      <c r="I80" s="116">
        <v>0</v>
      </c>
      <c r="J80" s="116">
        <v>0</v>
      </c>
      <c r="K80" s="116">
        <v>477214030.54000002</v>
      </c>
      <c r="L80" s="116">
        <v>244618974.41</v>
      </c>
      <c r="M80" s="105">
        <f>N80+O80+P80+Q80</f>
        <v>232595056.13</v>
      </c>
      <c r="N80" s="116">
        <v>0</v>
      </c>
      <c r="O80" s="116">
        <v>231745056.13</v>
      </c>
      <c r="P80" s="116">
        <v>850000</v>
      </c>
      <c r="Q80" s="116">
        <v>0</v>
      </c>
      <c r="R80" s="106"/>
      <c r="S80" s="106">
        <f t="shared" si="46"/>
        <v>411.73703682999997</v>
      </c>
      <c r="T80" s="106"/>
      <c r="U80" s="106"/>
      <c r="V80" s="106">
        <f t="shared" si="60"/>
        <v>355.9497245</v>
      </c>
      <c r="W80" s="106">
        <f t="shared" si="52"/>
        <v>0.85</v>
      </c>
      <c r="X80" s="106"/>
      <c r="Y80" s="106">
        <f t="shared" si="62"/>
        <v>244.61897440999999</v>
      </c>
      <c r="Z80" s="106"/>
      <c r="AA80" s="106"/>
      <c r="AB80" s="106">
        <f t="shared" si="57"/>
        <v>231.74505612999999</v>
      </c>
      <c r="AC80" s="106">
        <f t="shared" si="53"/>
        <v>0.85</v>
      </c>
      <c r="AD80" s="106"/>
      <c r="AE80" s="106">
        <f t="shared" si="63"/>
        <v>59.411457442192528</v>
      </c>
      <c r="AF80" s="106"/>
      <c r="AG80" s="106"/>
      <c r="AH80" s="106">
        <f t="shared" si="59"/>
        <v>65.106120381334918</v>
      </c>
      <c r="AI80" s="108">
        <f t="shared" si="59"/>
        <v>99.999999999999986</v>
      </c>
      <c r="AJ80" s="109"/>
    </row>
    <row r="81" spans="1:36" hidden="1" x14ac:dyDescent="0.25">
      <c r="A81" s="100" t="s">
        <v>78</v>
      </c>
      <c r="B81" s="114">
        <v>769871291.66999996</v>
      </c>
      <c r="C81" s="114">
        <v>24324868.359999999</v>
      </c>
      <c r="D81" s="114">
        <v>16301059.029999999</v>
      </c>
      <c r="E81" s="300">
        <f>F81+G81+H81+I81-E82</f>
        <v>769871291.66999996</v>
      </c>
      <c r="F81" s="114">
        <v>568131682.55999994</v>
      </c>
      <c r="G81" s="114">
        <v>13392112.33</v>
      </c>
      <c r="H81" s="114">
        <v>108880223.02</v>
      </c>
      <c r="I81" s="114">
        <v>87491083.090000004</v>
      </c>
      <c r="J81" s="114">
        <v>462001548.82999998</v>
      </c>
      <c r="K81" s="114">
        <v>19492980.66</v>
      </c>
      <c r="L81" s="114">
        <v>14143720.68</v>
      </c>
      <c r="M81" s="300">
        <f>N81+O81+P81+Q81-M82</f>
        <v>462001548.82999992</v>
      </c>
      <c r="N81" s="114">
        <v>350185711.14999998</v>
      </c>
      <c r="O81" s="114">
        <v>7798454.25</v>
      </c>
      <c r="P81" s="114">
        <v>58617560.009999998</v>
      </c>
      <c r="Q81" s="114">
        <v>50749083.399999999</v>
      </c>
      <c r="R81" s="32">
        <f>B81/1000000</f>
        <v>769.87129167000001</v>
      </c>
      <c r="S81" s="32">
        <f t="shared" si="46"/>
        <v>16.301059029999998</v>
      </c>
      <c r="T81" s="32">
        <f>E81/1000000</f>
        <v>769.87129167000001</v>
      </c>
      <c r="U81" s="32">
        <f>F81/1000000</f>
        <v>568.13168255999994</v>
      </c>
      <c r="V81" s="32">
        <f t="shared" si="60"/>
        <v>13.39211233</v>
      </c>
      <c r="W81" s="32">
        <f t="shared" si="52"/>
        <v>196.37130611000001</v>
      </c>
      <c r="X81" s="32">
        <f>J81/1000000</f>
        <v>462.00154882999999</v>
      </c>
      <c r="Y81" s="32">
        <f t="shared" si="62"/>
        <v>14.143720679999999</v>
      </c>
      <c r="Z81" s="32">
        <f>M81/1000000</f>
        <v>462.00154882999993</v>
      </c>
      <c r="AA81" s="32">
        <f>N81/1000000</f>
        <v>350.18571114999997</v>
      </c>
      <c r="AB81" s="32">
        <f t="shared" si="57"/>
        <v>7.7984542499999998</v>
      </c>
      <c r="AC81" s="32">
        <f t="shared" si="53"/>
        <v>109.36664340999999</v>
      </c>
      <c r="AD81" s="32">
        <f>X81/R81%</f>
        <v>60.010232077602105</v>
      </c>
      <c r="AE81" s="32">
        <f t="shared" si="63"/>
        <v>86.765655249577989</v>
      </c>
      <c r="AF81" s="32">
        <f>Z81/T81%</f>
        <v>60.010232077602097</v>
      </c>
      <c r="AG81" s="32">
        <f>AA81/U81%</f>
        <v>61.638124029989669</v>
      </c>
      <c r="AH81" s="32">
        <f t="shared" si="59"/>
        <v>58.231696821497614</v>
      </c>
      <c r="AI81" s="34">
        <f t="shared" si="59"/>
        <v>55.693800472425849</v>
      </c>
      <c r="AJ81" s="35"/>
    </row>
    <row r="82" spans="1:36" s="110" customFormat="1" hidden="1" x14ac:dyDescent="0.25">
      <c r="A82" s="103" t="s">
        <v>67</v>
      </c>
      <c r="B82" s="116">
        <v>0</v>
      </c>
      <c r="C82" s="116">
        <v>24324868.359999999</v>
      </c>
      <c r="D82" s="116">
        <v>16301059.029999999</v>
      </c>
      <c r="E82" s="105">
        <f>F82+G82+H82+I82</f>
        <v>8023809.3300000001</v>
      </c>
      <c r="F82" s="116">
        <v>0</v>
      </c>
      <c r="G82" s="116">
        <v>7847809.3300000001</v>
      </c>
      <c r="H82" s="116">
        <v>176000</v>
      </c>
      <c r="I82" s="116">
        <v>0</v>
      </c>
      <c r="J82" s="116">
        <v>0</v>
      </c>
      <c r="K82" s="116">
        <v>19492980.66</v>
      </c>
      <c r="L82" s="116">
        <v>14143720.68</v>
      </c>
      <c r="M82" s="105">
        <f>N82+O82+P82+Q82</f>
        <v>5349259.9800000004</v>
      </c>
      <c r="N82" s="116">
        <v>0</v>
      </c>
      <c r="O82" s="116">
        <v>5173259.9800000004</v>
      </c>
      <c r="P82" s="116">
        <v>176000</v>
      </c>
      <c r="Q82" s="116">
        <v>0</v>
      </c>
      <c r="R82" s="106"/>
      <c r="S82" s="106">
        <f t="shared" si="46"/>
        <v>16.301059029999998</v>
      </c>
      <c r="T82" s="106"/>
      <c r="U82" s="106"/>
      <c r="V82" s="106">
        <f t="shared" si="60"/>
        <v>7.8478093300000005</v>
      </c>
      <c r="W82" s="106">
        <f t="shared" si="52"/>
        <v>0.17599999999999999</v>
      </c>
      <c r="X82" s="106"/>
      <c r="Y82" s="106">
        <f t="shared" si="62"/>
        <v>14.143720679999999</v>
      </c>
      <c r="Z82" s="106"/>
      <c r="AA82" s="106"/>
      <c r="AB82" s="106">
        <f t="shared" si="57"/>
        <v>5.1732599800000001</v>
      </c>
      <c r="AC82" s="106">
        <f t="shared" si="53"/>
        <v>0.17599999999999999</v>
      </c>
      <c r="AD82" s="106"/>
      <c r="AE82" s="106">
        <f t="shared" si="63"/>
        <v>86.765655249577989</v>
      </c>
      <c r="AF82" s="106"/>
      <c r="AG82" s="106"/>
      <c r="AH82" s="106">
        <f t="shared" si="59"/>
        <v>65.919797009135536</v>
      </c>
      <c r="AI82" s="108">
        <f t="shared" si="59"/>
        <v>100</v>
      </c>
      <c r="AJ82" s="109"/>
    </row>
    <row r="83" spans="1:36" ht="26.4" hidden="1" x14ac:dyDescent="0.25">
      <c r="A83" s="100" t="s">
        <v>79</v>
      </c>
      <c r="B83" s="114">
        <v>257932888.62</v>
      </c>
      <c r="C83" s="114">
        <v>2363120.46</v>
      </c>
      <c r="D83" s="114">
        <v>54962800</v>
      </c>
      <c r="E83" s="300">
        <f>F83+G83+H83+I83-E84</f>
        <v>204370088.62</v>
      </c>
      <c r="F83" s="114">
        <v>173589214.55000001</v>
      </c>
      <c r="G83" s="114">
        <v>13309935.51</v>
      </c>
      <c r="H83" s="114">
        <v>121500</v>
      </c>
      <c r="I83" s="114">
        <v>18312559.02</v>
      </c>
      <c r="J83" s="114">
        <v>192420597.66999999</v>
      </c>
      <c r="K83" s="114">
        <v>2363120.46</v>
      </c>
      <c r="L83" s="114">
        <v>36507091.640000001</v>
      </c>
      <c r="M83" s="300">
        <f>N83+O83+P83+Q83-M84</f>
        <v>157313506.03</v>
      </c>
      <c r="N83" s="114">
        <v>134729947.63</v>
      </c>
      <c r="O83" s="114">
        <v>9614072.4399999995</v>
      </c>
      <c r="P83" s="114">
        <v>44225.06</v>
      </c>
      <c r="Q83" s="114">
        <v>13888381.359999999</v>
      </c>
      <c r="R83" s="32">
        <f>B83/1000000</f>
        <v>257.93288862000003</v>
      </c>
      <c r="S83" s="32">
        <f t="shared" ref="S83:S133" si="64">D83/1000000</f>
        <v>54.962800000000001</v>
      </c>
      <c r="T83" s="32">
        <f>E83/1000000</f>
        <v>204.37008862000002</v>
      </c>
      <c r="U83" s="32">
        <f>F83/1000000</f>
        <v>173.58921455000001</v>
      </c>
      <c r="V83" s="32">
        <f t="shared" si="60"/>
        <v>13.309935509999999</v>
      </c>
      <c r="W83" s="32">
        <f t="shared" si="52"/>
        <v>18.434059019999999</v>
      </c>
      <c r="X83" s="32">
        <f>J83/1000000</f>
        <v>192.42059766999998</v>
      </c>
      <c r="Y83" s="32">
        <f t="shared" si="62"/>
        <v>36.507091639999999</v>
      </c>
      <c r="Z83" s="32">
        <f>M83/1000000</f>
        <v>157.31350603000001</v>
      </c>
      <c r="AA83" s="32">
        <f>N83/1000000</f>
        <v>134.72994763</v>
      </c>
      <c r="AB83" s="32">
        <f t="shared" si="57"/>
        <v>9.6140724399999993</v>
      </c>
      <c r="AC83" s="32">
        <f t="shared" si="53"/>
        <v>13.932606419999999</v>
      </c>
      <c r="AD83" s="32">
        <f>X83/R83%</f>
        <v>74.601032345853298</v>
      </c>
      <c r="AE83" s="32">
        <f t="shared" si="63"/>
        <v>66.421455311592567</v>
      </c>
      <c r="AF83" s="32">
        <f>Z83/T83%</f>
        <v>76.974819109906193</v>
      </c>
      <c r="AG83" s="32">
        <f>AA83/U83%</f>
        <v>77.614238868044922</v>
      </c>
      <c r="AH83" s="32">
        <f t="shared" si="59"/>
        <v>72.232299193161154</v>
      </c>
      <c r="AI83" s="34">
        <f t="shared" si="59"/>
        <v>75.580784486389263</v>
      </c>
      <c r="AJ83" s="35"/>
    </row>
    <row r="84" spans="1:36" s="110" customFormat="1" hidden="1" x14ac:dyDescent="0.25">
      <c r="A84" s="103" t="s">
        <v>67</v>
      </c>
      <c r="B84" s="116">
        <v>0</v>
      </c>
      <c r="C84" s="116">
        <v>2363120.46</v>
      </c>
      <c r="D84" s="116">
        <v>1400000</v>
      </c>
      <c r="E84" s="105">
        <f>F84+G84+H84+I84</f>
        <v>963120.46</v>
      </c>
      <c r="F84" s="116">
        <v>0</v>
      </c>
      <c r="G84" s="116">
        <v>963120.46</v>
      </c>
      <c r="H84" s="116">
        <v>0</v>
      </c>
      <c r="I84" s="116">
        <v>0</v>
      </c>
      <c r="J84" s="116">
        <v>0</v>
      </c>
      <c r="K84" s="116">
        <v>2363120.46</v>
      </c>
      <c r="L84" s="116">
        <v>1400000</v>
      </c>
      <c r="M84" s="105">
        <f>N84+O84+P84+Q84</f>
        <v>963120.46</v>
      </c>
      <c r="N84" s="116">
        <v>0</v>
      </c>
      <c r="O84" s="116">
        <v>963120.46</v>
      </c>
      <c r="P84" s="116">
        <v>0</v>
      </c>
      <c r="Q84" s="116">
        <v>0</v>
      </c>
      <c r="R84" s="106"/>
      <c r="S84" s="106">
        <f t="shared" si="64"/>
        <v>1.4</v>
      </c>
      <c r="T84" s="106"/>
      <c r="U84" s="106"/>
      <c r="V84" s="106">
        <f t="shared" si="60"/>
        <v>0.96312045999999996</v>
      </c>
      <c r="W84" s="106">
        <f t="shared" si="52"/>
        <v>0</v>
      </c>
      <c r="X84" s="106"/>
      <c r="Y84" s="106">
        <f t="shared" si="62"/>
        <v>1.4</v>
      </c>
      <c r="Z84" s="106"/>
      <c r="AA84" s="106"/>
      <c r="AB84" s="106">
        <f t="shared" si="57"/>
        <v>0.96312045999999996</v>
      </c>
      <c r="AC84" s="106">
        <f t="shared" si="53"/>
        <v>0</v>
      </c>
      <c r="AD84" s="106"/>
      <c r="AE84" s="106"/>
      <c r="AF84" s="106"/>
      <c r="AG84" s="106"/>
      <c r="AH84" s="106"/>
      <c r="AI84" s="108" t="e">
        <f t="shared" si="59"/>
        <v>#DIV/0!</v>
      </c>
      <c r="AJ84" s="109"/>
    </row>
    <row r="85" spans="1:36" s="43" customFormat="1" x14ac:dyDescent="0.25">
      <c r="A85" s="99" t="s">
        <v>80</v>
      </c>
      <c r="B85" s="37">
        <v>83715385.530000001</v>
      </c>
      <c r="C85" s="37">
        <v>0</v>
      </c>
      <c r="D85" s="37">
        <v>64860200</v>
      </c>
      <c r="E85" s="300">
        <f>F85+G85+H85+I85-E86</f>
        <v>18855185.530000001</v>
      </c>
      <c r="F85" s="37">
        <v>17331102.100000001</v>
      </c>
      <c r="G85" s="37">
        <v>1524083.43</v>
      </c>
      <c r="H85" s="37">
        <v>0</v>
      </c>
      <c r="I85" s="37">
        <v>0</v>
      </c>
      <c r="J85" s="37">
        <v>39687535.259999998</v>
      </c>
      <c r="K85" s="37">
        <v>0</v>
      </c>
      <c r="L85" s="37">
        <v>37793473.859999999</v>
      </c>
      <c r="M85" s="300">
        <f>N85+O85+P85+Q85-M86</f>
        <v>1894061.4000000001</v>
      </c>
      <c r="N85" s="37">
        <v>1499617.6</v>
      </c>
      <c r="O85" s="37">
        <v>394443.8</v>
      </c>
      <c r="P85" s="37">
        <v>0</v>
      </c>
      <c r="Q85" s="37">
        <v>0</v>
      </c>
      <c r="R85" s="39">
        <f t="shared" si="50"/>
        <v>83.715385530000006</v>
      </c>
      <c r="S85" s="39">
        <f t="shared" si="64"/>
        <v>64.860200000000006</v>
      </c>
      <c r="T85" s="39">
        <f>E85/1000000</f>
        <v>18.85518553</v>
      </c>
      <c r="U85" s="39">
        <f>F85/1000000</f>
        <v>17.331102100000003</v>
      </c>
      <c r="V85" s="39">
        <f t="shared" si="60"/>
        <v>1.5240834299999999</v>
      </c>
      <c r="W85" s="39">
        <f t="shared" si="52"/>
        <v>0</v>
      </c>
      <c r="X85" s="39">
        <f t="shared" si="54"/>
        <v>39.687535259999997</v>
      </c>
      <c r="Y85" s="39">
        <f>L85/1000000</f>
        <v>37.793473859999999</v>
      </c>
      <c r="Z85" s="39">
        <f>M85/1000000</f>
        <v>1.8940614000000002</v>
      </c>
      <c r="AA85" s="39">
        <f>N85/1000000</f>
        <v>1.4996176000000001</v>
      </c>
      <c r="AB85" s="39">
        <f t="shared" si="57"/>
        <v>0.39444380000000001</v>
      </c>
      <c r="AC85" s="39">
        <f>(P85+Q85)/1000000</f>
        <v>0</v>
      </c>
      <c r="AD85" s="39">
        <f>X85/R85%</f>
        <v>47.407695740441504</v>
      </c>
      <c r="AE85" s="39">
        <f t="shared" si="58"/>
        <v>58.26912938905523</v>
      </c>
      <c r="AF85" s="39">
        <f>Z85/T85%</f>
        <v>10.045307679345864</v>
      </c>
      <c r="AG85" s="39">
        <f>AA85/U85%</f>
        <v>8.652753825736216</v>
      </c>
      <c r="AH85" s="39">
        <f>AB85/V85%</f>
        <v>25.880722290905034</v>
      </c>
      <c r="AI85" s="40"/>
      <c r="AJ85" s="41"/>
    </row>
    <row r="86" spans="1:36" hidden="1" x14ac:dyDescent="0.25">
      <c r="A86" s="100" t="s">
        <v>61</v>
      </c>
      <c r="B86" s="117"/>
      <c r="C86" s="117"/>
      <c r="D86" s="117"/>
      <c r="E86" s="187">
        <f>F86+G86+H86+I86</f>
        <v>0</v>
      </c>
      <c r="F86" s="117"/>
      <c r="G86" s="117"/>
      <c r="H86" s="117"/>
      <c r="I86" s="117"/>
      <c r="J86" s="117"/>
      <c r="K86" s="117"/>
      <c r="L86" s="117"/>
      <c r="M86" s="187">
        <f>N86+O86+P86+Q86</f>
        <v>0</v>
      </c>
      <c r="N86" s="117"/>
      <c r="O86" s="117"/>
      <c r="P86" s="117"/>
      <c r="Q86" s="117"/>
      <c r="R86" s="32"/>
      <c r="S86" s="32">
        <f t="shared" si="64"/>
        <v>0</v>
      </c>
      <c r="T86" s="32"/>
      <c r="U86" s="32"/>
      <c r="V86" s="32">
        <f t="shared" si="60"/>
        <v>0</v>
      </c>
      <c r="W86" s="32"/>
      <c r="X86" s="32"/>
      <c r="Y86" s="32">
        <f t="shared" ref="Y86:Y133" si="65">L86/1000000</f>
        <v>0</v>
      </c>
      <c r="Z86" s="32"/>
      <c r="AA86" s="32"/>
      <c r="AB86" s="32">
        <f t="shared" si="57"/>
        <v>0</v>
      </c>
      <c r="AC86" s="32"/>
      <c r="AD86" s="32"/>
      <c r="AE86" s="32"/>
      <c r="AF86" s="39"/>
      <c r="AG86" s="39"/>
      <c r="AH86" s="32" t="e">
        <f t="shared" ref="AH86:AI105" si="66">AB86/V86%</f>
        <v>#DIV/0!</v>
      </c>
      <c r="AI86" s="40"/>
      <c r="AJ86" s="41"/>
    </row>
    <row r="87" spans="1:36" s="43" customFormat="1" x14ac:dyDescent="0.25">
      <c r="A87" s="99" t="s">
        <v>294</v>
      </c>
      <c r="B87" s="37">
        <v>24880248868.66</v>
      </c>
      <c r="C87" s="37">
        <v>12717617195.120001</v>
      </c>
      <c r="D87" s="37">
        <v>17712767866.860001</v>
      </c>
      <c r="E87" s="303">
        <f>F87+G87+H87+I87-E88</f>
        <v>19884479196.919998</v>
      </c>
      <c r="F87" s="37">
        <v>10659859823.459999</v>
      </c>
      <c r="G87" s="37">
        <v>9223167625.5200005</v>
      </c>
      <c r="H87" s="37">
        <v>1345600</v>
      </c>
      <c r="I87" s="37">
        <v>725147.94</v>
      </c>
      <c r="J87" s="37">
        <v>18108895637.290001</v>
      </c>
      <c r="K87" s="37">
        <v>9473847216.1100006</v>
      </c>
      <c r="L87" s="37">
        <v>12960030161.17</v>
      </c>
      <c r="M87" s="300">
        <f>N87+O87+P87+Q87-M88</f>
        <v>14622143692.23</v>
      </c>
      <c r="N87" s="37">
        <v>7764850418.6700001</v>
      </c>
      <c r="O87" s="37">
        <v>6856534664.9099998</v>
      </c>
      <c r="P87" s="37">
        <v>868328.88</v>
      </c>
      <c r="Q87" s="37">
        <v>459279.77</v>
      </c>
      <c r="R87" s="39">
        <f t="shared" si="50"/>
        <v>24880.248868660001</v>
      </c>
      <c r="S87" s="39">
        <f t="shared" si="64"/>
        <v>17712.767866860002</v>
      </c>
      <c r="T87" s="39">
        <f>E87/1000000</f>
        <v>19884.479196919998</v>
      </c>
      <c r="U87" s="39">
        <f>F87/1000000</f>
        <v>10659.859823459999</v>
      </c>
      <c r="V87" s="39">
        <f t="shared" si="60"/>
        <v>9223.16762552</v>
      </c>
      <c r="W87" s="39">
        <f t="shared" si="52"/>
        <v>2.07074794</v>
      </c>
      <c r="X87" s="39">
        <f t="shared" si="54"/>
        <v>18108.895637289999</v>
      </c>
      <c r="Y87" s="39">
        <f t="shared" si="65"/>
        <v>12960.03016117</v>
      </c>
      <c r="Z87" s="39">
        <f>M87/1000000</f>
        <v>14622.14369223</v>
      </c>
      <c r="AA87" s="39">
        <f>N87/1000000</f>
        <v>7764.8504186700002</v>
      </c>
      <c r="AB87" s="39">
        <f t="shared" si="57"/>
        <v>6856.5346649100002</v>
      </c>
      <c r="AC87" s="39">
        <f>(P87+Q87)/1000000</f>
        <v>1.3276086499999999</v>
      </c>
      <c r="AD87" s="39">
        <f t="shared" ref="AD87:AD123" si="67">X87/R87%</f>
        <v>72.784222267569731</v>
      </c>
      <c r="AE87" s="39">
        <f t="shared" si="58"/>
        <v>73.167729959459265</v>
      </c>
      <c r="AF87" s="39">
        <f>Z87/T87%</f>
        <v>73.535462243813228</v>
      </c>
      <c r="AG87" s="39">
        <f>AA87/U87%</f>
        <v>72.841956153881853</v>
      </c>
      <c r="AH87" s="39">
        <f t="shared" si="66"/>
        <v>74.340345348796916</v>
      </c>
      <c r="AI87" s="40">
        <f>AC87/W87%</f>
        <v>64.112518204412652</v>
      </c>
      <c r="AJ87" s="41"/>
    </row>
    <row r="88" spans="1:36" hidden="1" x14ac:dyDescent="0.25">
      <c r="A88" s="100" t="s">
        <v>61</v>
      </c>
      <c r="B88" s="117">
        <v>103966465.86</v>
      </c>
      <c r="C88" s="117">
        <v>12717617195.119999</v>
      </c>
      <c r="D88" s="117">
        <v>12820964660.98</v>
      </c>
      <c r="E88" s="187">
        <f>F88+G88+H88+I88</f>
        <v>619000</v>
      </c>
      <c r="F88" s="117">
        <v>0</v>
      </c>
      <c r="G88" s="117">
        <v>619000</v>
      </c>
      <c r="H88" s="117">
        <v>0</v>
      </c>
      <c r="I88" s="117">
        <v>0</v>
      </c>
      <c r="J88" s="117">
        <v>0</v>
      </c>
      <c r="K88" s="117">
        <v>9473847216.1100006</v>
      </c>
      <c r="L88" s="117">
        <v>9473278216.1100006</v>
      </c>
      <c r="M88" s="187">
        <f>N88+O88+P88+Q88</f>
        <v>569000</v>
      </c>
      <c r="N88" s="117">
        <v>0</v>
      </c>
      <c r="O88" s="117">
        <v>569000</v>
      </c>
      <c r="P88" s="117">
        <v>0</v>
      </c>
      <c r="Q88" s="117">
        <v>0</v>
      </c>
      <c r="R88" s="32">
        <f t="shared" si="50"/>
        <v>103.96646586</v>
      </c>
      <c r="S88" s="32">
        <f t="shared" si="64"/>
        <v>12820.96466098</v>
      </c>
      <c r="T88" s="39"/>
      <c r="U88" s="32"/>
      <c r="V88" s="32">
        <f t="shared" si="60"/>
        <v>0.61899999999999999</v>
      </c>
      <c r="W88" s="32">
        <f t="shared" si="52"/>
        <v>0</v>
      </c>
      <c r="X88" s="32">
        <f t="shared" si="54"/>
        <v>0</v>
      </c>
      <c r="Y88" s="32">
        <f t="shared" si="65"/>
        <v>9473.2782161100004</v>
      </c>
      <c r="Z88" s="32"/>
      <c r="AA88" s="32"/>
      <c r="AB88" s="32">
        <f t="shared" si="57"/>
        <v>0.56899999999999995</v>
      </c>
      <c r="AC88" s="32">
        <f t="shared" ref="AC88:AC104" si="68">(P88+Q88)/1000000</f>
        <v>0</v>
      </c>
      <c r="AD88" s="32">
        <f t="shared" si="67"/>
        <v>0</v>
      </c>
      <c r="AE88" s="32">
        <f t="shared" si="58"/>
        <v>73.888965975715351</v>
      </c>
      <c r="AF88" s="32"/>
      <c r="AG88" s="32"/>
      <c r="AH88" s="32">
        <f t="shared" si="66"/>
        <v>91.922455573505644</v>
      </c>
      <c r="AI88" s="40"/>
      <c r="AJ88" s="41"/>
    </row>
    <row r="89" spans="1:36" x14ac:dyDescent="0.25">
      <c r="A89" s="100" t="s">
        <v>287</v>
      </c>
      <c r="B89" s="117">
        <v>7031403048.1899996</v>
      </c>
      <c r="C89" s="117">
        <v>209823663.22999999</v>
      </c>
      <c r="D89" s="117">
        <v>209823703.22999999</v>
      </c>
      <c r="E89" s="304">
        <f>F89+G89+H89+I89-E90</f>
        <v>7031403008.1900005</v>
      </c>
      <c r="F89" s="117">
        <v>4583148970.3500004</v>
      </c>
      <c r="G89" s="117">
        <v>2448254037.8400002</v>
      </c>
      <c r="H89" s="117">
        <v>0</v>
      </c>
      <c r="I89" s="117">
        <v>0</v>
      </c>
      <c r="J89" s="117">
        <v>5110318607.3800001</v>
      </c>
      <c r="K89" s="117">
        <v>176965581.25999999</v>
      </c>
      <c r="L89" s="117">
        <v>176965581.25999999</v>
      </c>
      <c r="M89" s="304">
        <f>N89+O89+P89+Q89-M90</f>
        <v>5110318607.3800001</v>
      </c>
      <c r="N89" s="117">
        <v>3317775926.4699998</v>
      </c>
      <c r="O89" s="117">
        <v>1792542680.9100001</v>
      </c>
      <c r="P89" s="117">
        <v>0</v>
      </c>
      <c r="Q89" s="117">
        <v>0</v>
      </c>
      <c r="R89" s="32">
        <f t="shared" ref="R89:R102" si="69">B89/1000000</f>
        <v>7031.4030481899999</v>
      </c>
      <c r="S89" s="32">
        <f t="shared" ref="S89:S102" si="70">D89/1000000</f>
        <v>209.82370322999998</v>
      </c>
      <c r="T89" s="32">
        <f>E89/1000000</f>
        <v>7031.4030081900009</v>
      </c>
      <c r="U89" s="32">
        <f>F89/1000000</f>
        <v>4583.1489703500001</v>
      </c>
      <c r="V89" s="32">
        <f t="shared" ref="V89:V102" si="71">G89/1000000</f>
        <v>2448.2540378400004</v>
      </c>
      <c r="W89" s="32">
        <f>(H89+I89)/1000000</f>
        <v>0</v>
      </c>
      <c r="X89" s="32">
        <f t="shared" ref="X89:X102" si="72">J89/1000000</f>
        <v>5110.3186073799998</v>
      </c>
      <c r="Y89" s="32">
        <f t="shared" ref="Y89:Y102" si="73">L89/1000000</f>
        <v>176.96558125999999</v>
      </c>
      <c r="Z89" s="32">
        <f>M89/1000000</f>
        <v>5110.3186073799998</v>
      </c>
      <c r="AA89" s="32">
        <f>N89/1000000</f>
        <v>3317.7759264699998</v>
      </c>
      <c r="AB89" s="32">
        <f t="shared" ref="AB89:AB102" si="74">O89/1000000</f>
        <v>1792.5426809100002</v>
      </c>
      <c r="AC89" s="32">
        <f>(P89+Q89)/1000000</f>
        <v>0</v>
      </c>
      <c r="AD89" s="32">
        <f t="shared" ref="AD89:AD102" si="75">X89/R89%</f>
        <v>72.678504878133538</v>
      </c>
      <c r="AE89" s="32">
        <f t="shared" ref="AE89:AE102" si="76">Y89/S89%</f>
        <v>84.340128658399337</v>
      </c>
      <c r="AF89" s="32">
        <f>Z89/T89%</f>
        <v>72.678505291584472</v>
      </c>
      <c r="AG89" s="32">
        <f>AA89/U89%</f>
        <v>72.39075028836848</v>
      </c>
      <c r="AH89" s="32">
        <f t="shared" ref="AH89:AH102" si="77">AB89/V89%</f>
        <v>73.217184704063271</v>
      </c>
      <c r="AI89" s="53" t="s">
        <v>30</v>
      </c>
      <c r="AJ89" s="41"/>
    </row>
    <row r="90" spans="1:36" s="110" customFormat="1" hidden="1" x14ac:dyDescent="0.25">
      <c r="A90" s="103" t="s">
        <v>61</v>
      </c>
      <c r="B90" s="289">
        <v>40</v>
      </c>
      <c r="C90" s="289">
        <v>209823663.22999999</v>
      </c>
      <c r="D90" s="289">
        <v>209823703.22999999</v>
      </c>
      <c r="E90" s="105">
        <f>F90+G90+H90+I90</f>
        <v>0</v>
      </c>
      <c r="F90" s="289">
        <v>0</v>
      </c>
      <c r="G90" s="289">
        <v>0</v>
      </c>
      <c r="H90" s="289">
        <v>0</v>
      </c>
      <c r="I90" s="289">
        <v>0</v>
      </c>
      <c r="J90" s="289">
        <v>0</v>
      </c>
      <c r="K90" s="289">
        <v>176965581.25999999</v>
      </c>
      <c r="L90" s="289">
        <v>176965581.25999999</v>
      </c>
      <c r="M90" s="105">
        <f>N90+O90+P90+Q90</f>
        <v>0</v>
      </c>
      <c r="N90" s="289">
        <v>0</v>
      </c>
      <c r="O90" s="289">
        <v>0</v>
      </c>
      <c r="P90" s="289">
        <v>0</v>
      </c>
      <c r="Q90" s="289">
        <v>0</v>
      </c>
      <c r="R90" s="106">
        <f t="shared" si="69"/>
        <v>4.0000000000000003E-5</v>
      </c>
      <c r="S90" s="106">
        <f t="shared" si="70"/>
        <v>209.82370322999998</v>
      </c>
      <c r="T90" s="106"/>
      <c r="U90" s="106"/>
      <c r="V90" s="106">
        <f t="shared" si="71"/>
        <v>0</v>
      </c>
      <c r="W90" s="106">
        <f t="shared" ref="W90:W102" si="78">(H90+I90)/1000000</f>
        <v>0</v>
      </c>
      <c r="X90" s="106">
        <f t="shared" si="72"/>
        <v>0</v>
      </c>
      <c r="Y90" s="106">
        <f t="shared" si="73"/>
        <v>176.96558125999999</v>
      </c>
      <c r="Z90" s="106"/>
      <c r="AA90" s="106"/>
      <c r="AB90" s="106">
        <f t="shared" si="74"/>
        <v>0</v>
      </c>
      <c r="AC90" s="106">
        <f t="shared" ref="AC90" si="79">(P90+Q90)/1000000</f>
        <v>0</v>
      </c>
      <c r="AD90" s="106">
        <f t="shared" si="75"/>
        <v>0</v>
      </c>
      <c r="AE90" s="106">
        <f t="shared" si="76"/>
        <v>84.340128658399337</v>
      </c>
      <c r="AF90" s="106"/>
      <c r="AG90" s="106"/>
      <c r="AH90" s="106" t="e">
        <f t="shared" si="77"/>
        <v>#DIV/0!</v>
      </c>
      <c r="AI90" s="294"/>
      <c r="AJ90" s="293"/>
    </row>
    <row r="91" spans="1:36" x14ac:dyDescent="0.25">
      <c r="A91" s="100" t="s">
        <v>288</v>
      </c>
      <c r="B91" s="117">
        <v>13998465579.440001</v>
      </c>
      <c r="C91" s="117">
        <v>11964187740.75</v>
      </c>
      <c r="D91" s="117">
        <v>13924274195.68</v>
      </c>
      <c r="E91" s="304">
        <f>F91+G91+H91+I91-E92</f>
        <v>12038379124.51</v>
      </c>
      <c r="F91" s="117">
        <v>5540020282.2200003</v>
      </c>
      <c r="G91" s="117">
        <v>6498358842.29</v>
      </c>
      <c r="H91" s="117">
        <v>0</v>
      </c>
      <c r="I91" s="117">
        <v>0</v>
      </c>
      <c r="J91" s="117">
        <v>10192314686.83</v>
      </c>
      <c r="K91" s="117">
        <v>8785432396.5900002</v>
      </c>
      <c r="L91" s="117">
        <v>10088906415.76</v>
      </c>
      <c r="M91" s="304">
        <f>N91+O91+P91+Q91-M92</f>
        <v>8888840667.6599998</v>
      </c>
      <c r="N91" s="117">
        <v>4043586273.27</v>
      </c>
      <c r="O91" s="117">
        <v>4845254394.3900003</v>
      </c>
      <c r="P91" s="117">
        <v>0</v>
      </c>
      <c r="Q91" s="117">
        <v>0</v>
      </c>
      <c r="R91" s="32">
        <f t="shared" si="69"/>
        <v>13998.465579440001</v>
      </c>
      <c r="S91" s="32">
        <f t="shared" si="70"/>
        <v>13924.27419568</v>
      </c>
      <c r="T91" s="32">
        <f>E91/1000000</f>
        <v>12038.37912451</v>
      </c>
      <c r="U91" s="32">
        <f>F91/1000000</f>
        <v>5540.0202822199999</v>
      </c>
      <c r="V91" s="32">
        <f t="shared" si="71"/>
        <v>6498.3588422900002</v>
      </c>
      <c r="W91" s="32">
        <f t="shared" si="78"/>
        <v>0</v>
      </c>
      <c r="X91" s="32">
        <f t="shared" si="72"/>
        <v>10192.314686829999</v>
      </c>
      <c r="Y91" s="32">
        <f t="shared" si="73"/>
        <v>10088.906415760001</v>
      </c>
      <c r="Z91" s="32">
        <f>M91/1000000</f>
        <v>8888.8406676600007</v>
      </c>
      <c r="AA91" s="32">
        <f>N91/1000000</f>
        <v>4043.5862732699998</v>
      </c>
      <c r="AB91" s="32">
        <f t="shared" si="74"/>
        <v>4845.25439439</v>
      </c>
      <c r="AC91" s="32">
        <f>(P91+Q91)/1000000</f>
        <v>0</v>
      </c>
      <c r="AD91" s="32">
        <f t="shared" si="75"/>
        <v>72.810227870973108</v>
      </c>
      <c r="AE91" s="32">
        <f t="shared" si="76"/>
        <v>72.455528194712514</v>
      </c>
      <c r="AF91" s="32">
        <f>Z91/T91%</f>
        <v>73.837520614070243</v>
      </c>
      <c r="AG91" s="32">
        <f>AA91/U91%</f>
        <v>72.988654685026745</v>
      </c>
      <c r="AH91" s="32">
        <f t="shared" si="77"/>
        <v>74.561200942891432</v>
      </c>
      <c r="AI91" s="53" t="s">
        <v>30</v>
      </c>
      <c r="AJ91" s="41"/>
    </row>
    <row r="92" spans="1:36" s="110" customFormat="1" hidden="1" x14ac:dyDescent="0.25">
      <c r="A92" s="103" t="s">
        <v>61</v>
      </c>
      <c r="B92" s="289">
        <v>19298026.5</v>
      </c>
      <c r="C92" s="289">
        <v>11964187740.75</v>
      </c>
      <c r="D92" s="289">
        <v>11983485767.25</v>
      </c>
      <c r="E92" s="105">
        <f>F92+G92+H92+I92</f>
        <v>0</v>
      </c>
      <c r="F92" s="289">
        <v>0</v>
      </c>
      <c r="G92" s="289">
        <v>0</v>
      </c>
      <c r="H92" s="289">
        <v>0</v>
      </c>
      <c r="I92" s="289">
        <v>0</v>
      </c>
      <c r="J92" s="289">
        <v>0</v>
      </c>
      <c r="K92" s="289">
        <v>8785432396.5900002</v>
      </c>
      <c r="L92" s="289">
        <v>8785432396.5900002</v>
      </c>
      <c r="M92" s="105">
        <f>N92+O92+P92+Q92</f>
        <v>0</v>
      </c>
      <c r="N92" s="289">
        <v>0</v>
      </c>
      <c r="O92" s="289">
        <v>0</v>
      </c>
      <c r="P92" s="289">
        <v>0</v>
      </c>
      <c r="Q92" s="289">
        <v>0</v>
      </c>
      <c r="R92" s="106">
        <f t="shared" si="69"/>
        <v>19.298026499999999</v>
      </c>
      <c r="S92" s="106">
        <f t="shared" si="70"/>
        <v>11983.48576725</v>
      </c>
      <c r="T92" s="106"/>
      <c r="U92" s="106"/>
      <c r="V92" s="106">
        <f t="shared" si="71"/>
        <v>0</v>
      </c>
      <c r="W92" s="106">
        <f t="shared" si="78"/>
        <v>0</v>
      </c>
      <c r="X92" s="106">
        <f t="shared" si="72"/>
        <v>0</v>
      </c>
      <c r="Y92" s="106">
        <f t="shared" si="73"/>
        <v>8785.4323965900003</v>
      </c>
      <c r="Z92" s="106"/>
      <c r="AA92" s="106"/>
      <c r="AB92" s="106">
        <f t="shared" si="74"/>
        <v>0</v>
      </c>
      <c r="AC92" s="106">
        <f t="shared" ref="AC92" si="80">(P92+Q92)/1000000</f>
        <v>0</v>
      </c>
      <c r="AD92" s="106">
        <f t="shared" si="75"/>
        <v>0</v>
      </c>
      <c r="AE92" s="106">
        <f t="shared" si="76"/>
        <v>73.312828731352539</v>
      </c>
      <c r="AF92" s="106"/>
      <c r="AG92" s="106"/>
      <c r="AH92" s="106" t="e">
        <f t="shared" si="77"/>
        <v>#DIV/0!</v>
      </c>
      <c r="AI92" s="108"/>
      <c r="AJ92" s="293"/>
    </row>
    <row r="93" spans="1:36" x14ac:dyDescent="0.25">
      <c r="A93" s="100" t="s">
        <v>289</v>
      </c>
      <c r="B93" s="117">
        <v>2204659212.1500001</v>
      </c>
      <c r="C93" s="117">
        <v>0</v>
      </c>
      <c r="D93" s="117">
        <v>2204659212.1500001</v>
      </c>
      <c r="E93" s="304">
        <f>F93+G93+H93+I93-E94</f>
        <v>0</v>
      </c>
      <c r="F93" s="117">
        <v>0</v>
      </c>
      <c r="G93" s="117">
        <v>0</v>
      </c>
      <c r="H93" s="117">
        <v>0</v>
      </c>
      <c r="I93" s="117">
        <v>0</v>
      </c>
      <c r="J93" s="117">
        <v>1616486797.9400001</v>
      </c>
      <c r="K93" s="117">
        <v>0</v>
      </c>
      <c r="L93" s="117">
        <v>1616486797.9400001</v>
      </c>
      <c r="M93" s="304">
        <f>N93+O93+P93+Q93-M94</f>
        <v>0</v>
      </c>
      <c r="N93" s="117">
        <v>0</v>
      </c>
      <c r="O93" s="117">
        <v>0</v>
      </c>
      <c r="P93" s="117">
        <v>0</v>
      </c>
      <c r="Q93" s="117">
        <v>0</v>
      </c>
      <c r="R93" s="32">
        <f t="shared" si="69"/>
        <v>2204.6592121500003</v>
      </c>
      <c r="S93" s="32">
        <f t="shared" si="70"/>
        <v>2204.6592121500003</v>
      </c>
      <c r="T93" s="32">
        <f>E93/1000000</f>
        <v>0</v>
      </c>
      <c r="U93" s="32">
        <f>F93/1000000</f>
        <v>0</v>
      </c>
      <c r="V93" s="32">
        <f t="shared" si="71"/>
        <v>0</v>
      </c>
      <c r="W93" s="32">
        <f t="shared" si="78"/>
        <v>0</v>
      </c>
      <c r="X93" s="32">
        <f t="shared" si="72"/>
        <v>1616.4867979400001</v>
      </c>
      <c r="Y93" s="32">
        <f t="shared" si="73"/>
        <v>1616.4867979400001</v>
      </c>
      <c r="Z93" s="32">
        <f>M93/1000000</f>
        <v>0</v>
      </c>
      <c r="AA93" s="32">
        <f>N93/1000000</f>
        <v>0</v>
      </c>
      <c r="AB93" s="32">
        <f t="shared" si="74"/>
        <v>0</v>
      </c>
      <c r="AC93" s="32">
        <f>(P93+Q93)/1000000</f>
        <v>0</v>
      </c>
      <c r="AD93" s="32">
        <f t="shared" si="75"/>
        <v>73.321390854035442</v>
      </c>
      <c r="AE93" s="32">
        <f t="shared" si="76"/>
        <v>73.321390854035442</v>
      </c>
      <c r="AF93" s="58" t="s">
        <v>30</v>
      </c>
      <c r="AG93" s="58" t="s">
        <v>30</v>
      </c>
      <c r="AH93" s="58" t="s">
        <v>30</v>
      </c>
      <c r="AI93" s="34" t="s">
        <v>30</v>
      </c>
      <c r="AJ93" s="41"/>
    </row>
    <row r="94" spans="1:36" s="110" customFormat="1" hidden="1" x14ac:dyDescent="0.25">
      <c r="A94" s="103" t="s">
        <v>61</v>
      </c>
      <c r="B94" s="289"/>
      <c r="C94" s="289"/>
      <c r="D94" s="289"/>
      <c r="E94" s="105">
        <f>F94+G94+H94+I94</f>
        <v>0</v>
      </c>
      <c r="F94" s="289"/>
      <c r="G94" s="289"/>
      <c r="H94" s="289"/>
      <c r="I94" s="289"/>
      <c r="J94" s="289"/>
      <c r="K94" s="289"/>
      <c r="L94" s="289"/>
      <c r="M94" s="105">
        <f>N94+O94+P94+Q94</f>
        <v>0</v>
      </c>
      <c r="N94" s="289"/>
      <c r="O94" s="289"/>
      <c r="P94" s="289"/>
      <c r="Q94" s="289"/>
      <c r="R94" s="106">
        <f t="shared" si="69"/>
        <v>0</v>
      </c>
      <c r="S94" s="106">
        <f t="shared" si="70"/>
        <v>0</v>
      </c>
      <c r="T94" s="106"/>
      <c r="U94" s="106"/>
      <c r="V94" s="106">
        <f t="shared" si="71"/>
        <v>0</v>
      </c>
      <c r="W94" s="106">
        <f t="shared" si="78"/>
        <v>0</v>
      </c>
      <c r="X94" s="106">
        <f t="shared" si="72"/>
        <v>0</v>
      </c>
      <c r="Y94" s="106">
        <f t="shared" si="73"/>
        <v>0</v>
      </c>
      <c r="Z94" s="106"/>
      <c r="AA94" s="106"/>
      <c r="AB94" s="106">
        <f t="shared" si="74"/>
        <v>0</v>
      </c>
      <c r="AC94" s="106">
        <f t="shared" ref="AC94" si="81">(P94+Q94)/1000000</f>
        <v>0</v>
      </c>
      <c r="AD94" s="106" t="e">
        <f t="shared" si="75"/>
        <v>#DIV/0!</v>
      </c>
      <c r="AE94" s="106" t="e">
        <f t="shared" si="76"/>
        <v>#DIV/0!</v>
      </c>
      <c r="AF94" s="106"/>
      <c r="AG94" s="106"/>
      <c r="AH94" s="106" t="e">
        <f t="shared" si="77"/>
        <v>#DIV/0!</v>
      </c>
      <c r="AI94" s="108"/>
      <c r="AJ94" s="293"/>
    </row>
    <row r="95" spans="1:36" ht="26.4" hidden="1" x14ac:dyDescent="0.25">
      <c r="A95" s="100" t="s">
        <v>290</v>
      </c>
      <c r="B95" s="117">
        <v>113790240</v>
      </c>
      <c r="C95" s="117">
        <v>0</v>
      </c>
      <c r="D95" s="117">
        <v>110686900</v>
      </c>
      <c r="E95" s="304">
        <f>F95+G95+H95+I95-E96</f>
        <v>3103340</v>
      </c>
      <c r="F95" s="117">
        <v>0</v>
      </c>
      <c r="G95" s="117">
        <v>3103340</v>
      </c>
      <c r="H95" s="117">
        <v>0</v>
      </c>
      <c r="I95" s="117">
        <v>0</v>
      </c>
      <c r="J95" s="117">
        <v>85217957.469999999</v>
      </c>
      <c r="K95" s="117">
        <v>0</v>
      </c>
      <c r="L95" s="117">
        <v>83108900</v>
      </c>
      <c r="M95" s="304">
        <f>N95+O95+P95+Q95-M96</f>
        <v>2109057.4700000002</v>
      </c>
      <c r="N95" s="117">
        <v>0</v>
      </c>
      <c r="O95" s="117">
        <v>2109057.4700000002</v>
      </c>
      <c r="P95" s="117">
        <v>0</v>
      </c>
      <c r="Q95" s="117">
        <v>0</v>
      </c>
      <c r="R95" s="32">
        <f t="shared" si="69"/>
        <v>113.79024</v>
      </c>
      <c r="S95" s="32">
        <f t="shared" si="70"/>
        <v>110.68689999999999</v>
      </c>
      <c r="T95" s="32">
        <f>E95/1000000</f>
        <v>3.1033400000000002</v>
      </c>
      <c r="U95" s="32">
        <f>F95/1000000</f>
        <v>0</v>
      </c>
      <c r="V95" s="32">
        <f t="shared" si="71"/>
        <v>3.1033400000000002</v>
      </c>
      <c r="W95" s="32">
        <f t="shared" si="78"/>
        <v>0</v>
      </c>
      <c r="X95" s="32">
        <f t="shared" si="72"/>
        <v>85.217957470000002</v>
      </c>
      <c r="Y95" s="32">
        <f t="shared" si="73"/>
        <v>83.108900000000006</v>
      </c>
      <c r="Z95" s="32">
        <f>M95/1000000</f>
        <v>2.1090574700000002</v>
      </c>
      <c r="AA95" s="32">
        <f>N95/1000000</f>
        <v>0</v>
      </c>
      <c r="AB95" s="32">
        <f t="shared" si="74"/>
        <v>2.1090574700000002</v>
      </c>
      <c r="AC95" s="32">
        <f>(P95+Q95)/1000000</f>
        <v>0</v>
      </c>
      <c r="AD95" s="32">
        <f t="shared" si="75"/>
        <v>74.89039259430335</v>
      </c>
      <c r="AE95" s="32">
        <f t="shared" si="76"/>
        <v>75.084675783674498</v>
      </c>
      <c r="AF95" s="32">
        <f>Z95/T95%</f>
        <v>67.960889557702345</v>
      </c>
      <c r="AG95" s="32" t="e">
        <f>AA95/U95%</f>
        <v>#DIV/0!</v>
      </c>
      <c r="AH95" s="32">
        <f t="shared" si="77"/>
        <v>67.960889557702345</v>
      </c>
      <c r="AI95" s="34" t="e">
        <f>AC95/W95%</f>
        <v>#DIV/0!</v>
      </c>
      <c r="AJ95" s="41"/>
    </row>
    <row r="96" spans="1:36" s="110" customFormat="1" hidden="1" x14ac:dyDescent="0.25">
      <c r="A96" s="103" t="s">
        <v>61</v>
      </c>
      <c r="B96" s="289"/>
      <c r="C96" s="289"/>
      <c r="D96" s="289"/>
      <c r="E96" s="105">
        <f>F96+G96+H96+I96</f>
        <v>0</v>
      </c>
      <c r="F96" s="289"/>
      <c r="G96" s="289"/>
      <c r="H96" s="289"/>
      <c r="I96" s="289"/>
      <c r="J96" s="289"/>
      <c r="K96" s="289"/>
      <c r="L96" s="289"/>
      <c r="M96" s="105">
        <f>N96+O96+P96+Q96</f>
        <v>0</v>
      </c>
      <c r="N96" s="289"/>
      <c r="O96" s="289"/>
      <c r="P96" s="289"/>
      <c r="Q96" s="289"/>
      <c r="R96" s="106">
        <f t="shared" si="69"/>
        <v>0</v>
      </c>
      <c r="S96" s="106">
        <f t="shared" si="70"/>
        <v>0</v>
      </c>
      <c r="T96" s="106"/>
      <c r="U96" s="106"/>
      <c r="V96" s="106">
        <f t="shared" si="71"/>
        <v>0</v>
      </c>
      <c r="W96" s="106">
        <f t="shared" si="78"/>
        <v>0</v>
      </c>
      <c r="X96" s="106">
        <f t="shared" si="72"/>
        <v>0</v>
      </c>
      <c r="Y96" s="106">
        <f t="shared" si="73"/>
        <v>0</v>
      </c>
      <c r="Z96" s="106"/>
      <c r="AA96" s="106"/>
      <c r="AB96" s="106">
        <f t="shared" si="74"/>
        <v>0</v>
      </c>
      <c r="AC96" s="106">
        <f t="shared" ref="AC96" si="82">(P96+Q96)/1000000</f>
        <v>0</v>
      </c>
      <c r="AD96" s="106" t="e">
        <f t="shared" si="75"/>
        <v>#DIV/0!</v>
      </c>
      <c r="AE96" s="106" t="e">
        <f t="shared" si="76"/>
        <v>#DIV/0!</v>
      </c>
      <c r="AF96" s="106"/>
      <c r="AG96" s="106"/>
      <c r="AH96" s="106" t="e">
        <f t="shared" si="77"/>
        <v>#DIV/0!</v>
      </c>
      <c r="AI96" s="108"/>
      <c r="AJ96" s="293"/>
    </row>
    <row r="97" spans="1:36" ht="26.4" x14ac:dyDescent="0.25">
      <c r="A97" s="100" t="s">
        <v>293</v>
      </c>
      <c r="B97" s="117">
        <v>621545538.24000001</v>
      </c>
      <c r="C97" s="117">
        <v>205868000</v>
      </c>
      <c r="D97" s="117">
        <v>522111923.06999999</v>
      </c>
      <c r="E97" s="304">
        <f>F97+G97+H97+I97-E98</f>
        <v>304682615.17000002</v>
      </c>
      <c r="F97" s="117">
        <v>209838651.25999999</v>
      </c>
      <c r="G97" s="117">
        <v>93468815.969999999</v>
      </c>
      <c r="H97" s="117">
        <v>1269000</v>
      </c>
      <c r="I97" s="117">
        <v>725147.94</v>
      </c>
      <c r="J97" s="117">
        <v>553818587.88999999</v>
      </c>
      <c r="K97" s="117">
        <v>181212274.88999999</v>
      </c>
      <c r="L97" s="117">
        <v>468253839.16000003</v>
      </c>
      <c r="M97" s="304">
        <f>N97+O97+P97+Q97-M98</f>
        <v>266208023.62000003</v>
      </c>
      <c r="N97" s="117">
        <v>179526959.24000001</v>
      </c>
      <c r="O97" s="117">
        <v>85982855.730000004</v>
      </c>
      <c r="P97" s="117">
        <v>807928.88</v>
      </c>
      <c r="Q97" s="117">
        <v>459279.77</v>
      </c>
      <c r="R97" s="32">
        <f t="shared" si="69"/>
        <v>621.54553824000004</v>
      </c>
      <c r="S97" s="32">
        <f t="shared" si="70"/>
        <v>522.11192306999999</v>
      </c>
      <c r="T97" s="32">
        <f>E97/1000000</f>
        <v>304.68261517000002</v>
      </c>
      <c r="U97" s="32">
        <f>F97/1000000</f>
        <v>209.83865125999998</v>
      </c>
      <c r="V97" s="32">
        <f t="shared" si="71"/>
        <v>93.468815969999994</v>
      </c>
      <c r="W97" s="32">
        <f t="shared" si="78"/>
        <v>1.99414794</v>
      </c>
      <c r="X97" s="32">
        <f t="shared" si="72"/>
        <v>553.81858789</v>
      </c>
      <c r="Y97" s="32">
        <f t="shared" si="73"/>
        <v>468.25383916000004</v>
      </c>
      <c r="Z97" s="32">
        <f>M97/1000000</f>
        <v>266.20802362000006</v>
      </c>
      <c r="AA97" s="32">
        <f>N97/1000000</f>
        <v>179.52695924</v>
      </c>
      <c r="AB97" s="32">
        <f t="shared" si="74"/>
        <v>85.982855729999997</v>
      </c>
      <c r="AC97" s="32">
        <f>(P97+Q97)/1000000</f>
        <v>1.2672086499999999</v>
      </c>
      <c r="AD97" s="32">
        <f t="shared" si="75"/>
        <v>89.103461261779941</v>
      </c>
      <c r="AE97" s="32">
        <f t="shared" si="76"/>
        <v>89.684571156062418</v>
      </c>
      <c r="AF97" s="32">
        <f>Z97/T97%</f>
        <v>87.372239296117115</v>
      </c>
      <c r="AG97" s="32">
        <f>AA97/U97%</f>
        <v>85.554762271874125</v>
      </c>
      <c r="AH97" s="32">
        <f t="shared" si="77"/>
        <v>91.990954242532922</v>
      </c>
      <c r="AI97" s="34">
        <f>AC97/W97%</f>
        <v>63.546371088195187</v>
      </c>
      <c r="AJ97" s="41"/>
    </row>
    <row r="98" spans="1:36" s="110" customFormat="1" hidden="1" x14ac:dyDescent="0.25">
      <c r="A98" s="103" t="s">
        <v>61</v>
      </c>
      <c r="B98" s="289">
        <v>0</v>
      </c>
      <c r="C98" s="289">
        <v>205868000</v>
      </c>
      <c r="D98" s="289">
        <v>205249000</v>
      </c>
      <c r="E98" s="105">
        <f>F98+G98+H98+I98</f>
        <v>619000</v>
      </c>
      <c r="F98" s="289">
        <v>0</v>
      </c>
      <c r="G98" s="289">
        <v>619000</v>
      </c>
      <c r="H98" s="289">
        <v>0</v>
      </c>
      <c r="I98" s="289">
        <v>0</v>
      </c>
      <c r="J98" s="289">
        <v>0</v>
      </c>
      <c r="K98" s="289">
        <v>181212274.88999999</v>
      </c>
      <c r="L98" s="289">
        <v>180643274.88999999</v>
      </c>
      <c r="M98" s="105">
        <f>N98+O98+P98+Q98</f>
        <v>569000</v>
      </c>
      <c r="N98" s="289">
        <v>0</v>
      </c>
      <c r="O98" s="289">
        <v>569000</v>
      </c>
      <c r="P98" s="289">
        <v>0</v>
      </c>
      <c r="Q98" s="289">
        <v>0</v>
      </c>
      <c r="R98" s="106">
        <f t="shared" si="69"/>
        <v>0</v>
      </c>
      <c r="S98" s="106">
        <f t="shared" si="70"/>
        <v>205.249</v>
      </c>
      <c r="T98" s="106"/>
      <c r="U98" s="106"/>
      <c r="V98" s="106">
        <f t="shared" si="71"/>
        <v>0.61899999999999999</v>
      </c>
      <c r="W98" s="106">
        <f t="shared" si="78"/>
        <v>0</v>
      </c>
      <c r="X98" s="106">
        <f t="shared" si="72"/>
        <v>0</v>
      </c>
      <c r="Y98" s="106">
        <f t="shared" si="73"/>
        <v>180.64327488999999</v>
      </c>
      <c r="Z98" s="106"/>
      <c r="AA98" s="106"/>
      <c r="AB98" s="106">
        <f t="shared" si="74"/>
        <v>0.56899999999999995</v>
      </c>
      <c r="AC98" s="106">
        <f t="shared" ref="AC98" si="83">(P98+Q98)/1000000</f>
        <v>0</v>
      </c>
      <c r="AD98" s="106" t="e">
        <f t="shared" si="75"/>
        <v>#DIV/0!</v>
      </c>
      <c r="AE98" s="106">
        <f t="shared" si="76"/>
        <v>88.011768578653232</v>
      </c>
      <c r="AF98" s="106"/>
      <c r="AG98" s="106"/>
      <c r="AH98" s="106">
        <f t="shared" si="77"/>
        <v>91.922455573505644</v>
      </c>
      <c r="AI98" s="108"/>
      <c r="AJ98" s="293"/>
    </row>
    <row r="99" spans="1:36" ht="26.4" hidden="1" x14ac:dyDescent="0.25">
      <c r="A99" s="100" t="s">
        <v>291</v>
      </c>
      <c r="B99" s="117">
        <v>4502786</v>
      </c>
      <c r="C99" s="117">
        <v>0</v>
      </c>
      <c r="D99" s="117">
        <v>4502786</v>
      </c>
      <c r="E99" s="304">
        <f>F99+G99+H99+I99-E100</f>
        <v>0</v>
      </c>
      <c r="F99" s="117">
        <v>0</v>
      </c>
      <c r="G99" s="117">
        <v>0</v>
      </c>
      <c r="H99" s="117">
        <v>0</v>
      </c>
      <c r="I99" s="117">
        <v>0</v>
      </c>
      <c r="J99" s="117">
        <v>3357713</v>
      </c>
      <c r="K99" s="117">
        <v>0</v>
      </c>
      <c r="L99" s="117">
        <v>3357713</v>
      </c>
      <c r="M99" s="304">
        <f>N99+O99+P99+Q99-M100</f>
        <v>0</v>
      </c>
      <c r="N99" s="117">
        <v>0</v>
      </c>
      <c r="O99" s="117">
        <v>0</v>
      </c>
      <c r="P99" s="117">
        <v>0</v>
      </c>
      <c r="Q99" s="117">
        <v>0</v>
      </c>
      <c r="R99" s="32">
        <f t="shared" si="69"/>
        <v>4.5027860000000004</v>
      </c>
      <c r="S99" s="32">
        <f t="shared" si="70"/>
        <v>4.5027860000000004</v>
      </c>
      <c r="T99" s="32">
        <f>E99/1000000</f>
        <v>0</v>
      </c>
      <c r="U99" s="32">
        <f>F99/1000000</f>
        <v>0</v>
      </c>
      <c r="V99" s="32">
        <f t="shared" si="71"/>
        <v>0</v>
      </c>
      <c r="W99" s="32">
        <f t="shared" si="78"/>
        <v>0</v>
      </c>
      <c r="X99" s="32">
        <f t="shared" si="72"/>
        <v>3.3577129999999999</v>
      </c>
      <c r="Y99" s="32">
        <f t="shared" si="73"/>
        <v>3.3577129999999999</v>
      </c>
      <c r="Z99" s="32">
        <f>M99/1000000</f>
        <v>0</v>
      </c>
      <c r="AA99" s="32">
        <f>N99/1000000</f>
        <v>0</v>
      </c>
      <c r="AB99" s="32">
        <f t="shared" si="74"/>
        <v>0</v>
      </c>
      <c r="AC99" s="32">
        <f>(P99+Q99)/1000000</f>
        <v>0</v>
      </c>
      <c r="AD99" s="32">
        <f t="shared" si="75"/>
        <v>74.569677528534555</v>
      </c>
      <c r="AE99" s="32">
        <f t="shared" si="76"/>
        <v>74.569677528534555</v>
      </c>
      <c r="AF99" s="32" t="e">
        <f>Z99/T99%</f>
        <v>#DIV/0!</v>
      </c>
      <c r="AG99" s="32" t="e">
        <f>AA99/U99%</f>
        <v>#DIV/0!</v>
      </c>
      <c r="AH99" s="32" t="e">
        <f t="shared" si="77"/>
        <v>#DIV/0!</v>
      </c>
      <c r="AI99" s="34" t="e">
        <f>AC99/W99%</f>
        <v>#DIV/0!</v>
      </c>
      <c r="AJ99" s="41"/>
    </row>
    <row r="100" spans="1:36" s="110" customFormat="1" hidden="1" x14ac:dyDescent="0.25">
      <c r="A100" s="103" t="s">
        <v>61</v>
      </c>
      <c r="B100" s="289"/>
      <c r="C100" s="289"/>
      <c r="D100" s="289"/>
      <c r="E100" s="105">
        <f>F100+G100+H100+I100</f>
        <v>0</v>
      </c>
      <c r="F100" s="289"/>
      <c r="G100" s="289"/>
      <c r="H100" s="289"/>
      <c r="I100" s="289"/>
      <c r="J100" s="289"/>
      <c r="K100" s="289"/>
      <c r="L100" s="289"/>
      <c r="M100" s="105">
        <f>N100+O100+P100+Q100</f>
        <v>0</v>
      </c>
      <c r="N100" s="289"/>
      <c r="O100" s="289"/>
      <c r="P100" s="289"/>
      <c r="Q100" s="289"/>
      <c r="R100" s="106">
        <f t="shared" si="69"/>
        <v>0</v>
      </c>
      <c r="S100" s="106">
        <f t="shared" si="70"/>
        <v>0</v>
      </c>
      <c r="T100" s="106"/>
      <c r="U100" s="106"/>
      <c r="V100" s="106">
        <f t="shared" si="71"/>
        <v>0</v>
      </c>
      <c r="W100" s="106">
        <f t="shared" si="78"/>
        <v>0</v>
      </c>
      <c r="X100" s="106">
        <f t="shared" si="72"/>
        <v>0</v>
      </c>
      <c r="Y100" s="106">
        <f t="shared" si="73"/>
        <v>0</v>
      </c>
      <c r="Z100" s="106"/>
      <c r="AA100" s="106"/>
      <c r="AB100" s="106">
        <f t="shared" si="74"/>
        <v>0</v>
      </c>
      <c r="AC100" s="106">
        <f t="shared" ref="AC100" si="84">(P100+Q100)/1000000</f>
        <v>0</v>
      </c>
      <c r="AD100" s="106" t="e">
        <f t="shared" si="75"/>
        <v>#DIV/0!</v>
      </c>
      <c r="AE100" s="106" t="e">
        <f t="shared" si="76"/>
        <v>#DIV/0!</v>
      </c>
      <c r="AF100" s="106"/>
      <c r="AG100" s="106"/>
      <c r="AH100" s="106" t="e">
        <f t="shared" si="77"/>
        <v>#DIV/0!</v>
      </c>
      <c r="AI100" s="108"/>
      <c r="AJ100" s="293"/>
    </row>
    <row r="101" spans="1:36" x14ac:dyDescent="0.25">
      <c r="A101" s="100" t="s">
        <v>292</v>
      </c>
      <c r="B101" s="117">
        <v>905882464.63999999</v>
      </c>
      <c r="C101" s="117">
        <v>337737791.13999999</v>
      </c>
      <c r="D101" s="117">
        <v>736709146.73000002</v>
      </c>
      <c r="E101" s="304">
        <f>F101+G101+H101+I101-E102</f>
        <v>506911109.04999995</v>
      </c>
      <c r="F101" s="117">
        <v>326851919.63</v>
      </c>
      <c r="G101" s="117">
        <v>179982589.41999999</v>
      </c>
      <c r="H101" s="117">
        <v>76600</v>
      </c>
      <c r="I101" s="117">
        <v>0</v>
      </c>
      <c r="J101" s="117">
        <v>547381286.77999997</v>
      </c>
      <c r="K101" s="117">
        <v>330236963.37</v>
      </c>
      <c r="L101" s="117">
        <v>522950914.05000001</v>
      </c>
      <c r="M101" s="304">
        <f>N101+O101+P101+Q101-M102</f>
        <v>354667336.10000002</v>
      </c>
      <c r="N101" s="117">
        <v>223961259.69</v>
      </c>
      <c r="O101" s="117">
        <v>130645676.41</v>
      </c>
      <c r="P101" s="117">
        <v>60400</v>
      </c>
      <c r="Q101" s="117">
        <v>0</v>
      </c>
      <c r="R101" s="32">
        <f t="shared" si="69"/>
        <v>905.88246463999997</v>
      </c>
      <c r="S101" s="32">
        <f t="shared" si="70"/>
        <v>736.70914673000004</v>
      </c>
      <c r="T101" s="32">
        <f>E101/1000000</f>
        <v>506.91110904999994</v>
      </c>
      <c r="U101" s="32">
        <f>F101/1000000</f>
        <v>326.85191963</v>
      </c>
      <c r="V101" s="32">
        <f t="shared" si="71"/>
        <v>179.98258941999998</v>
      </c>
      <c r="W101" s="32">
        <f t="shared" si="78"/>
        <v>7.6600000000000001E-2</v>
      </c>
      <c r="X101" s="32">
        <f t="shared" si="72"/>
        <v>547.38128677999998</v>
      </c>
      <c r="Y101" s="32">
        <f t="shared" si="73"/>
        <v>522.95091405000005</v>
      </c>
      <c r="Z101" s="32">
        <f>M101/1000000</f>
        <v>354.6673361</v>
      </c>
      <c r="AA101" s="32">
        <f>N101/1000000</f>
        <v>223.96125968999999</v>
      </c>
      <c r="AB101" s="32">
        <f t="shared" si="74"/>
        <v>130.64567640999999</v>
      </c>
      <c r="AC101" s="32">
        <f>(P101+Q101)/1000000</f>
        <v>6.0400000000000002E-2</v>
      </c>
      <c r="AD101" s="32">
        <f t="shared" si="75"/>
        <v>60.425199531545267</v>
      </c>
      <c r="AE101" s="32">
        <f t="shared" si="76"/>
        <v>70.984718510853341</v>
      </c>
      <c r="AF101" s="32">
        <f>Z101/T101%</f>
        <v>69.966376701564229</v>
      </c>
      <c r="AG101" s="32">
        <f>AA101/U101%</f>
        <v>68.5207111353443</v>
      </c>
      <c r="AH101" s="32">
        <f t="shared" si="77"/>
        <v>72.587952440850046</v>
      </c>
      <c r="AI101" s="34">
        <f>AC101/W101%</f>
        <v>78.851174934725861</v>
      </c>
      <c r="AJ101" s="41"/>
    </row>
    <row r="102" spans="1:36" s="110" customFormat="1" hidden="1" x14ac:dyDescent="0.25">
      <c r="A102" s="103" t="s">
        <v>61</v>
      </c>
      <c r="B102" s="289">
        <v>84668399.359999999</v>
      </c>
      <c r="C102" s="289">
        <v>337737791.13999999</v>
      </c>
      <c r="D102" s="289">
        <v>422406190.5</v>
      </c>
      <c r="E102" s="105">
        <f>F102+G102+H102+I102</f>
        <v>0</v>
      </c>
      <c r="F102" s="289">
        <v>0</v>
      </c>
      <c r="G102" s="289">
        <v>0</v>
      </c>
      <c r="H102" s="289">
        <v>0</v>
      </c>
      <c r="I102" s="289">
        <v>0</v>
      </c>
      <c r="J102" s="289">
        <v>0</v>
      </c>
      <c r="K102" s="289">
        <v>330236963.37</v>
      </c>
      <c r="L102" s="289">
        <v>330236963.37</v>
      </c>
      <c r="M102" s="105">
        <f>N102+O102+P102+Q102</f>
        <v>0</v>
      </c>
      <c r="N102" s="289">
        <v>0</v>
      </c>
      <c r="O102" s="289">
        <v>0</v>
      </c>
      <c r="P102" s="289">
        <v>0</v>
      </c>
      <c r="Q102" s="289">
        <v>0</v>
      </c>
      <c r="R102" s="106">
        <f t="shared" si="69"/>
        <v>84.668399359999995</v>
      </c>
      <c r="S102" s="106">
        <f t="shared" si="70"/>
        <v>422.40619049999998</v>
      </c>
      <c r="T102" s="106"/>
      <c r="U102" s="106"/>
      <c r="V102" s="106">
        <f t="shared" si="71"/>
        <v>0</v>
      </c>
      <c r="W102" s="106">
        <f t="shared" si="78"/>
        <v>0</v>
      </c>
      <c r="X102" s="106">
        <f t="shared" si="72"/>
        <v>0</v>
      </c>
      <c r="Y102" s="106">
        <f t="shared" si="73"/>
        <v>330.23696337000001</v>
      </c>
      <c r="Z102" s="106"/>
      <c r="AA102" s="106"/>
      <c r="AB102" s="106">
        <f t="shared" si="74"/>
        <v>0</v>
      </c>
      <c r="AC102" s="106">
        <f t="shared" ref="AC102" si="85">(P102+Q102)/1000000</f>
        <v>0</v>
      </c>
      <c r="AD102" s="106">
        <f t="shared" si="75"/>
        <v>0</v>
      </c>
      <c r="AE102" s="106">
        <f t="shared" si="76"/>
        <v>78.179953513252315</v>
      </c>
      <c r="AF102" s="106"/>
      <c r="AG102" s="106"/>
      <c r="AH102" s="106" t="e">
        <f t="shared" si="77"/>
        <v>#DIV/0!</v>
      </c>
      <c r="AI102" s="108"/>
      <c r="AJ102" s="293"/>
    </row>
    <row r="103" spans="1:36" s="43" customFormat="1" x14ac:dyDescent="0.25">
      <c r="A103" s="99" t="s">
        <v>81</v>
      </c>
      <c r="B103" s="37">
        <v>2577167829.3099999</v>
      </c>
      <c r="C103" s="37">
        <v>155390288.18000001</v>
      </c>
      <c r="D103" s="37">
        <v>837011652.54999995</v>
      </c>
      <c r="E103" s="300">
        <f>F103+G103+H103+I103-E104</f>
        <v>1805766337.6300001</v>
      </c>
      <c r="F103" s="37">
        <v>705586279.25999999</v>
      </c>
      <c r="G103" s="37">
        <v>814214899.83000004</v>
      </c>
      <c r="H103" s="37">
        <v>211666299</v>
      </c>
      <c r="I103" s="37">
        <v>164078986.84999999</v>
      </c>
      <c r="J103" s="37">
        <v>1870990539.75</v>
      </c>
      <c r="K103" s="37">
        <v>80804388.939999998</v>
      </c>
      <c r="L103" s="37">
        <v>605367267.46000004</v>
      </c>
      <c r="M103" s="300">
        <f>N103+O103+P103+Q103-M104</f>
        <v>1281103033.1600001</v>
      </c>
      <c r="N103" s="37">
        <v>526009278.32999998</v>
      </c>
      <c r="O103" s="37">
        <v>557856247.57000005</v>
      </c>
      <c r="P103" s="37">
        <v>146629181.72</v>
      </c>
      <c r="Q103" s="37">
        <v>115932953.61</v>
      </c>
      <c r="R103" s="39">
        <f t="shared" si="50"/>
        <v>2577.1678293099999</v>
      </c>
      <c r="S103" s="39">
        <f t="shared" si="64"/>
        <v>837.01165255000001</v>
      </c>
      <c r="T103" s="39">
        <f>E103/1000000</f>
        <v>1805.7663376300002</v>
      </c>
      <c r="U103" s="39">
        <f>F103/1000000</f>
        <v>705.58627925999997</v>
      </c>
      <c r="V103" s="39">
        <f t="shared" si="60"/>
        <v>814.21489983000004</v>
      </c>
      <c r="W103" s="39">
        <f t="shared" si="52"/>
        <v>375.74528585000002</v>
      </c>
      <c r="X103" s="39">
        <f t="shared" si="54"/>
        <v>1870.9905397499999</v>
      </c>
      <c r="Y103" s="39">
        <f t="shared" si="65"/>
        <v>605.36726745999999</v>
      </c>
      <c r="Z103" s="39">
        <f>M103/1000000</f>
        <v>1281.10303316</v>
      </c>
      <c r="AA103" s="39">
        <f>N103/1000000</f>
        <v>526.00927833000003</v>
      </c>
      <c r="AB103" s="39">
        <f t="shared" si="57"/>
        <v>557.85624757000005</v>
      </c>
      <c r="AC103" s="39">
        <f>(P103+Q103)/1000000</f>
        <v>262.56213532999999</v>
      </c>
      <c r="AD103" s="39">
        <f t="shared" si="67"/>
        <v>72.598707715939909</v>
      </c>
      <c r="AE103" s="39">
        <f t="shared" si="58"/>
        <v>72.324831514079492</v>
      </c>
      <c r="AF103" s="39">
        <f>Z103/T103%</f>
        <v>70.945116567041509</v>
      </c>
      <c r="AG103" s="39">
        <f>AA103/U103%</f>
        <v>74.549249863767841</v>
      </c>
      <c r="AH103" s="39">
        <f t="shared" si="66"/>
        <v>68.514620364534593</v>
      </c>
      <c r="AI103" s="40">
        <f>AC103/W103%</f>
        <v>69.877692473516888</v>
      </c>
      <c r="AJ103" s="41"/>
    </row>
    <row r="104" spans="1:36" hidden="1" x14ac:dyDescent="0.25">
      <c r="A104" s="100" t="s">
        <v>61</v>
      </c>
      <c r="B104" s="117">
        <v>1245400</v>
      </c>
      <c r="C104" s="117">
        <v>155390288.18000001</v>
      </c>
      <c r="D104" s="117">
        <v>66855560.869999997</v>
      </c>
      <c r="E104" s="187">
        <f>F104+G104+H104+I104</f>
        <v>89780127.310000002</v>
      </c>
      <c r="F104" s="117">
        <v>0</v>
      </c>
      <c r="G104" s="117">
        <v>12583696.73</v>
      </c>
      <c r="H104" s="117">
        <v>37529700</v>
      </c>
      <c r="I104" s="117">
        <v>39666730.579999998</v>
      </c>
      <c r="J104" s="117">
        <v>0</v>
      </c>
      <c r="K104" s="117">
        <v>80804388.939999998</v>
      </c>
      <c r="L104" s="117">
        <v>15479760.869999999</v>
      </c>
      <c r="M104" s="187">
        <f>N104+O104+P104+Q104</f>
        <v>65324628.07</v>
      </c>
      <c r="N104" s="117">
        <v>0</v>
      </c>
      <c r="O104" s="117">
        <v>10826436.73</v>
      </c>
      <c r="P104" s="117">
        <v>25333869.34</v>
      </c>
      <c r="Q104" s="117">
        <v>29164322</v>
      </c>
      <c r="R104" s="32">
        <f t="shared" si="50"/>
        <v>1.2454000000000001</v>
      </c>
      <c r="S104" s="32">
        <f t="shared" si="64"/>
        <v>66.855560869999991</v>
      </c>
      <c r="T104" s="32"/>
      <c r="U104" s="32"/>
      <c r="V104" s="32">
        <f t="shared" si="60"/>
        <v>12.58369673</v>
      </c>
      <c r="W104" s="32">
        <f t="shared" si="52"/>
        <v>77.196430579999998</v>
      </c>
      <c r="X104" s="32"/>
      <c r="Y104" s="32">
        <f t="shared" si="65"/>
        <v>15.47976087</v>
      </c>
      <c r="Z104" s="32"/>
      <c r="AA104" s="32"/>
      <c r="AB104" s="32">
        <f t="shared" si="57"/>
        <v>10.826436730000001</v>
      </c>
      <c r="AC104" s="32">
        <f t="shared" si="68"/>
        <v>54.498191340000005</v>
      </c>
      <c r="AD104" s="32"/>
      <c r="AE104" s="32">
        <f t="shared" si="58"/>
        <v>23.154036356228094</v>
      </c>
      <c r="AF104" s="32"/>
      <c r="AG104" s="32"/>
      <c r="AH104" s="32">
        <f t="shared" si="66"/>
        <v>86.035423153431339</v>
      </c>
      <c r="AI104" s="40">
        <f t="shared" si="66"/>
        <v>70.596776211722101</v>
      </c>
      <c r="AJ104" s="41"/>
    </row>
    <row r="105" spans="1:36" s="43" customFormat="1" x14ac:dyDescent="0.25">
      <c r="A105" s="99" t="s">
        <v>82</v>
      </c>
      <c r="B105" s="37">
        <v>12488888349.389999</v>
      </c>
      <c r="C105" s="37">
        <v>0</v>
      </c>
      <c r="D105" s="37">
        <v>12488526519.25</v>
      </c>
      <c r="E105" s="300">
        <f>F105+G105+H105+I105-E106</f>
        <v>361830.14</v>
      </c>
      <c r="F105" s="37">
        <v>104330.14</v>
      </c>
      <c r="G105" s="37">
        <v>257500</v>
      </c>
      <c r="H105" s="37">
        <v>0</v>
      </c>
      <c r="I105" s="37">
        <v>0</v>
      </c>
      <c r="J105" s="37">
        <v>9180536759.7900009</v>
      </c>
      <c r="K105" s="37">
        <v>0</v>
      </c>
      <c r="L105" s="37">
        <v>9180444113.0799999</v>
      </c>
      <c r="M105" s="300">
        <f>N105+O105+P105+Q105-M106</f>
        <v>92646.709999999992</v>
      </c>
      <c r="N105" s="37">
        <v>35146.71</v>
      </c>
      <c r="O105" s="37">
        <v>57500</v>
      </c>
      <c r="P105" s="37">
        <v>0</v>
      </c>
      <c r="Q105" s="37">
        <v>0</v>
      </c>
      <c r="R105" s="39">
        <f t="shared" si="50"/>
        <v>12488.888349389999</v>
      </c>
      <c r="S105" s="39">
        <f t="shared" si="64"/>
        <v>12488.526519249999</v>
      </c>
      <c r="T105" s="39">
        <f>E105/1000000</f>
        <v>0.36183014000000002</v>
      </c>
      <c r="U105" s="39">
        <f>F105/1000000</f>
        <v>0.10433014</v>
      </c>
      <c r="V105" s="39">
        <f t="shared" si="60"/>
        <v>0.25750000000000001</v>
      </c>
      <c r="W105" s="39">
        <f t="shared" si="52"/>
        <v>0</v>
      </c>
      <c r="X105" s="39">
        <f t="shared" si="54"/>
        <v>9180.5367597900004</v>
      </c>
      <c r="Y105" s="39">
        <f t="shared" si="65"/>
        <v>9180.4441130800005</v>
      </c>
      <c r="Z105" s="39">
        <f>M105/1000000</f>
        <v>9.2646709999999993E-2</v>
      </c>
      <c r="AA105" s="39">
        <f>N105/1000000</f>
        <v>3.5146709999999998E-2</v>
      </c>
      <c r="AB105" s="39">
        <f t="shared" si="57"/>
        <v>5.7500000000000002E-2</v>
      </c>
      <c r="AC105" s="39">
        <f>(P105+Q105)/1000000</f>
        <v>0</v>
      </c>
      <c r="AD105" s="39">
        <f t="shared" si="67"/>
        <v>73.509639152458348</v>
      </c>
      <c r="AE105" s="39">
        <f t="shared" si="58"/>
        <v>73.511027092981138</v>
      </c>
      <c r="AF105" s="39">
        <f>Z105/T105%</f>
        <v>25.605028370494505</v>
      </c>
      <c r="AG105" s="39">
        <f>AA105/U105%</f>
        <v>33.687973580788828</v>
      </c>
      <c r="AH105" s="39">
        <f t="shared" si="66"/>
        <v>22.33009708737864</v>
      </c>
      <c r="AI105" s="118" t="s">
        <v>30</v>
      </c>
      <c r="AJ105" s="119"/>
    </row>
    <row r="106" spans="1:36" hidden="1" x14ac:dyDescent="0.25">
      <c r="A106" s="100" t="s">
        <v>61</v>
      </c>
      <c r="B106" s="114"/>
      <c r="C106" s="114"/>
      <c r="D106" s="114"/>
      <c r="E106" s="187">
        <f>F106+G106+H106+I106</f>
        <v>0</v>
      </c>
      <c r="F106" s="305"/>
      <c r="G106" s="306"/>
      <c r="H106" s="306"/>
      <c r="I106" s="306"/>
      <c r="J106" s="306"/>
      <c r="K106" s="306"/>
      <c r="L106" s="306"/>
      <c r="M106" s="187">
        <f>N106+O106+P106+Q106</f>
        <v>0</v>
      </c>
      <c r="N106" s="114"/>
      <c r="O106" s="114"/>
      <c r="P106" s="114"/>
      <c r="Q106" s="114"/>
      <c r="R106" s="32">
        <v>0</v>
      </c>
      <c r="S106" s="32">
        <f t="shared" si="64"/>
        <v>0</v>
      </c>
      <c r="T106" s="32"/>
      <c r="U106" s="32">
        <f>F106/1000000</f>
        <v>0</v>
      </c>
      <c r="V106" s="32">
        <f t="shared" si="60"/>
        <v>0</v>
      </c>
      <c r="W106" s="32">
        <f t="shared" si="52"/>
        <v>0</v>
      </c>
      <c r="X106" s="32">
        <f t="shared" si="54"/>
        <v>0</v>
      </c>
      <c r="Y106" s="32">
        <f t="shared" si="65"/>
        <v>0</v>
      </c>
      <c r="Z106" s="32"/>
      <c r="AA106" s="32">
        <f>N106/1000000</f>
        <v>0</v>
      </c>
      <c r="AB106" s="32">
        <f t="shared" si="57"/>
        <v>0</v>
      </c>
      <c r="AC106" s="39">
        <f>(P106+Q106)/1000000</f>
        <v>0</v>
      </c>
      <c r="AD106" s="32"/>
      <c r="AE106" s="32" t="e">
        <f t="shared" si="58"/>
        <v>#DIV/0!</v>
      </c>
      <c r="AF106" s="32"/>
      <c r="AG106" s="32"/>
      <c r="AH106" s="32"/>
      <c r="AI106" s="40"/>
      <c r="AJ106" s="41"/>
    </row>
    <row r="107" spans="1:36" x14ac:dyDescent="0.25">
      <c r="A107" s="115" t="s">
        <v>83</v>
      </c>
      <c r="B107" s="30">
        <v>2336159439.77</v>
      </c>
      <c r="C107" s="30">
        <v>0</v>
      </c>
      <c r="D107" s="30">
        <v>2336159439.77</v>
      </c>
      <c r="E107" s="300">
        <f>F107+G107+H107+I107</f>
        <v>0</v>
      </c>
      <c r="F107" s="30">
        <v>0</v>
      </c>
      <c r="G107" s="30">
        <v>0</v>
      </c>
      <c r="H107" s="30">
        <v>0</v>
      </c>
      <c r="I107" s="30">
        <v>0</v>
      </c>
      <c r="J107" s="114">
        <v>1562686038</v>
      </c>
      <c r="K107" s="114">
        <v>0</v>
      </c>
      <c r="L107" s="114">
        <v>1562686038</v>
      </c>
      <c r="M107" s="300">
        <f>N107+O107+P107+Q107</f>
        <v>0</v>
      </c>
      <c r="N107" s="114">
        <v>0</v>
      </c>
      <c r="O107" s="114">
        <v>0</v>
      </c>
      <c r="P107" s="114">
        <v>0</v>
      </c>
      <c r="Q107" s="114">
        <v>0</v>
      </c>
      <c r="R107" s="32">
        <f>B107/1000000</f>
        <v>2336.1594397700001</v>
      </c>
      <c r="S107" s="32">
        <f t="shared" si="64"/>
        <v>2336.1594397700001</v>
      </c>
      <c r="T107" s="32">
        <f>E107/1000000</f>
        <v>0</v>
      </c>
      <c r="U107" s="32">
        <f>F107/1000000</f>
        <v>0</v>
      </c>
      <c r="V107" s="32">
        <f t="shared" si="60"/>
        <v>0</v>
      </c>
      <c r="W107" s="32">
        <f t="shared" si="52"/>
        <v>0</v>
      </c>
      <c r="X107" s="32">
        <f t="shared" si="54"/>
        <v>1562.6860380000001</v>
      </c>
      <c r="Y107" s="32">
        <f t="shared" si="65"/>
        <v>1562.6860380000001</v>
      </c>
      <c r="Z107" s="32">
        <f>M107/1000000</f>
        <v>0</v>
      </c>
      <c r="AA107" s="32">
        <f>N107/1000000</f>
        <v>0</v>
      </c>
      <c r="AB107" s="32">
        <f t="shared" si="57"/>
        <v>0</v>
      </c>
      <c r="AC107" s="32">
        <f t="shared" ref="AC107:AC109" si="86">(P107+Q107)/1000000</f>
        <v>0</v>
      </c>
      <c r="AD107" s="32">
        <f t="shared" si="67"/>
        <v>66.89124087154984</v>
      </c>
      <c r="AE107" s="32">
        <f t="shared" si="58"/>
        <v>66.89124087154984</v>
      </c>
      <c r="AF107" s="58" t="s">
        <v>30</v>
      </c>
      <c r="AG107" s="58" t="s">
        <v>30</v>
      </c>
      <c r="AH107" s="58" t="s">
        <v>30</v>
      </c>
      <c r="AI107" s="53" t="s">
        <v>30</v>
      </c>
      <c r="AJ107" s="74"/>
    </row>
    <row r="108" spans="1:36" x14ac:dyDescent="0.25">
      <c r="A108" s="115" t="s">
        <v>84</v>
      </c>
      <c r="B108" s="114">
        <v>1197050443.1400001</v>
      </c>
      <c r="C108" s="114">
        <v>0</v>
      </c>
      <c r="D108" s="30">
        <v>1197050443.1400001</v>
      </c>
      <c r="E108" s="300">
        <f>F108+G108+H108+I108</f>
        <v>0</v>
      </c>
      <c r="F108" s="114">
        <v>0</v>
      </c>
      <c r="G108" s="114">
        <v>0</v>
      </c>
      <c r="H108" s="114">
        <v>0</v>
      </c>
      <c r="I108" s="114">
        <v>0</v>
      </c>
      <c r="J108" s="30">
        <v>954775952.67999995</v>
      </c>
      <c r="K108" s="30">
        <v>0</v>
      </c>
      <c r="L108" s="30">
        <v>954775952.67999995</v>
      </c>
      <c r="M108" s="300">
        <f>N108+O108+P108+Q108</f>
        <v>0</v>
      </c>
      <c r="N108" s="30">
        <v>0</v>
      </c>
      <c r="O108" s="30">
        <v>0</v>
      </c>
      <c r="P108" s="30">
        <v>0</v>
      </c>
      <c r="Q108" s="30">
        <v>0</v>
      </c>
      <c r="R108" s="32">
        <f>B108/1000000</f>
        <v>1197.0504431400002</v>
      </c>
      <c r="S108" s="32">
        <f t="shared" si="64"/>
        <v>1197.0504431400002</v>
      </c>
      <c r="T108" s="32">
        <f>E108/1000000</f>
        <v>0</v>
      </c>
      <c r="U108" s="32">
        <f>F108/1000000</f>
        <v>0</v>
      </c>
      <c r="V108" s="32">
        <f t="shared" si="60"/>
        <v>0</v>
      </c>
      <c r="W108" s="32">
        <f t="shared" si="52"/>
        <v>0</v>
      </c>
      <c r="X108" s="32">
        <f>J108/1000000</f>
        <v>954.77595267999993</v>
      </c>
      <c r="Y108" s="32">
        <f t="shared" si="65"/>
        <v>954.77595267999993</v>
      </c>
      <c r="Z108" s="32">
        <f>M108/1000000</f>
        <v>0</v>
      </c>
      <c r="AA108" s="32">
        <f>N108/1000000</f>
        <v>0</v>
      </c>
      <c r="AB108" s="32">
        <f t="shared" si="57"/>
        <v>0</v>
      </c>
      <c r="AC108" s="32">
        <f t="shared" si="86"/>
        <v>0</v>
      </c>
      <c r="AD108" s="32">
        <f t="shared" si="67"/>
        <v>79.760711685258087</v>
      </c>
      <c r="AE108" s="32">
        <f t="shared" si="58"/>
        <v>79.760711685258087</v>
      </c>
      <c r="AF108" s="58" t="s">
        <v>30</v>
      </c>
      <c r="AG108" s="58" t="s">
        <v>30</v>
      </c>
      <c r="AH108" s="58" t="s">
        <v>30</v>
      </c>
      <c r="AI108" s="53" t="s">
        <v>30</v>
      </c>
      <c r="AJ108" s="74"/>
    </row>
    <row r="109" spans="1:36" ht="13.95" customHeight="1" x14ac:dyDescent="0.25">
      <c r="A109" s="100" t="s">
        <v>85</v>
      </c>
      <c r="B109" s="30">
        <v>8611908166.4799995</v>
      </c>
      <c r="C109" s="30">
        <v>0</v>
      </c>
      <c r="D109" s="30">
        <v>8611546336.3400002</v>
      </c>
      <c r="E109" s="300">
        <f>F109+G109+H109+I109-E110</f>
        <v>361830.14</v>
      </c>
      <c r="F109" s="30">
        <v>104330.14</v>
      </c>
      <c r="G109" s="30">
        <v>257500</v>
      </c>
      <c r="H109" s="30">
        <v>0</v>
      </c>
      <c r="I109" s="30">
        <v>0</v>
      </c>
      <c r="J109" s="30">
        <v>6414157069.1099997</v>
      </c>
      <c r="K109" s="30">
        <v>0</v>
      </c>
      <c r="L109" s="30">
        <v>6414064422.3999996</v>
      </c>
      <c r="M109" s="300">
        <f>N109+O109+P109+Q109-M110</f>
        <v>92646.709999999992</v>
      </c>
      <c r="N109" s="30">
        <v>35146.71</v>
      </c>
      <c r="O109" s="30">
        <v>57500</v>
      </c>
      <c r="P109" s="30">
        <v>0</v>
      </c>
      <c r="Q109" s="30">
        <v>0</v>
      </c>
      <c r="R109" s="32">
        <f t="shared" ref="R109:R135" si="87">B109/1000000</f>
        <v>8611.9081664799996</v>
      </c>
      <c r="S109" s="32">
        <f t="shared" si="64"/>
        <v>8611.5463363399995</v>
      </c>
      <c r="T109" s="32">
        <f>E109/1000000</f>
        <v>0.36183014000000002</v>
      </c>
      <c r="U109" s="32">
        <f>F109/1000000</f>
        <v>0.10433014</v>
      </c>
      <c r="V109" s="32">
        <f t="shared" si="60"/>
        <v>0.25750000000000001</v>
      </c>
      <c r="W109" s="32">
        <f t="shared" si="52"/>
        <v>0</v>
      </c>
      <c r="X109" s="32">
        <f t="shared" ref="X109:X123" si="88">J109/1000000</f>
        <v>6414.1570691099996</v>
      </c>
      <c r="Y109" s="32">
        <f t="shared" si="65"/>
        <v>6414.0644223999998</v>
      </c>
      <c r="Z109" s="32">
        <f>M109/1000000</f>
        <v>9.2646709999999993E-2</v>
      </c>
      <c r="AA109" s="32">
        <f>N109/1000000</f>
        <v>3.5146709999999998E-2</v>
      </c>
      <c r="AB109" s="32">
        <f t="shared" si="57"/>
        <v>5.7500000000000002E-2</v>
      </c>
      <c r="AC109" s="32">
        <f t="shared" si="86"/>
        <v>0</v>
      </c>
      <c r="AD109" s="32">
        <f t="shared" si="67"/>
        <v>74.480091346952889</v>
      </c>
      <c r="AE109" s="32">
        <f t="shared" si="58"/>
        <v>74.482144923649642</v>
      </c>
      <c r="AF109" s="32">
        <f>Z109/T109%</f>
        <v>25.605028370494505</v>
      </c>
      <c r="AG109" s="32">
        <f>AA109/U109%</f>
        <v>33.687973580788828</v>
      </c>
      <c r="AH109" s="32">
        <f>AB109/V109%</f>
        <v>22.33009708737864</v>
      </c>
      <c r="AI109" s="118" t="s">
        <v>30</v>
      </c>
      <c r="AJ109" s="119"/>
    </row>
    <row r="110" spans="1:36" s="110" customFormat="1" hidden="1" x14ac:dyDescent="0.25">
      <c r="A110" s="103" t="s">
        <v>67</v>
      </c>
      <c r="B110" s="30"/>
      <c r="C110" s="30"/>
      <c r="D110" s="30"/>
      <c r="E110" s="105">
        <f>F110+G110+H110+I110</f>
        <v>0</v>
      </c>
      <c r="F110" s="104"/>
      <c r="G110" s="104"/>
      <c r="H110" s="104"/>
      <c r="I110" s="104"/>
      <c r="J110" s="30"/>
      <c r="K110" s="30"/>
      <c r="L110" s="30"/>
      <c r="M110" s="105">
        <f>N110+O110+P110+Q110</f>
        <v>0</v>
      </c>
      <c r="N110" s="30"/>
      <c r="O110" s="30"/>
      <c r="P110" s="30"/>
      <c r="Q110" s="30"/>
      <c r="R110" s="32">
        <f t="shared" si="87"/>
        <v>0</v>
      </c>
      <c r="S110" s="32">
        <f t="shared" si="64"/>
        <v>0</v>
      </c>
      <c r="T110" s="32"/>
      <c r="U110" s="32"/>
      <c r="V110" s="32">
        <f t="shared" si="60"/>
        <v>0</v>
      </c>
      <c r="W110" s="32"/>
      <c r="X110" s="32">
        <f t="shared" si="88"/>
        <v>0</v>
      </c>
      <c r="Y110" s="32">
        <f t="shared" si="65"/>
        <v>0</v>
      </c>
      <c r="Z110" s="32"/>
      <c r="AA110" s="32"/>
      <c r="AB110" s="32">
        <f t="shared" si="57"/>
        <v>0</v>
      </c>
      <c r="AC110" s="32"/>
      <c r="AD110" s="32" t="e">
        <f t="shared" si="67"/>
        <v>#DIV/0!</v>
      </c>
      <c r="AE110" s="32" t="e">
        <f t="shared" si="58"/>
        <v>#DIV/0!</v>
      </c>
      <c r="AF110" s="32"/>
      <c r="AG110" s="32"/>
      <c r="AH110" s="32"/>
      <c r="AI110" s="34"/>
      <c r="AJ110" s="35"/>
    </row>
    <row r="111" spans="1:36" s="43" customFormat="1" x14ac:dyDescent="0.25">
      <c r="A111" s="99" t="s">
        <v>279</v>
      </c>
      <c r="B111" s="37">
        <v>13121976860.1</v>
      </c>
      <c r="C111" s="37">
        <v>1470593115.71</v>
      </c>
      <c r="D111" s="37">
        <v>12309774983.860001</v>
      </c>
      <c r="E111" s="300">
        <f>F111+G111+H111+I111-E112</f>
        <v>2276080380.9499998</v>
      </c>
      <c r="F111" s="37">
        <v>1752988737.72</v>
      </c>
      <c r="G111" s="37">
        <v>514069491.16000003</v>
      </c>
      <c r="H111" s="37">
        <v>5635728.3700000001</v>
      </c>
      <c r="I111" s="37">
        <v>10101034.699999999</v>
      </c>
      <c r="J111" s="37">
        <v>9683712224.1900005</v>
      </c>
      <c r="K111" s="37">
        <v>1060553076.7</v>
      </c>
      <c r="L111" s="37">
        <v>9191773673.9500008</v>
      </c>
      <c r="M111" s="300">
        <f>N111+O111+P111+Q111-M112</f>
        <v>1546632012.9400001</v>
      </c>
      <c r="N111" s="37">
        <v>1203842925.4400001</v>
      </c>
      <c r="O111" s="37">
        <v>337898738</v>
      </c>
      <c r="P111" s="37">
        <v>3183952.6</v>
      </c>
      <c r="Q111" s="37">
        <v>7566010.9000000004</v>
      </c>
      <c r="R111" s="39">
        <f t="shared" si="87"/>
        <v>13121.9768601</v>
      </c>
      <c r="S111" s="39">
        <f t="shared" si="64"/>
        <v>12309.774983860001</v>
      </c>
      <c r="T111" s="39">
        <f>E111/1000000</f>
        <v>2276.0803809499998</v>
      </c>
      <c r="U111" s="39">
        <f>F111/1000000</f>
        <v>1752.98873772</v>
      </c>
      <c r="V111" s="39">
        <f t="shared" si="60"/>
        <v>514.06949115999998</v>
      </c>
      <c r="W111" s="39">
        <f t="shared" si="52"/>
        <v>15.73676307</v>
      </c>
      <c r="X111" s="39">
        <f t="shared" si="88"/>
        <v>9683.7122241899997</v>
      </c>
      <c r="Y111" s="39">
        <f t="shared" si="65"/>
        <v>9191.7736739500015</v>
      </c>
      <c r="Z111" s="39">
        <f>M111/1000000</f>
        <v>1546.6320129400001</v>
      </c>
      <c r="AA111" s="39">
        <f>N111/1000000</f>
        <v>1203.84292544</v>
      </c>
      <c r="AB111" s="39">
        <f t="shared" si="57"/>
        <v>337.89873799999998</v>
      </c>
      <c r="AC111" s="39">
        <f>(P111+Q111)/1000000</f>
        <v>10.7499635</v>
      </c>
      <c r="AD111" s="39">
        <f t="shared" si="67"/>
        <v>73.797662710679418</v>
      </c>
      <c r="AE111" s="39">
        <f t="shared" si="58"/>
        <v>74.670525545770118</v>
      </c>
      <c r="AF111" s="39">
        <f>Z111/T111%</f>
        <v>67.951555045453205</v>
      </c>
      <c r="AG111" s="39">
        <f>AA111/U111%</f>
        <v>68.673739855611458</v>
      </c>
      <c r="AH111" s="39">
        <f>AB111/V111%</f>
        <v>65.730167576669459</v>
      </c>
      <c r="AI111" s="40">
        <f>AC111/W111%</f>
        <v>68.311147929102034</v>
      </c>
      <c r="AJ111" s="41"/>
    </row>
    <row r="112" spans="1:36" hidden="1" x14ac:dyDescent="0.25">
      <c r="A112" s="100" t="s">
        <v>61</v>
      </c>
      <c r="B112" s="117">
        <v>47448208.600000001</v>
      </c>
      <c r="C112" s="117">
        <v>1470593115.71</v>
      </c>
      <c r="D112" s="117">
        <v>1511326713.3099999</v>
      </c>
      <c r="E112" s="187">
        <f>F112+G112+H112+I112</f>
        <v>6714611</v>
      </c>
      <c r="F112" s="117">
        <v>0</v>
      </c>
      <c r="G112" s="117">
        <v>6714611</v>
      </c>
      <c r="H112" s="117">
        <v>0</v>
      </c>
      <c r="I112" s="117">
        <v>0</v>
      </c>
      <c r="J112" s="117">
        <v>19142002.050000001</v>
      </c>
      <c r="K112" s="117">
        <v>1060553076.7</v>
      </c>
      <c r="L112" s="117">
        <v>1073835464.75</v>
      </c>
      <c r="M112" s="187">
        <f>N112+O112+P112+Q112</f>
        <v>5859614</v>
      </c>
      <c r="N112" s="117">
        <v>0</v>
      </c>
      <c r="O112" s="117">
        <v>5859614</v>
      </c>
      <c r="P112" s="117">
        <v>0</v>
      </c>
      <c r="Q112" s="117">
        <v>0</v>
      </c>
      <c r="R112" s="32">
        <f t="shared" si="87"/>
        <v>47.448208600000001</v>
      </c>
      <c r="S112" s="32">
        <f t="shared" si="64"/>
        <v>1511.3267133099998</v>
      </c>
      <c r="T112" s="32"/>
      <c r="U112" s="32"/>
      <c r="V112" s="32">
        <f t="shared" si="60"/>
        <v>6.7146109999999997</v>
      </c>
      <c r="W112" s="32">
        <f t="shared" si="52"/>
        <v>0</v>
      </c>
      <c r="X112" s="32">
        <f t="shared" si="88"/>
        <v>19.142002050000002</v>
      </c>
      <c r="Y112" s="32">
        <f t="shared" si="65"/>
        <v>1073.83546475</v>
      </c>
      <c r="Z112" s="32"/>
      <c r="AA112" s="32"/>
      <c r="AB112" s="32">
        <f t="shared" si="57"/>
        <v>5.8596139999999997</v>
      </c>
      <c r="AC112" s="32">
        <f t="shared" ref="AC112:AC124" si="89">(P112+Q112)/1000000</f>
        <v>0</v>
      </c>
      <c r="AD112" s="32">
        <f t="shared" si="67"/>
        <v>40.342939417105839</v>
      </c>
      <c r="AE112" s="32">
        <f t="shared" si="58"/>
        <v>71.052503425825265</v>
      </c>
      <c r="AF112" s="39"/>
      <c r="AG112" s="39"/>
      <c r="AH112" s="32">
        <f t="shared" ref="AH112:AI133" si="90">AB112/V112%</f>
        <v>87.266619019329639</v>
      </c>
      <c r="AI112" s="34" t="e">
        <f>AC112/W112%</f>
        <v>#DIV/0!</v>
      </c>
      <c r="AJ112" s="35"/>
    </row>
    <row r="113" spans="1:36" hidden="1" x14ac:dyDescent="0.25">
      <c r="A113" s="100" t="s">
        <v>281</v>
      </c>
      <c r="B113" s="288">
        <v>157842992.44999999</v>
      </c>
      <c r="C113" s="288">
        <v>0</v>
      </c>
      <c r="D113" s="288">
        <v>53766720</v>
      </c>
      <c r="E113" s="300">
        <f>F113+G113+H113+I113-E114</f>
        <v>104076272.45</v>
      </c>
      <c r="F113" s="288">
        <v>68664469.599999994</v>
      </c>
      <c r="G113" s="288">
        <v>29230916.530000001</v>
      </c>
      <c r="H113" s="288">
        <v>1570344.62</v>
      </c>
      <c r="I113" s="288">
        <v>4610541.7</v>
      </c>
      <c r="J113" s="288">
        <v>102984183.40000001</v>
      </c>
      <c r="K113" s="288">
        <v>0</v>
      </c>
      <c r="L113" s="288">
        <v>40380779.829999998</v>
      </c>
      <c r="M113" s="300">
        <f>N113+O113+P113+Q113-M114</f>
        <v>62603403.57</v>
      </c>
      <c r="N113" s="288">
        <v>39243145.670000002</v>
      </c>
      <c r="O113" s="288">
        <v>19953719.710000001</v>
      </c>
      <c r="P113" s="288">
        <v>893196.83</v>
      </c>
      <c r="Q113" s="288">
        <v>2513341.36</v>
      </c>
      <c r="R113" s="32">
        <f t="shared" si="87"/>
        <v>157.84299245</v>
      </c>
      <c r="S113" s="32">
        <f t="shared" si="64"/>
        <v>53.766719999999999</v>
      </c>
      <c r="T113" s="32">
        <f>E113/1000000</f>
        <v>104.07627245</v>
      </c>
      <c r="U113" s="32">
        <f>F113/1000000</f>
        <v>68.66446959999999</v>
      </c>
      <c r="V113" s="32">
        <f t="shared" si="60"/>
        <v>29.230916530000002</v>
      </c>
      <c r="W113" s="32">
        <f t="shared" si="52"/>
        <v>6.1808863199999999</v>
      </c>
      <c r="X113" s="32">
        <f t="shared" si="88"/>
        <v>102.98418340000001</v>
      </c>
      <c r="Y113" s="32">
        <f t="shared" si="65"/>
        <v>40.380779830000002</v>
      </c>
      <c r="Z113" s="32">
        <f>M113/1000000</f>
        <v>62.603403569999998</v>
      </c>
      <c r="AA113" s="32">
        <f>N113/1000000</f>
        <v>39.243145670000004</v>
      </c>
      <c r="AB113" s="32">
        <f t="shared" si="57"/>
        <v>19.953719710000001</v>
      </c>
      <c r="AC113" s="32">
        <f>(P113+Q113)/1000000</f>
        <v>3.40653819</v>
      </c>
      <c r="AD113" s="32">
        <f t="shared" si="67"/>
        <v>65.244697785758433</v>
      </c>
      <c r="AE113" s="32">
        <f t="shared" si="58"/>
        <v>75.103669760773954</v>
      </c>
      <c r="AF113" s="32">
        <f>Z113/T113%</f>
        <v>60.151465935788323</v>
      </c>
      <c r="AG113" s="32">
        <f>AA113/U113%</f>
        <v>57.152040784132133</v>
      </c>
      <c r="AH113" s="32">
        <f>AB113/V113%</f>
        <v>68.262381336970009</v>
      </c>
      <c r="AI113" s="34">
        <f>AC113/W113%</f>
        <v>55.114072863258869</v>
      </c>
      <c r="AJ113" s="35"/>
    </row>
    <row r="114" spans="1:36" s="110" customFormat="1" hidden="1" x14ac:dyDescent="0.25">
      <c r="A114" s="103" t="s">
        <v>67</v>
      </c>
      <c r="B114" s="289"/>
      <c r="C114" s="289"/>
      <c r="D114" s="289"/>
      <c r="E114" s="307">
        <f>F114+G114+H114+I114</f>
        <v>0</v>
      </c>
      <c r="F114" s="289"/>
      <c r="G114" s="289"/>
      <c r="H114" s="289"/>
      <c r="I114" s="289"/>
      <c r="J114" s="289"/>
      <c r="K114" s="289"/>
      <c r="L114" s="289"/>
      <c r="M114" s="307">
        <f>N114+O114+P114+Q114</f>
        <v>0</v>
      </c>
      <c r="N114" s="289"/>
      <c r="O114" s="289"/>
      <c r="P114" s="289"/>
      <c r="Q114" s="289"/>
      <c r="R114" s="106">
        <f t="shared" si="87"/>
        <v>0</v>
      </c>
      <c r="S114" s="106">
        <f t="shared" si="64"/>
        <v>0</v>
      </c>
      <c r="T114" s="106">
        <f t="shared" ref="T114" si="91">E114/1000000</f>
        <v>0</v>
      </c>
      <c r="U114" s="106">
        <f t="shared" ref="U114" si="92">F114/1000000</f>
        <v>0</v>
      </c>
      <c r="V114" s="106">
        <f t="shared" si="60"/>
        <v>0</v>
      </c>
      <c r="W114" s="106">
        <f t="shared" si="52"/>
        <v>0</v>
      </c>
      <c r="X114" s="106">
        <f t="shared" si="88"/>
        <v>0</v>
      </c>
      <c r="Y114" s="106">
        <f t="shared" si="65"/>
        <v>0</v>
      </c>
      <c r="Z114" s="106">
        <f t="shared" ref="Z114" si="93">M114/1000000</f>
        <v>0</v>
      </c>
      <c r="AA114" s="106">
        <f t="shared" ref="AA114" si="94">N114/1000000</f>
        <v>0</v>
      </c>
      <c r="AB114" s="106">
        <f t="shared" si="57"/>
        <v>0</v>
      </c>
      <c r="AC114" s="106">
        <f t="shared" ref="AC114" si="95">(P114+Q114)/1000000</f>
        <v>0</v>
      </c>
      <c r="AD114" s="106" t="e">
        <f t="shared" si="67"/>
        <v>#DIV/0!</v>
      </c>
      <c r="AE114" s="106" t="e">
        <f t="shared" si="58"/>
        <v>#DIV/0!</v>
      </c>
      <c r="AF114" s="106" t="e">
        <f t="shared" ref="AF114" si="96">Z114/T114%</f>
        <v>#DIV/0!</v>
      </c>
      <c r="AG114" s="106" t="e">
        <f t="shared" ref="AG114" si="97">AA114/U114%</f>
        <v>#DIV/0!</v>
      </c>
      <c r="AH114" s="106" t="e">
        <f t="shared" ref="AH114" si="98">AB114/V114%</f>
        <v>#DIV/0!</v>
      </c>
      <c r="AI114" s="108" t="e">
        <f t="shared" ref="AI114" si="99">AC114/W114%</f>
        <v>#DIV/0!</v>
      </c>
      <c r="AJ114" s="109"/>
    </row>
    <row r="115" spans="1:36" x14ac:dyDescent="0.25">
      <c r="A115" s="100" t="s">
        <v>280</v>
      </c>
      <c r="B115" s="288">
        <v>2091489467.8</v>
      </c>
      <c r="C115" s="288">
        <v>0</v>
      </c>
      <c r="D115" s="288">
        <v>2091388467.8</v>
      </c>
      <c r="E115" s="300">
        <f>F115+G115+H115+I115-E116</f>
        <v>101000</v>
      </c>
      <c r="F115" s="288">
        <v>0</v>
      </c>
      <c r="G115" s="288">
        <v>101000</v>
      </c>
      <c r="H115" s="288">
        <v>0</v>
      </c>
      <c r="I115" s="288">
        <v>0</v>
      </c>
      <c r="J115" s="288">
        <v>1537461560.21</v>
      </c>
      <c r="K115" s="288">
        <v>0</v>
      </c>
      <c r="L115" s="288">
        <v>1537383560.21</v>
      </c>
      <c r="M115" s="300">
        <f>N115+O115+P115+Q115-M116</f>
        <v>78000</v>
      </c>
      <c r="N115" s="288">
        <v>0</v>
      </c>
      <c r="O115" s="288">
        <v>78000</v>
      </c>
      <c r="P115" s="288">
        <v>0</v>
      </c>
      <c r="Q115" s="288">
        <v>0</v>
      </c>
      <c r="R115" s="32">
        <f t="shared" ref="R115" si="100">B115/1000000</f>
        <v>2091.4894678000001</v>
      </c>
      <c r="S115" s="32">
        <f t="shared" ref="S115" si="101">D115/1000000</f>
        <v>2091.3884677999999</v>
      </c>
      <c r="T115" s="32">
        <f>E115/1000000</f>
        <v>0.10100000000000001</v>
      </c>
      <c r="U115" s="32">
        <f>F115/1000000</f>
        <v>0</v>
      </c>
      <c r="V115" s="32">
        <f t="shared" ref="V115" si="102">G115/1000000</f>
        <v>0.10100000000000001</v>
      </c>
      <c r="W115" s="32">
        <f t="shared" ref="W115" si="103">(H115+I115)/1000000</f>
        <v>0</v>
      </c>
      <c r="X115" s="32">
        <f t="shared" ref="X115" si="104">J115/1000000</f>
        <v>1537.46156021</v>
      </c>
      <c r="Y115" s="32">
        <f t="shared" ref="Y115" si="105">L115/1000000</f>
        <v>1537.38356021</v>
      </c>
      <c r="Z115" s="32">
        <f>M115/1000000</f>
        <v>7.8E-2</v>
      </c>
      <c r="AA115" s="32">
        <f>N115/1000000</f>
        <v>0</v>
      </c>
      <c r="AB115" s="32">
        <f t="shared" ref="AB115" si="106">O115/1000000</f>
        <v>7.8E-2</v>
      </c>
      <c r="AC115" s="32">
        <f>(P115+Q115)/1000000</f>
        <v>0</v>
      </c>
      <c r="AD115" s="32">
        <f t="shared" ref="AD115" si="107">X115/R115%</f>
        <v>73.510365884234076</v>
      </c>
      <c r="AE115" s="32">
        <f t="shared" ref="AE115" si="108">Y115/S115%</f>
        <v>73.510186360892789</v>
      </c>
      <c r="AF115" s="32">
        <f>Z115/T115%</f>
        <v>77.227722772277218</v>
      </c>
      <c r="AG115" s="58" t="s">
        <v>30</v>
      </c>
      <c r="AH115" s="32">
        <f>AB115/V115%</f>
        <v>77.227722772277218</v>
      </c>
      <c r="AI115" s="53" t="s">
        <v>30</v>
      </c>
      <c r="AJ115" s="35"/>
    </row>
    <row r="116" spans="1:36" s="110" customFormat="1" hidden="1" x14ac:dyDescent="0.25">
      <c r="A116" s="103" t="s">
        <v>67</v>
      </c>
      <c r="B116" s="289"/>
      <c r="C116" s="289"/>
      <c r="D116" s="289"/>
      <c r="E116" s="307">
        <f>F116+G116+H116+I116</f>
        <v>0</v>
      </c>
      <c r="F116" s="289"/>
      <c r="G116" s="289"/>
      <c r="H116" s="289"/>
      <c r="I116" s="289"/>
      <c r="J116" s="289"/>
      <c r="K116" s="289"/>
      <c r="L116" s="289"/>
      <c r="M116" s="307">
        <f>N116+O116+P116+Q116</f>
        <v>0</v>
      </c>
      <c r="N116" s="289"/>
      <c r="O116" s="289"/>
      <c r="P116" s="289"/>
      <c r="Q116" s="289"/>
      <c r="R116" s="106">
        <f t="shared" ref="R116:R122" si="109">B116/1000000</f>
        <v>0</v>
      </c>
      <c r="S116" s="106">
        <f t="shared" ref="S116:S122" si="110">D116/1000000</f>
        <v>0</v>
      </c>
      <c r="T116" s="106">
        <f t="shared" ref="T116:T122" si="111">E116/1000000</f>
        <v>0</v>
      </c>
      <c r="U116" s="106">
        <f t="shared" ref="U116:U122" si="112">F116/1000000</f>
        <v>0</v>
      </c>
      <c r="V116" s="106">
        <f t="shared" ref="V116:V122" si="113">G116/1000000</f>
        <v>0</v>
      </c>
      <c r="W116" s="106">
        <f t="shared" ref="W116:W122" si="114">(H116+I116)/1000000</f>
        <v>0</v>
      </c>
      <c r="X116" s="106">
        <f t="shared" ref="X116:X122" si="115">J116/1000000</f>
        <v>0</v>
      </c>
      <c r="Y116" s="106">
        <f t="shared" ref="Y116:Y122" si="116">L116/1000000</f>
        <v>0</v>
      </c>
      <c r="Z116" s="106">
        <f t="shared" ref="Z116:Z122" si="117">M116/1000000</f>
        <v>0</v>
      </c>
      <c r="AA116" s="106">
        <f t="shared" ref="AA116:AA122" si="118">N116/1000000</f>
        <v>0</v>
      </c>
      <c r="AB116" s="106">
        <f t="shared" ref="AB116:AB122" si="119">O116/1000000</f>
        <v>0</v>
      </c>
      <c r="AC116" s="106">
        <f t="shared" ref="AC116:AC122" si="120">(P116+Q116)/1000000</f>
        <v>0</v>
      </c>
      <c r="AD116" s="106" t="e">
        <f t="shared" ref="AD116:AD122" si="121">X116/R116%</f>
        <v>#DIV/0!</v>
      </c>
      <c r="AE116" s="106" t="e">
        <f t="shared" ref="AE116:AE122" si="122">Y116/S116%</f>
        <v>#DIV/0!</v>
      </c>
      <c r="AF116" s="106" t="e">
        <f t="shared" ref="AF116:AF122" si="123">Z116/T116%</f>
        <v>#DIV/0!</v>
      </c>
      <c r="AG116" s="106" t="e">
        <f t="shared" ref="AG116:AG122" si="124">AA116/U116%</f>
        <v>#DIV/0!</v>
      </c>
      <c r="AH116" s="106" t="e">
        <f t="shared" ref="AH116:AH122" si="125">AB116/V116%</f>
        <v>#DIV/0!</v>
      </c>
      <c r="AI116" s="108" t="e">
        <f t="shared" ref="AI116:AI122" si="126">AC116/W116%</f>
        <v>#DIV/0!</v>
      </c>
      <c r="AJ116" s="109"/>
    </row>
    <row r="117" spans="1:36" x14ac:dyDescent="0.25">
      <c r="A117" s="100" t="s">
        <v>282</v>
      </c>
      <c r="B117" s="288">
        <v>7908710084.9499998</v>
      </c>
      <c r="C117" s="288">
        <v>744911200.07000005</v>
      </c>
      <c r="D117" s="288">
        <v>7279967377.4200001</v>
      </c>
      <c r="E117" s="300">
        <f>F117+G117+H117+I117-E118</f>
        <v>1372162857.5999999</v>
      </c>
      <c r="F117" s="288">
        <v>1184233754.28</v>
      </c>
      <c r="G117" s="288">
        <v>185786587.56999999</v>
      </c>
      <c r="H117" s="288">
        <v>2863483.75</v>
      </c>
      <c r="I117" s="288">
        <v>770082</v>
      </c>
      <c r="J117" s="288">
        <v>5960113913.7600002</v>
      </c>
      <c r="K117" s="288">
        <v>541690601.10000002</v>
      </c>
      <c r="L117" s="288">
        <v>5580760028.6099997</v>
      </c>
      <c r="M117" s="300">
        <f>N117+O117+P117+Q117-M118</f>
        <v>920408433.25000012</v>
      </c>
      <c r="N117" s="288">
        <v>803894852.53999996</v>
      </c>
      <c r="O117" s="288">
        <v>115340971.93000001</v>
      </c>
      <c r="P117" s="288">
        <v>1340559.82</v>
      </c>
      <c r="Q117" s="288">
        <v>468101.96</v>
      </c>
      <c r="R117" s="32">
        <f t="shared" si="109"/>
        <v>7908.7100849500002</v>
      </c>
      <c r="S117" s="32">
        <f t="shared" si="110"/>
        <v>7279.96737742</v>
      </c>
      <c r="T117" s="32">
        <f t="shared" si="111"/>
        <v>1372.1628575999998</v>
      </c>
      <c r="U117" s="32">
        <f t="shared" si="112"/>
        <v>1184.2337542800001</v>
      </c>
      <c r="V117" s="32">
        <f t="shared" si="113"/>
        <v>185.78658756999999</v>
      </c>
      <c r="W117" s="32">
        <f t="shared" si="114"/>
        <v>3.6335657499999998</v>
      </c>
      <c r="X117" s="32">
        <f t="shared" si="115"/>
        <v>5960.1139137600003</v>
      </c>
      <c r="Y117" s="32">
        <f t="shared" si="116"/>
        <v>5580.7600286099996</v>
      </c>
      <c r="Z117" s="32">
        <f t="shared" si="117"/>
        <v>920.40843325000014</v>
      </c>
      <c r="AA117" s="32">
        <f t="shared" si="118"/>
        <v>803.89485253999999</v>
      </c>
      <c r="AB117" s="32">
        <f t="shared" si="119"/>
        <v>115.34097193000001</v>
      </c>
      <c r="AC117" s="32">
        <f t="shared" si="120"/>
        <v>1.80866178</v>
      </c>
      <c r="AD117" s="32">
        <f t="shared" si="121"/>
        <v>75.361390792436424</v>
      </c>
      <c r="AE117" s="32">
        <f t="shared" si="122"/>
        <v>76.659135120847267</v>
      </c>
      <c r="AF117" s="32">
        <f t="shared" si="123"/>
        <v>67.077200650938266</v>
      </c>
      <c r="AG117" s="32">
        <f t="shared" si="124"/>
        <v>67.88312270568224</v>
      </c>
      <c r="AH117" s="32">
        <f t="shared" si="125"/>
        <v>62.082507375050561</v>
      </c>
      <c r="AI117" s="34">
        <f t="shared" si="126"/>
        <v>49.776497920809604</v>
      </c>
      <c r="AJ117" s="35"/>
    </row>
    <row r="118" spans="1:36" s="110" customFormat="1" hidden="1" x14ac:dyDescent="0.25">
      <c r="A118" s="103" t="s">
        <v>67</v>
      </c>
      <c r="B118" s="289">
        <v>8523208.5999999996</v>
      </c>
      <c r="C118" s="289">
        <v>744911200.07000005</v>
      </c>
      <c r="D118" s="289">
        <v>751943358.66999996</v>
      </c>
      <c r="E118" s="307">
        <f>F118+G118+H118+I118</f>
        <v>1491050</v>
      </c>
      <c r="F118" s="289">
        <v>0</v>
      </c>
      <c r="G118" s="289">
        <v>1491050</v>
      </c>
      <c r="H118" s="289">
        <v>0</v>
      </c>
      <c r="I118" s="289">
        <v>0</v>
      </c>
      <c r="J118" s="289">
        <v>0</v>
      </c>
      <c r="K118" s="289">
        <v>541690601.10000002</v>
      </c>
      <c r="L118" s="289">
        <v>541054548.10000002</v>
      </c>
      <c r="M118" s="307">
        <f>N118+O118+P118+Q118</f>
        <v>636053</v>
      </c>
      <c r="N118" s="289">
        <v>0</v>
      </c>
      <c r="O118" s="289">
        <v>636053</v>
      </c>
      <c r="P118" s="289">
        <v>0</v>
      </c>
      <c r="Q118" s="289">
        <v>0</v>
      </c>
      <c r="R118" s="106">
        <f t="shared" si="109"/>
        <v>8.5232086000000002</v>
      </c>
      <c r="S118" s="106">
        <f t="shared" si="110"/>
        <v>751.94335866999995</v>
      </c>
      <c r="T118" s="106">
        <f t="shared" si="111"/>
        <v>1.49105</v>
      </c>
      <c r="U118" s="106">
        <f t="shared" si="112"/>
        <v>0</v>
      </c>
      <c r="V118" s="106">
        <f t="shared" si="113"/>
        <v>1.49105</v>
      </c>
      <c r="W118" s="106">
        <f t="shared" si="114"/>
        <v>0</v>
      </c>
      <c r="X118" s="106">
        <f t="shared" si="115"/>
        <v>0</v>
      </c>
      <c r="Y118" s="106">
        <f t="shared" si="116"/>
        <v>541.05454810000003</v>
      </c>
      <c r="Z118" s="106">
        <f t="shared" si="117"/>
        <v>0.63605299999999998</v>
      </c>
      <c r="AA118" s="106">
        <f t="shared" si="118"/>
        <v>0</v>
      </c>
      <c r="AB118" s="106">
        <f t="shared" si="119"/>
        <v>0.63605299999999998</v>
      </c>
      <c r="AC118" s="106">
        <f t="shared" si="120"/>
        <v>0</v>
      </c>
      <c r="AD118" s="106">
        <f t="shared" si="121"/>
        <v>0</v>
      </c>
      <c r="AE118" s="106">
        <f t="shared" si="122"/>
        <v>71.954162751964503</v>
      </c>
      <c r="AF118" s="106">
        <f t="shared" si="123"/>
        <v>42.658059756547395</v>
      </c>
      <c r="AG118" s="106" t="e">
        <f t="shared" si="124"/>
        <v>#DIV/0!</v>
      </c>
      <c r="AH118" s="106">
        <f t="shared" si="125"/>
        <v>42.658059756547395</v>
      </c>
      <c r="AI118" s="108" t="e">
        <f t="shared" si="126"/>
        <v>#DIV/0!</v>
      </c>
      <c r="AJ118" s="109"/>
    </row>
    <row r="119" spans="1:36" x14ac:dyDescent="0.25">
      <c r="A119" s="100" t="s">
        <v>283</v>
      </c>
      <c r="B119" s="288">
        <v>2710227648.0900002</v>
      </c>
      <c r="C119" s="288">
        <v>579953315.63999999</v>
      </c>
      <c r="D119" s="288">
        <v>2695910538.6399999</v>
      </c>
      <c r="E119" s="300">
        <f>F119+G119+H119+I119-E120</f>
        <v>589087464.08999991</v>
      </c>
      <c r="F119" s="288">
        <v>336399674.20999998</v>
      </c>
      <c r="G119" s="288">
        <v>252687789.88</v>
      </c>
      <c r="H119" s="288">
        <v>796000</v>
      </c>
      <c r="I119" s="288">
        <v>4386961</v>
      </c>
      <c r="J119" s="288">
        <v>1920077338.3</v>
      </c>
      <c r="K119" s="288">
        <v>417950781.38</v>
      </c>
      <c r="L119" s="288">
        <v>1911836771.9400001</v>
      </c>
      <c r="M119" s="300">
        <f>N119+O119+P119+Q119-M120</f>
        <v>421008386.74000001</v>
      </c>
      <c r="N119" s="288">
        <v>250900134.56</v>
      </c>
      <c r="O119" s="288">
        <v>170108252.18000001</v>
      </c>
      <c r="P119" s="288">
        <v>796000</v>
      </c>
      <c r="Q119" s="288">
        <v>4386961</v>
      </c>
      <c r="R119" s="32">
        <f t="shared" si="109"/>
        <v>2710.22764809</v>
      </c>
      <c r="S119" s="32">
        <f t="shared" si="110"/>
        <v>2695.9105386399997</v>
      </c>
      <c r="T119" s="32">
        <f t="shared" si="111"/>
        <v>589.08746408999991</v>
      </c>
      <c r="U119" s="32">
        <f t="shared" si="112"/>
        <v>336.39967421</v>
      </c>
      <c r="V119" s="32">
        <f t="shared" si="113"/>
        <v>252.68778988</v>
      </c>
      <c r="W119" s="32">
        <f t="shared" si="114"/>
        <v>5.1829609999999997</v>
      </c>
      <c r="X119" s="32">
        <f t="shared" si="115"/>
        <v>1920.0773383000001</v>
      </c>
      <c r="Y119" s="32">
        <f t="shared" si="116"/>
        <v>1911.8367719400001</v>
      </c>
      <c r="Z119" s="32">
        <f t="shared" si="117"/>
        <v>421.00838673999999</v>
      </c>
      <c r="AA119" s="32">
        <f t="shared" si="118"/>
        <v>250.90013456</v>
      </c>
      <c r="AB119" s="32">
        <f t="shared" si="119"/>
        <v>170.10825217999999</v>
      </c>
      <c r="AC119" s="32">
        <f t="shared" si="120"/>
        <v>5.1829609999999997</v>
      </c>
      <c r="AD119" s="32">
        <f t="shared" si="121"/>
        <v>70.845611056073139</v>
      </c>
      <c r="AE119" s="32">
        <f t="shared" si="122"/>
        <v>70.916180063766518</v>
      </c>
      <c r="AF119" s="32">
        <f t="shared" si="123"/>
        <v>71.467891001611761</v>
      </c>
      <c r="AG119" s="32">
        <f t="shared" si="124"/>
        <v>74.58394100684346</v>
      </c>
      <c r="AH119" s="32">
        <f t="shared" si="125"/>
        <v>67.319537782487799</v>
      </c>
      <c r="AI119" s="34">
        <f t="shared" si="126"/>
        <v>100</v>
      </c>
      <c r="AJ119" s="35"/>
    </row>
    <row r="120" spans="1:36" s="110" customFormat="1" hidden="1" x14ac:dyDescent="0.25">
      <c r="A120" s="103" t="s">
        <v>67</v>
      </c>
      <c r="B120" s="289">
        <v>0</v>
      </c>
      <c r="C120" s="289">
        <v>579953315.63999999</v>
      </c>
      <c r="D120" s="289">
        <v>574770354.63999999</v>
      </c>
      <c r="E120" s="307">
        <f>F120+G120+H120+I120</f>
        <v>5182961</v>
      </c>
      <c r="F120" s="289">
        <v>0</v>
      </c>
      <c r="G120" s="289">
        <v>5182961</v>
      </c>
      <c r="H120" s="289">
        <v>0</v>
      </c>
      <c r="I120" s="289">
        <v>0</v>
      </c>
      <c r="J120" s="289">
        <v>0</v>
      </c>
      <c r="K120" s="289">
        <v>417950781.38</v>
      </c>
      <c r="L120" s="289">
        <v>412767820.38</v>
      </c>
      <c r="M120" s="307">
        <f>N120+O120+P120+Q120</f>
        <v>5182961</v>
      </c>
      <c r="N120" s="289">
        <v>0</v>
      </c>
      <c r="O120" s="289">
        <v>5182961</v>
      </c>
      <c r="P120" s="289">
        <v>0</v>
      </c>
      <c r="Q120" s="289">
        <v>0</v>
      </c>
      <c r="R120" s="106">
        <f t="shared" si="109"/>
        <v>0</v>
      </c>
      <c r="S120" s="106">
        <f t="shared" si="110"/>
        <v>574.77035463999994</v>
      </c>
      <c r="T120" s="106">
        <f t="shared" si="111"/>
        <v>5.1829609999999997</v>
      </c>
      <c r="U120" s="106">
        <f t="shared" si="112"/>
        <v>0</v>
      </c>
      <c r="V120" s="106">
        <f t="shared" si="113"/>
        <v>5.1829609999999997</v>
      </c>
      <c r="W120" s="106">
        <f t="shared" si="114"/>
        <v>0</v>
      </c>
      <c r="X120" s="106">
        <f t="shared" si="115"/>
        <v>0</v>
      </c>
      <c r="Y120" s="106">
        <f t="shared" si="116"/>
        <v>412.76782037999999</v>
      </c>
      <c r="Z120" s="106">
        <f t="shared" si="117"/>
        <v>5.1829609999999997</v>
      </c>
      <c r="AA120" s="106">
        <f t="shared" si="118"/>
        <v>0</v>
      </c>
      <c r="AB120" s="106">
        <f t="shared" si="119"/>
        <v>5.1829609999999997</v>
      </c>
      <c r="AC120" s="106">
        <f t="shared" si="120"/>
        <v>0</v>
      </c>
      <c r="AD120" s="106" t="e">
        <f t="shared" si="121"/>
        <v>#DIV/0!</v>
      </c>
      <c r="AE120" s="106">
        <f t="shared" si="122"/>
        <v>71.814389355298573</v>
      </c>
      <c r="AF120" s="106">
        <f t="shared" si="123"/>
        <v>100</v>
      </c>
      <c r="AG120" s="106" t="e">
        <f t="shared" si="124"/>
        <v>#DIV/0!</v>
      </c>
      <c r="AH120" s="106">
        <f t="shared" si="125"/>
        <v>100</v>
      </c>
      <c r="AI120" s="108" t="e">
        <f t="shared" si="126"/>
        <v>#DIV/0!</v>
      </c>
      <c r="AJ120" s="109"/>
    </row>
    <row r="121" spans="1:36" ht="26.4" hidden="1" x14ac:dyDescent="0.25">
      <c r="A121" s="100" t="s">
        <v>284</v>
      </c>
      <c r="B121" s="288">
        <v>253706666.81</v>
      </c>
      <c r="C121" s="288">
        <v>145728600</v>
      </c>
      <c r="D121" s="288">
        <v>188741880</v>
      </c>
      <c r="E121" s="300">
        <f>F121+G121+H121+I121-E122</f>
        <v>210652786.81</v>
      </c>
      <c r="F121" s="288">
        <v>163690839.63</v>
      </c>
      <c r="G121" s="288">
        <v>46263197.18</v>
      </c>
      <c r="H121" s="288">
        <v>405900</v>
      </c>
      <c r="I121" s="288">
        <v>333450</v>
      </c>
      <c r="J121" s="288">
        <v>163075228.52000001</v>
      </c>
      <c r="K121" s="288">
        <v>100911694.22</v>
      </c>
      <c r="L121" s="288">
        <v>121412533.36</v>
      </c>
      <c r="M121" s="300">
        <f>N121+O121+P121+Q121-M122</f>
        <v>142533789.38</v>
      </c>
      <c r="N121" s="288">
        <v>109804792.67</v>
      </c>
      <c r="O121" s="288">
        <v>32417794.18</v>
      </c>
      <c r="P121" s="288">
        <v>154195.95000000001</v>
      </c>
      <c r="Q121" s="288">
        <v>197606.58</v>
      </c>
      <c r="R121" s="32">
        <f t="shared" si="109"/>
        <v>253.70666681</v>
      </c>
      <c r="S121" s="32">
        <f t="shared" si="110"/>
        <v>188.74188000000001</v>
      </c>
      <c r="T121" s="32">
        <f t="shared" si="111"/>
        <v>210.65278681000001</v>
      </c>
      <c r="U121" s="32">
        <f t="shared" si="112"/>
        <v>163.69083963</v>
      </c>
      <c r="V121" s="32">
        <f t="shared" si="113"/>
        <v>46.263197179999999</v>
      </c>
      <c r="W121" s="32">
        <f t="shared" si="114"/>
        <v>0.73934999999999995</v>
      </c>
      <c r="X121" s="32">
        <f t="shared" si="115"/>
        <v>163.07522852000002</v>
      </c>
      <c r="Y121" s="32">
        <f t="shared" si="116"/>
        <v>121.41253336</v>
      </c>
      <c r="Z121" s="32">
        <f t="shared" si="117"/>
        <v>142.53378938</v>
      </c>
      <c r="AA121" s="32">
        <f t="shared" si="118"/>
        <v>109.80479267</v>
      </c>
      <c r="AB121" s="32">
        <f t="shared" si="119"/>
        <v>32.417794180000001</v>
      </c>
      <c r="AC121" s="32">
        <f t="shared" si="120"/>
        <v>0.35180253</v>
      </c>
      <c r="AD121" s="32">
        <f t="shared" si="121"/>
        <v>64.277076582353459</v>
      </c>
      <c r="AE121" s="32">
        <f t="shared" si="122"/>
        <v>64.327288336854537</v>
      </c>
      <c r="AF121" s="32">
        <f t="shared" si="123"/>
        <v>67.662902323034302</v>
      </c>
      <c r="AG121" s="32">
        <f t="shared" si="124"/>
        <v>67.080597129441216</v>
      </c>
      <c r="AH121" s="32">
        <f t="shared" si="125"/>
        <v>70.072533149556094</v>
      </c>
      <c r="AI121" s="34">
        <f t="shared" si="126"/>
        <v>47.582678027997567</v>
      </c>
      <c r="AJ121" s="35"/>
    </row>
    <row r="122" spans="1:36" s="110" customFormat="1" hidden="1" x14ac:dyDescent="0.25">
      <c r="A122" s="103" t="s">
        <v>67</v>
      </c>
      <c r="B122" s="289">
        <v>38925000</v>
      </c>
      <c r="C122" s="289">
        <v>145728600</v>
      </c>
      <c r="D122" s="289">
        <v>184613000</v>
      </c>
      <c r="E122" s="307">
        <f>F122+G122+H122+I122</f>
        <v>40600</v>
      </c>
      <c r="F122" s="289">
        <v>0</v>
      </c>
      <c r="G122" s="289">
        <v>40600</v>
      </c>
      <c r="H122" s="289">
        <v>0</v>
      </c>
      <c r="I122" s="289">
        <v>0</v>
      </c>
      <c r="J122" s="289">
        <v>19142002.050000001</v>
      </c>
      <c r="K122" s="289">
        <v>100911694.22</v>
      </c>
      <c r="L122" s="289">
        <v>120013096.27</v>
      </c>
      <c r="M122" s="307">
        <f>N122+O122+P122+Q122</f>
        <v>40600</v>
      </c>
      <c r="N122" s="289">
        <v>0</v>
      </c>
      <c r="O122" s="289">
        <v>40600</v>
      </c>
      <c r="P122" s="289">
        <v>0</v>
      </c>
      <c r="Q122" s="289">
        <v>0</v>
      </c>
      <c r="R122" s="106">
        <f t="shared" si="109"/>
        <v>38.924999999999997</v>
      </c>
      <c r="S122" s="106">
        <f t="shared" si="110"/>
        <v>184.613</v>
      </c>
      <c r="T122" s="106">
        <f t="shared" si="111"/>
        <v>4.0599999999999997E-2</v>
      </c>
      <c r="U122" s="106">
        <f t="shared" si="112"/>
        <v>0</v>
      </c>
      <c r="V122" s="106">
        <f t="shared" si="113"/>
        <v>4.0599999999999997E-2</v>
      </c>
      <c r="W122" s="106">
        <f t="shared" si="114"/>
        <v>0</v>
      </c>
      <c r="X122" s="106">
        <f t="shared" si="115"/>
        <v>19.142002050000002</v>
      </c>
      <c r="Y122" s="106">
        <f t="shared" si="116"/>
        <v>120.01309626999999</v>
      </c>
      <c r="Z122" s="106">
        <f t="shared" si="117"/>
        <v>4.0599999999999997E-2</v>
      </c>
      <c r="AA122" s="106">
        <f t="shared" si="118"/>
        <v>0</v>
      </c>
      <c r="AB122" s="106">
        <f t="shared" si="119"/>
        <v>4.0599999999999997E-2</v>
      </c>
      <c r="AC122" s="106">
        <f t="shared" si="120"/>
        <v>0</v>
      </c>
      <c r="AD122" s="106">
        <f t="shared" si="121"/>
        <v>49.176626974951837</v>
      </c>
      <c r="AE122" s="106">
        <f t="shared" si="122"/>
        <v>65.007933498724356</v>
      </c>
      <c r="AF122" s="106">
        <f t="shared" si="123"/>
        <v>100</v>
      </c>
      <c r="AG122" s="106" t="e">
        <f t="shared" si="124"/>
        <v>#DIV/0!</v>
      </c>
      <c r="AH122" s="106">
        <f t="shared" si="125"/>
        <v>100</v>
      </c>
      <c r="AI122" s="108" t="e">
        <f t="shared" si="126"/>
        <v>#DIV/0!</v>
      </c>
      <c r="AJ122" s="109"/>
    </row>
    <row r="123" spans="1:36" s="43" customFormat="1" x14ac:dyDescent="0.25">
      <c r="A123" s="99" t="s">
        <v>86</v>
      </c>
      <c r="B123" s="37">
        <v>649429578.76999998</v>
      </c>
      <c r="C123" s="37">
        <v>71327600.709999993</v>
      </c>
      <c r="D123" s="37">
        <v>524035001.17000002</v>
      </c>
      <c r="E123" s="300">
        <f>F123+G123+H123+I123-E124</f>
        <v>190916843.55999997</v>
      </c>
      <c r="F123" s="37">
        <v>149449946.06999999</v>
      </c>
      <c r="G123" s="37">
        <v>35101779.729999997</v>
      </c>
      <c r="H123" s="37">
        <v>7165784.5099999998</v>
      </c>
      <c r="I123" s="37">
        <v>5004668</v>
      </c>
      <c r="J123" s="37">
        <v>481898570.93000001</v>
      </c>
      <c r="K123" s="37">
        <v>51706700</v>
      </c>
      <c r="L123" s="37">
        <v>408314537.19</v>
      </c>
      <c r="M123" s="300">
        <f>N123+O123+P123+Q123-M124</f>
        <v>121900398.99000001</v>
      </c>
      <c r="N123" s="37">
        <v>102355264.12</v>
      </c>
      <c r="O123" s="37">
        <v>17537139.530000001</v>
      </c>
      <c r="P123" s="37">
        <v>2281828.31</v>
      </c>
      <c r="Q123" s="37">
        <v>3116501.78</v>
      </c>
      <c r="R123" s="39">
        <f t="shared" si="87"/>
        <v>649.42957877000003</v>
      </c>
      <c r="S123" s="39">
        <f t="shared" si="64"/>
        <v>524.03500116999999</v>
      </c>
      <c r="T123" s="39">
        <f>E123/1000000</f>
        <v>190.91684355999996</v>
      </c>
      <c r="U123" s="39">
        <f>F123/1000000</f>
        <v>149.44994606999998</v>
      </c>
      <c r="V123" s="39">
        <f t="shared" si="60"/>
        <v>35.101779729999997</v>
      </c>
      <c r="W123" s="39">
        <f t="shared" si="52"/>
        <v>12.170452510000001</v>
      </c>
      <c r="X123" s="39">
        <f t="shared" si="88"/>
        <v>481.89857093000001</v>
      </c>
      <c r="Y123" s="39">
        <f t="shared" si="65"/>
        <v>408.31453719000001</v>
      </c>
      <c r="Z123" s="39">
        <f>M123/1000000</f>
        <v>121.90039899000001</v>
      </c>
      <c r="AA123" s="39">
        <f>N123/1000000</f>
        <v>102.35526412</v>
      </c>
      <c r="AB123" s="39">
        <f t="shared" si="57"/>
        <v>17.537139530000001</v>
      </c>
      <c r="AC123" s="39">
        <f>(P123+Q123)/1000000</f>
        <v>5.39833009</v>
      </c>
      <c r="AD123" s="39">
        <f t="shared" si="67"/>
        <v>74.203360407867677</v>
      </c>
      <c r="AE123" s="39">
        <f t="shared" si="58"/>
        <v>77.917417019543791</v>
      </c>
      <c r="AF123" s="39">
        <f>Z123/T123%</f>
        <v>63.849997054707245</v>
      </c>
      <c r="AG123" s="39">
        <f>AA123/U123%</f>
        <v>68.487990000383419</v>
      </c>
      <c r="AH123" s="39">
        <f t="shared" si="90"/>
        <v>49.960827242647625</v>
      </c>
      <c r="AI123" s="40">
        <f t="shared" si="90"/>
        <v>44.356034301636662</v>
      </c>
      <c r="AJ123" s="41"/>
    </row>
    <row r="124" spans="1:36" hidden="1" x14ac:dyDescent="0.25">
      <c r="A124" s="100" t="s">
        <v>61</v>
      </c>
      <c r="B124" s="117">
        <v>0</v>
      </c>
      <c r="C124" s="117">
        <v>71327600.709999993</v>
      </c>
      <c r="D124" s="117">
        <v>65522265.960000001</v>
      </c>
      <c r="E124" s="187">
        <f>F124+G124+H124+I124</f>
        <v>5805334.75</v>
      </c>
      <c r="F124" s="117">
        <v>0</v>
      </c>
      <c r="G124" s="117">
        <v>4252290</v>
      </c>
      <c r="H124" s="117">
        <v>262344.75</v>
      </c>
      <c r="I124" s="117">
        <v>1290700</v>
      </c>
      <c r="J124" s="117">
        <v>0</v>
      </c>
      <c r="K124" s="117">
        <v>51706700</v>
      </c>
      <c r="L124" s="117">
        <v>48316365.25</v>
      </c>
      <c r="M124" s="187">
        <f>N124+O124+P124+Q124</f>
        <v>3390334.75</v>
      </c>
      <c r="N124" s="117">
        <v>0</v>
      </c>
      <c r="O124" s="117">
        <v>2184290</v>
      </c>
      <c r="P124" s="117">
        <v>262344.75</v>
      </c>
      <c r="Q124" s="117">
        <v>943700</v>
      </c>
      <c r="R124" s="32"/>
      <c r="S124" s="32">
        <f t="shared" si="64"/>
        <v>65.522265959999999</v>
      </c>
      <c r="T124" s="32"/>
      <c r="U124" s="32"/>
      <c r="V124" s="32">
        <f t="shared" si="60"/>
        <v>4.2522900000000003</v>
      </c>
      <c r="W124" s="32">
        <f t="shared" si="52"/>
        <v>1.55304475</v>
      </c>
      <c r="X124" s="32"/>
      <c r="Y124" s="32">
        <f t="shared" si="65"/>
        <v>48.316365249999997</v>
      </c>
      <c r="Z124" s="32"/>
      <c r="AA124" s="32"/>
      <c r="AB124" s="32">
        <f t="shared" si="57"/>
        <v>2.1842899999999998</v>
      </c>
      <c r="AC124" s="32">
        <f t="shared" si="89"/>
        <v>1.20604475</v>
      </c>
      <c r="AD124" s="32"/>
      <c r="AE124" s="32">
        <f t="shared" si="58"/>
        <v>73.74037595020927</v>
      </c>
      <c r="AF124" s="32"/>
      <c r="AG124" s="32"/>
      <c r="AH124" s="32">
        <f t="shared" si="90"/>
        <v>51.367380870072353</v>
      </c>
      <c r="AI124" s="34">
        <f t="shared" si="90"/>
        <v>77.656793212172417</v>
      </c>
      <c r="AJ124" s="35"/>
    </row>
    <row r="125" spans="1:36" s="43" customFormat="1" x14ac:dyDescent="0.25">
      <c r="A125" s="99" t="s">
        <v>87</v>
      </c>
      <c r="B125" s="37">
        <v>112149500</v>
      </c>
      <c r="C125" s="37">
        <v>0</v>
      </c>
      <c r="D125" s="37">
        <v>92752400</v>
      </c>
      <c r="E125" s="300">
        <f>F125+G125+H125+I125</f>
        <v>19397100</v>
      </c>
      <c r="F125" s="37">
        <v>19362100</v>
      </c>
      <c r="G125" s="37">
        <v>0</v>
      </c>
      <c r="H125" s="37">
        <v>0</v>
      </c>
      <c r="I125" s="37">
        <v>35000</v>
      </c>
      <c r="J125" s="37">
        <v>74542946.480000004</v>
      </c>
      <c r="K125" s="37">
        <v>0</v>
      </c>
      <c r="L125" s="37">
        <v>59827536.630000003</v>
      </c>
      <c r="M125" s="300">
        <f>N125+O125+P125+Q125</f>
        <v>14715409.85</v>
      </c>
      <c r="N125" s="37">
        <v>14707425</v>
      </c>
      <c r="O125" s="37">
        <v>0</v>
      </c>
      <c r="P125" s="37">
        <v>0</v>
      </c>
      <c r="Q125" s="37">
        <v>7984.85</v>
      </c>
      <c r="R125" s="39">
        <f t="shared" si="87"/>
        <v>112.1495</v>
      </c>
      <c r="S125" s="39">
        <f t="shared" si="64"/>
        <v>92.752399999999994</v>
      </c>
      <c r="T125" s="39">
        <f>E125/1000000</f>
        <v>19.397099999999998</v>
      </c>
      <c r="U125" s="39">
        <f>F125/1000000</f>
        <v>19.362100000000002</v>
      </c>
      <c r="V125" s="39">
        <f t="shared" si="60"/>
        <v>0</v>
      </c>
      <c r="W125" s="39">
        <f t="shared" si="52"/>
        <v>3.5000000000000003E-2</v>
      </c>
      <c r="X125" s="39">
        <f t="shared" ref="X125:X132" si="127">J125/1000000</f>
        <v>74.542946479999998</v>
      </c>
      <c r="Y125" s="39">
        <f t="shared" si="65"/>
        <v>59.827536630000004</v>
      </c>
      <c r="Z125" s="39">
        <f>M125/1000000</f>
        <v>14.71540985</v>
      </c>
      <c r="AA125" s="39">
        <f>N125/1000000</f>
        <v>14.707425000000001</v>
      </c>
      <c r="AB125" s="39">
        <f t="shared" si="57"/>
        <v>0</v>
      </c>
      <c r="AC125" s="39">
        <f t="shared" ref="AC125" si="128">P125/1000000</f>
        <v>0</v>
      </c>
      <c r="AD125" s="39">
        <f>X125/R125%</f>
        <v>66.46747999768165</v>
      </c>
      <c r="AE125" s="39">
        <f t="shared" si="58"/>
        <v>64.502413554797513</v>
      </c>
      <c r="AF125" s="39">
        <f>Z125/T125%</f>
        <v>75.863968582932515</v>
      </c>
      <c r="AG125" s="39">
        <f>AA125/U125%</f>
        <v>75.959864890688507</v>
      </c>
      <c r="AH125" s="102" t="s">
        <v>30</v>
      </c>
      <c r="AI125" s="40">
        <f t="shared" si="90"/>
        <v>0</v>
      </c>
      <c r="AJ125" s="41"/>
    </row>
    <row r="126" spans="1:36" s="43" customFormat="1" ht="26.4" x14ac:dyDescent="0.25">
      <c r="A126" s="99" t="s">
        <v>88</v>
      </c>
      <c r="B126" s="120">
        <v>1908278088.0899999</v>
      </c>
      <c r="C126" s="120">
        <v>711466.67</v>
      </c>
      <c r="D126" s="120">
        <v>1332183100</v>
      </c>
      <c r="E126" s="300">
        <f>F126+G126+H126+I126</f>
        <v>576806454.75999999</v>
      </c>
      <c r="F126" s="120">
        <v>528003534.60000002</v>
      </c>
      <c r="G126" s="120">
        <v>45213520.159999996</v>
      </c>
      <c r="H126" s="120">
        <v>3586400</v>
      </c>
      <c r="I126" s="120">
        <v>3000</v>
      </c>
      <c r="J126" s="37">
        <v>1051433351.77</v>
      </c>
      <c r="K126" s="37">
        <v>0</v>
      </c>
      <c r="L126" s="37">
        <v>801276997.21000004</v>
      </c>
      <c r="M126" s="300">
        <f>N126+O126+P126+Q126</f>
        <v>250156354.56</v>
      </c>
      <c r="N126" s="37">
        <v>220176360.69</v>
      </c>
      <c r="O126" s="37">
        <v>27707259.940000001</v>
      </c>
      <c r="P126" s="37">
        <v>2272733.9300000002</v>
      </c>
      <c r="Q126" s="37">
        <v>0</v>
      </c>
      <c r="R126" s="39">
        <f t="shared" si="87"/>
        <v>1908.27808809</v>
      </c>
      <c r="S126" s="39">
        <f t="shared" si="64"/>
        <v>1332.1831</v>
      </c>
      <c r="T126" s="39">
        <f>E126/1000000</f>
        <v>576.80645475999995</v>
      </c>
      <c r="U126" s="39">
        <f>F126/1000000</f>
        <v>528.00353460000008</v>
      </c>
      <c r="V126" s="39">
        <f t="shared" si="60"/>
        <v>45.213520159999995</v>
      </c>
      <c r="W126" s="39">
        <f t="shared" si="52"/>
        <v>3.5893999999999999</v>
      </c>
      <c r="X126" s="39">
        <f t="shared" si="127"/>
        <v>1051.4333517699999</v>
      </c>
      <c r="Y126" s="39">
        <f t="shared" si="65"/>
        <v>801.27699720999999</v>
      </c>
      <c r="Z126" s="39">
        <f>M126/1000000</f>
        <v>250.15635456000001</v>
      </c>
      <c r="AA126" s="39">
        <f>N126/1000000</f>
        <v>220.17636069</v>
      </c>
      <c r="AB126" s="39">
        <f t="shared" si="57"/>
        <v>27.70725994</v>
      </c>
      <c r="AC126" s="39">
        <f>(P126+Q126)/1000000</f>
        <v>2.2727339300000002</v>
      </c>
      <c r="AD126" s="39">
        <f>X126/R126%</f>
        <v>55.098539271201403</v>
      </c>
      <c r="AE126" s="39">
        <f t="shared" si="58"/>
        <v>60.147662675648718</v>
      </c>
      <c r="AF126" s="39">
        <f>Z126/T126%</f>
        <v>43.369201661255005</v>
      </c>
      <c r="AG126" s="39">
        <f>AA126/U126%</f>
        <v>41.699789160843231</v>
      </c>
      <c r="AH126" s="39">
        <f t="shared" si="90"/>
        <v>61.280917393625927</v>
      </c>
      <c r="AI126" s="40">
        <f t="shared" si="90"/>
        <v>63.317934195130107</v>
      </c>
      <c r="AJ126" s="41"/>
    </row>
    <row r="127" spans="1:36" s="43" customFormat="1" ht="26.4" x14ac:dyDescent="0.25">
      <c r="A127" s="99" t="s">
        <v>89</v>
      </c>
      <c r="B127" s="37">
        <v>60287500</v>
      </c>
      <c r="C127" s="37">
        <v>3931699014.1199999</v>
      </c>
      <c r="D127" s="37">
        <v>3482440300</v>
      </c>
      <c r="E127" s="121"/>
      <c r="F127" s="37">
        <v>0</v>
      </c>
      <c r="G127" s="37">
        <v>509546214.12</v>
      </c>
      <c r="H127" s="37">
        <v>0</v>
      </c>
      <c r="I127" s="37">
        <v>0</v>
      </c>
      <c r="J127" s="37">
        <v>0</v>
      </c>
      <c r="K127" s="37">
        <v>2928855121.1900001</v>
      </c>
      <c r="L127" s="37">
        <v>2543855017</v>
      </c>
      <c r="M127" s="121"/>
      <c r="N127" s="37">
        <v>0</v>
      </c>
      <c r="O127" s="37">
        <v>385000104.19</v>
      </c>
      <c r="P127" s="37">
        <v>0</v>
      </c>
      <c r="Q127" s="37">
        <v>0</v>
      </c>
      <c r="R127" s="39">
        <f t="shared" si="87"/>
        <v>60.287500000000001</v>
      </c>
      <c r="S127" s="39">
        <f t="shared" si="64"/>
        <v>3482.4403000000002</v>
      </c>
      <c r="T127" s="39"/>
      <c r="U127" s="39">
        <f t="shared" ref="U127:U133" si="129">F127/1000000</f>
        <v>0</v>
      </c>
      <c r="V127" s="39">
        <f t="shared" si="60"/>
        <v>509.54621412</v>
      </c>
      <c r="W127" s="39">
        <f t="shared" si="52"/>
        <v>0</v>
      </c>
      <c r="X127" s="39">
        <f t="shared" si="127"/>
        <v>0</v>
      </c>
      <c r="Y127" s="39">
        <f t="shared" si="65"/>
        <v>2543.8550169999999</v>
      </c>
      <c r="Z127" s="39"/>
      <c r="AA127" s="39">
        <f t="shared" ref="AA127:AA133" si="130">N127/1000000</f>
        <v>0</v>
      </c>
      <c r="AB127" s="39">
        <f t="shared" si="57"/>
        <v>385.00010419</v>
      </c>
      <c r="AC127" s="39">
        <f>(P127+Q127)/1000000</f>
        <v>0</v>
      </c>
      <c r="AD127" s="39">
        <f>X127/R127%</f>
        <v>0</v>
      </c>
      <c r="AE127" s="39">
        <f t="shared" si="58"/>
        <v>73.048058196431953</v>
      </c>
      <c r="AF127" s="102" t="s">
        <v>30</v>
      </c>
      <c r="AG127" s="102" t="s">
        <v>30</v>
      </c>
      <c r="AH127" s="39">
        <f t="shared" si="90"/>
        <v>75.557445727450954</v>
      </c>
      <c r="AI127" s="53" t="s">
        <v>30</v>
      </c>
      <c r="AJ127" s="41"/>
    </row>
    <row r="128" spans="1:36" ht="26.4" x14ac:dyDescent="0.25">
      <c r="A128" s="100" t="s">
        <v>90</v>
      </c>
      <c r="B128" s="30">
        <v>0</v>
      </c>
      <c r="C128" s="30">
        <v>1376197715</v>
      </c>
      <c r="D128" s="30">
        <v>1220429000</v>
      </c>
      <c r="E128" s="122"/>
      <c r="F128" s="30">
        <v>0</v>
      </c>
      <c r="G128" s="30">
        <v>155768715</v>
      </c>
      <c r="H128" s="30">
        <v>0</v>
      </c>
      <c r="I128" s="30">
        <v>0</v>
      </c>
      <c r="J128" s="30">
        <v>0</v>
      </c>
      <c r="K128" s="30">
        <v>1065099056.9</v>
      </c>
      <c r="L128" s="30">
        <v>946453000</v>
      </c>
      <c r="M128" s="122"/>
      <c r="N128" s="30">
        <v>0</v>
      </c>
      <c r="O128" s="30">
        <v>118646056.90000001</v>
      </c>
      <c r="P128" s="30">
        <v>0</v>
      </c>
      <c r="Q128" s="30">
        <v>0</v>
      </c>
      <c r="R128" s="32">
        <f t="shared" si="87"/>
        <v>0</v>
      </c>
      <c r="S128" s="32">
        <f t="shared" si="64"/>
        <v>1220.4290000000001</v>
      </c>
      <c r="T128" s="32"/>
      <c r="U128" s="32">
        <f t="shared" si="129"/>
        <v>0</v>
      </c>
      <c r="V128" s="32">
        <f t="shared" si="60"/>
        <v>155.76871499999999</v>
      </c>
      <c r="W128" s="32">
        <f t="shared" si="52"/>
        <v>0</v>
      </c>
      <c r="X128" s="32">
        <f t="shared" si="127"/>
        <v>0</v>
      </c>
      <c r="Y128" s="32">
        <f t="shared" si="65"/>
        <v>946.45299999999997</v>
      </c>
      <c r="Z128" s="32"/>
      <c r="AA128" s="32">
        <f t="shared" si="130"/>
        <v>0</v>
      </c>
      <c r="AB128" s="32">
        <f t="shared" si="57"/>
        <v>118.6460569</v>
      </c>
      <c r="AC128" s="32">
        <f t="shared" ref="AC128:AC136" si="131">(P128+Q128)/1000000</f>
        <v>0</v>
      </c>
      <c r="AD128" s="58" t="s">
        <v>30</v>
      </c>
      <c r="AE128" s="32">
        <f t="shared" si="58"/>
        <v>77.550844825876794</v>
      </c>
      <c r="AF128" s="58" t="s">
        <v>30</v>
      </c>
      <c r="AG128" s="58" t="s">
        <v>30</v>
      </c>
      <c r="AH128" s="32">
        <f t="shared" si="90"/>
        <v>76.168091198543962</v>
      </c>
      <c r="AI128" s="53" t="s">
        <v>30</v>
      </c>
      <c r="AJ128" s="74"/>
    </row>
    <row r="129" spans="1:36" x14ac:dyDescent="0.25">
      <c r="A129" s="100" t="s">
        <v>91</v>
      </c>
      <c r="B129" s="30">
        <v>60287500</v>
      </c>
      <c r="C129" s="30">
        <v>299423450.06</v>
      </c>
      <c r="D129" s="30">
        <v>267955500</v>
      </c>
      <c r="E129" s="122"/>
      <c r="F129" s="30">
        <v>0</v>
      </c>
      <c r="G129" s="30">
        <v>91755450.060000002</v>
      </c>
      <c r="H129" s="30">
        <v>0</v>
      </c>
      <c r="I129" s="30">
        <v>0</v>
      </c>
      <c r="J129" s="30">
        <v>0</v>
      </c>
      <c r="K129" s="30">
        <v>180532722.61000001</v>
      </c>
      <c r="L129" s="30">
        <v>112657700</v>
      </c>
      <c r="M129" s="122"/>
      <c r="N129" s="30">
        <v>0</v>
      </c>
      <c r="O129" s="30">
        <v>67875022.609999999</v>
      </c>
      <c r="P129" s="30">
        <v>0</v>
      </c>
      <c r="Q129" s="30">
        <v>0</v>
      </c>
      <c r="R129" s="32">
        <f t="shared" si="87"/>
        <v>60.287500000000001</v>
      </c>
      <c r="S129" s="32">
        <f t="shared" si="64"/>
        <v>267.95549999999997</v>
      </c>
      <c r="T129" s="32"/>
      <c r="U129" s="32">
        <f t="shared" si="129"/>
        <v>0</v>
      </c>
      <c r="V129" s="32">
        <f t="shared" si="60"/>
        <v>91.755450060000001</v>
      </c>
      <c r="W129" s="32">
        <f t="shared" si="52"/>
        <v>0</v>
      </c>
      <c r="X129" s="32">
        <f t="shared" si="127"/>
        <v>0</v>
      </c>
      <c r="Y129" s="32">
        <f t="shared" si="65"/>
        <v>112.65770000000001</v>
      </c>
      <c r="Z129" s="32"/>
      <c r="AA129" s="32">
        <f t="shared" si="130"/>
        <v>0</v>
      </c>
      <c r="AB129" s="32">
        <f t="shared" si="57"/>
        <v>67.875022610000002</v>
      </c>
      <c r="AC129" s="32">
        <f t="shared" si="131"/>
        <v>0</v>
      </c>
      <c r="AD129" s="32">
        <f t="shared" ref="AD129" si="132">X129/R129%</f>
        <v>0</v>
      </c>
      <c r="AE129" s="32">
        <f t="shared" si="58"/>
        <v>42.043436316851128</v>
      </c>
      <c r="AF129" s="58" t="s">
        <v>30</v>
      </c>
      <c r="AG129" s="58" t="s">
        <v>30</v>
      </c>
      <c r="AH129" s="32">
        <f t="shared" si="90"/>
        <v>73.973832143611858</v>
      </c>
      <c r="AI129" s="53" t="s">
        <v>30</v>
      </c>
      <c r="AJ129" s="74"/>
    </row>
    <row r="130" spans="1:36" ht="26.4" x14ac:dyDescent="0.25">
      <c r="A130" s="100" t="s">
        <v>92</v>
      </c>
      <c r="B130" s="30">
        <v>0</v>
      </c>
      <c r="C130" s="30">
        <v>2256077849.0599999</v>
      </c>
      <c r="D130" s="30">
        <v>1994055800</v>
      </c>
      <c r="E130" s="122"/>
      <c r="F130" s="30">
        <v>0</v>
      </c>
      <c r="G130" s="30">
        <v>262022049.06</v>
      </c>
      <c r="H130" s="30">
        <v>0</v>
      </c>
      <c r="I130" s="30">
        <v>0</v>
      </c>
      <c r="J130" s="30">
        <v>0</v>
      </c>
      <c r="K130" s="30">
        <v>1683223341.6800001</v>
      </c>
      <c r="L130" s="30">
        <v>1484744317</v>
      </c>
      <c r="M130" s="122"/>
      <c r="N130" s="30">
        <v>0</v>
      </c>
      <c r="O130" s="30">
        <v>198479024.68000001</v>
      </c>
      <c r="P130" s="30">
        <v>0</v>
      </c>
      <c r="Q130" s="30">
        <v>0</v>
      </c>
      <c r="R130" s="32">
        <f t="shared" si="87"/>
        <v>0</v>
      </c>
      <c r="S130" s="32">
        <f t="shared" si="64"/>
        <v>1994.0558000000001</v>
      </c>
      <c r="T130" s="32"/>
      <c r="U130" s="32">
        <f t="shared" si="129"/>
        <v>0</v>
      </c>
      <c r="V130" s="32">
        <f t="shared" si="60"/>
        <v>262.02204906000003</v>
      </c>
      <c r="W130" s="32">
        <f t="shared" si="52"/>
        <v>0</v>
      </c>
      <c r="X130" s="32">
        <f t="shared" si="127"/>
        <v>0</v>
      </c>
      <c r="Y130" s="32">
        <f t="shared" si="65"/>
        <v>1484.7443169999999</v>
      </c>
      <c r="Z130" s="32"/>
      <c r="AA130" s="32">
        <f t="shared" si="130"/>
        <v>0</v>
      </c>
      <c r="AB130" s="32">
        <f t="shared" si="57"/>
        <v>198.47902468000001</v>
      </c>
      <c r="AC130" s="32">
        <f t="shared" si="131"/>
        <v>0</v>
      </c>
      <c r="AD130" s="58" t="s">
        <v>30</v>
      </c>
      <c r="AE130" s="32">
        <f t="shared" si="58"/>
        <v>74.458513999457793</v>
      </c>
      <c r="AF130" s="58" t="s">
        <v>30</v>
      </c>
      <c r="AG130" s="58" t="s">
        <v>30</v>
      </c>
      <c r="AH130" s="32">
        <f t="shared" si="90"/>
        <v>75.748978145938622</v>
      </c>
      <c r="AI130" s="53" t="s">
        <v>30</v>
      </c>
      <c r="AJ130" s="35"/>
    </row>
    <row r="131" spans="1:36" s="43" customFormat="1" x14ac:dyDescent="0.3">
      <c r="A131" s="123" t="s">
        <v>93</v>
      </c>
      <c r="B131" s="124">
        <f t="shared" ref="B131:Q131" si="133">B50+B52+B54+B56+B75+B85+B87+B103+B105+B111+B123+B125+B126+B127</f>
        <v>85353146774.930008</v>
      </c>
      <c r="C131" s="124">
        <f t="shared" si="133"/>
        <v>23014977190.259998</v>
      </c>
      <c r="D131" s="124">
        <f t="shared" si="133"/>
        <v>70714783753.950012</v>
      </c>
      <c r="E131" s="124">
        <f t="shared" si="133"/>
        <v>35656144082.489998</v>
      </c>
      <c r="F131" s="124">
        <f t="shared" si="133"/>
        <v>20223541816.519997</v>
      </c>
      <c r="G131" s="124">
        <f t="shared" si="133"/>
        <v>14293029845.050001</v>
      </c>
      <c r="H131" s="124">
        <f t="shared" si="133"/>
        <v>1414205099.4099998</v>
      </c>
      <c r="I131" s="124">
        <f t="shared" si="133"/>
        <v>1722563450.26</v>
      </c>
      <c r="J131" s="124">
        <f t="shared" si="133"/>
        <v>58642935311.990005</v>
      </c>
      <c r="K131" s="124">
        <f t="shared" si="133"/>
        <v>15829126365.720001</v>
      </c>
      <c r="L131" s="124">
        <f t="shared" si="133"/>
        <v>49251332541.350006</v>
      </c>
      <c r="M131" s="124">
        <f t="shared" si="133"/>
        <v>24012864588.43</v>
      </c>
      <c r="N131" s="124">
        <f t="shared" si="133"/>
        <v>13364996448.060001</v>
      </c>
      <c r="O131" s="124">
        <f t="shared" si="133"/>
        <v>9987933031.6100006</v>
      </c>
      <c r="P131" s="124">
        <f t="shared" si="133"/>
        <v>851825475.23999989</v>
      </c>
      <c r="Q131" s="124">
        <f t="shared" si="133"/>
        <v>1015974181.4499999</v>
      </c>
      <c r="R131" s="125">
        <f t="shared" si="87"/>
        <v>85353.146774930006</v>
      </c>
      <c r="S131" s="125">
        <f t="shared" si="64"/>
        <v>70714.783753950018</v>
      </c>
      <c r="T131" s="125">
        <f>E131/1000000</f>
        <v>35656.144082489998</v>
      </c>
      <c r="U131" s="125">
        <f t="shared" si="129"/>
        <v>20223.541816519995</v>
      </c>
      <c r="V131" s="125">
        <f t="shared" si="60"/>
        <v>14293.029845050001</v>
      </c>
      <c r="W131" s="125">
        <f t="shared" si="52"/>
        <v>3136.7685496700001</v>
      </c>
      <c r="X131" s="125">
        <f t="shared" si="127"/>
        <v>58642.935311990004</v>
      </c>
      <c r="Y131" s="125">
        <f t="shared" si="65"/>
        <v>49251.332541350006</v>
      </c>
      <c r="Z131" s="125">
        <f>M131/1000000</f>
        <v>24012.864588429999</v>
      </c>
      <c r="AA131" s="125">
        <f t="shared" si="130"/>
        <v>13364.996448060001</v>
      </c>
      <c r="AB131" s="125">
        <f t="shared" si="57"/>
        <v>9987.9330316100004</v>
      </c>
      <c r="AC131" s="125">
        <f>(P131+Q131)/1000000</f>
        <v>1867.7996566899999</v>
      </c>
      <c r="AD131" s="125">
        <f>X131/R131%</f>
        <v>68.706237002165992</v>
      </c>
      <c r="AE131" s="125">
        <f t="shared" si="58"/>
        <v>69.647858519540335</v>
      </c>
      <c r="AF131" s="125">
        <f>Z131/T131%</f>
        <v>67.345657267024066</v>
      </c>
      <c r="AG131" s="125">
        <f>AA131/U131%</f>
        <v>66.086329334966152</v>
      </c>
      <c r="AH131" s="125">
        <f t="shared" si="90"/>
        <v>69.879746561006783</v>
      </c>
      <c r="AI131" s="126">
        <f>AC131/W131%</f>
        <v>59.545345061767449</v>
      </c>
      <c r="AJ131" s="79"/>
    </row>
    <row r="132" spans="1:36" s="71" customFormat="1" hidden="1" x14ac:dyDescent="0.3">
      <c r="A132" s="127" t="s">
        <v>94</v>
      </c>
      <c r="B132" s="128">
        <f t="shared" ref="B132:Q132" si="134">B131-B49</f>
        <v>0</v>
      </c>
      <c r="C132" s="128">
        <f t="shared" si="134"/>
        <v>0</v>
      </c>
      <c r="D132" s="128">
        <f t="shared" si="134"/>
        <v>0</v>
      </c>
      <c r="E132" s="128">
        <f t="shared" si="134"/>
        <v>0</v>
      </c>
      <c r="F132" s="128">
        <f t="shared" si="134"/>
        <v>0</v>
      </c>
      <c r="G132" s="128">
        <f t="shared" si="134"/>
        <v>0</v>
      </c>
      <c r="H132" s="128">
        <f t="shared" si="134"/>
        <v>0</v>
      </c>
      <c r="I132" s="128">
        <f t="shared" si="134"/>
        <v>0</v>
      </c>
      <c r="J132" s="128">
        <f t="shared" si="134"/>
        <v>0</v>
      </c>
      <c r="K132" s="128">
        <f t="shared" si="134"/>
        <v>0</v>
      </c>
      <c r="L132" s="128">
        <f t="shared" si="134"/>
        <v>0</v>
      </c>
      <c r="M132" s="128">
        <f t="shared" si="134"/>
        <v>0</v>
      </c>
      <c r="N132" s="128">
        <f t="shared" si="134"/>
        <v>0</v>
      </c>
      <c r="O132" s="128">
        <f t="shared" si="134"/>
        <v>0</v>
      </c>
      <c r="P132" s="128">
        <f t="shared" si="134"/>
        <v>0</v>
      </c>
      <c r="Q132" s="128">
        <f t="shared" si="134"/>
        <v>0</v>
      </c>
      <c r="R132" s="129">
        <f t="shared" si="87"/>
        <v>0</v>
      </c>
      <c r="S132" s="129">
        <f t="shared" si="64"/>
        <v>0</v>
      </c>
      <c r="T132" s="129">
        <f>E132/1000000</f>
        <v>0</v>
      </c>
      <c r="U132" s="129">
        <f t="shared" si="129"/>
        <v>0</v>
      </c>
      <c r="V132" s="129">
        <f t="shared" si="60"/>
        <v>0</v>
      </c>
      <c r="W132" s="129">
        <f t="shared" si="52"/>
        <v>0</v>
      </c>
      <c r="X132" s="129">
        <f t="shared" si="127"/>
        <v>0</v>
      </c>
      <c r="Y132" s="129">
        <f t="shared" si="65"/>
        <v>0</v>
      </c>
      <c r="Z132" s="129">
        <f>M132/1000000</f>
        <v>0</v>
      </c>
      <c r="AA132" s="129">
        <f t="shared" si="130"/>
        <v>0</v>
      </c>
      <c r="AB132" s="129">
        <f t="shared" si="57"/>
        <v>0</v>
      </c>
      <c r="AC132" s="184">
        <f t="shared" si="131"/>
        <v>0</v>
      </c>
      <c r="AD132" s="130"/>
      <c r="AE132" s="130"/>
      <c r="AF132" s="130"/>
      <c r="AG132" s="130"/>
      <c r="AH132" s="130"/>
      <c r="AI132" s="131"/>
      <c r="AJ132" s="132"/>
    </row>
    <row r="133" spans="1:36" x14ac:dyDescent="0.3">
      <c r="A133" s="267" t="s">
        <v>61</v>
      </c>
      <c r="B133" s="134">
        <v>645108359.13999999</v>
      </c>
      <c r="C133" s="134">
        <v>23014265723.59</v>
      </c>
      <c r="D133" s="134">
        <v>21662177953.98</v>
      </c>
      <c r="E133" s="135">
        <f>F133+G133+H133+I133</f>
        <v>1997196128.75</v>
      </c>
      <c r="F133" s="135">
        <v>0</v>
      </c>
      <c r="G133" s="135">
        <v>1893790482.6199999</v>
      </c>
      <c r="H133" s="135">
        <v>40878755.75</v>
      </c>
      <c r="I133" s="135">
        <v>62526890.379999995</v>
      </c>
      <c r="J133" s="135">
        <v>19142002.050000001</v>
      </c>
      <c r="K133" s="135">
        <v>15829126365.720001</v>
      </c>
      <c r="L133" s="135">
        <v>14640403819.840002</v>
      </c>
      <c r="M133" s="135">
        <f>N133+O133+P133+Q133</f>
        <v>1207864547.9300001</v>
      </c>
      <c r="N133" s="135">
        <v>0</v>
      </c>
      <c r="O133" s="135">
        <v>1136359831.47</v>
      </c>
      <c r="P133" s="135">
        <v>28015057.050000001</v>
      </c>
      <c r="Q133" s="135">
        <v>43489659.409999996</v>
      </c>
      <c r="R133" s="57">
        <f t="shared" si="87"/>
        <v>645.10835913999995</v>
      </c>
      <c r="S133" s="57">
        <f t="shared" si="64"/>
        <v>21662.177953980001</v>
      </c>
      <c r="T133" s="57">
        <f>E133/1000000</f>
        <v>1997.1961287500001</v>
      </c>
      <c r="U133" s="57">
        <f t="shared" si="129"/>
        <v>0</v>
      </c>
      <c r="V133" s="57">
        <f t="shared" si="60"/>
        <v>1893.7904826199999</v>
      </c>
      <c r="W133" s="57">
        <f t="shared" si="52"/>
        <v>103.40564612999999</v>
      </c>
      <c r="X133" s="57">
        <f>J133/1000000</f>
        <v>19.142002050000002</v>
      </c>
      <c r="Y133" s="57">
        <f t="shared" si="65"/>
        <v>14640.403819840001</v>
      </c>
      <c r="Z133" s="57">
        <f>M133/1000000</f>
        <v>1207.8645479300001</v>
      </c>
      <c r="AA133" s="57">
        <f t="shared" si="130"/>
        <v>0</v>
      </c>
      <c r="AB133" s="57">
        <f t="shared" si="57"/>
        <v>1136.35983147</v>
      </c>
      <c r="AC133" s="32">
        <f t="shared" si="131"/>
        <v>71.504716459999997</v>
      </c>
      <c r="AD133" s="57">
        <f>X133/R133%</f>
        <v>2.9672537611384211</v>
      </c>
      <c r="AE133" s="57">
        <f>Y133/S133%</f>
        <v>67.585096249059831</v>
      </c>
      <c r="AF133" s="57">
        <f>Z133/T133%</f>
        <v>60.478013678404992</v>
      </c>
      <c r="AG133" s="136" t="s">
        <v>30</v>
      </c>
      <c r="AH133" s="57">
        <f t="shared" si="90"/>
        <v>60.004516967361759</v>
      </c>
      <c r="AI133" s="137">
        <f>AC133/W133%</f>
        <v>69.149721641026616</v>
      </c>
      <c r="AJ133" s="138"/>
    </row>
    <row r="134" spans="1:36" s="70" customFormat="1" hidden="1" x14ac:dyDescent="0.3">
      <c r="A134" s="308" t="s">
        <v>95</v>
      </c>
      <c r="B134" s="309">
        <f>(B51+B53+B55+B57+B76+B86+B88+B104+B106+B112+B124+B127)-B133</f>
        <v>0</v>
      </c>
      <c r="C134" s="309">
        <f>(C51+C53+C55+C57+C76+C86+C88+C104+C106+C112+C124+C127)-C133</f>
        <v>0</v>
      </c>
      <c r="D134" s="309">
        <f>(D51+D53+D55+D57+D76+D86+D88+D104+D106+D112+D124+D127)-D133</f>
        <v>0</v>
      </c>
      <c r="E134" s="309">
        <f>(E51+E53+E55+E57+E76+E86+E88+E104+E106+E112+E124+E127)-E133+G127+H127</f>
        <v>1.1920928955078125E-7</v>
      </c>
      <c r="F134" s="309">
        <f>(F51+F53+F55+F57+F76+F86+F88+F104+F106+F112+F124+F127)-F133</f>
        <v>0</v>
      </c>
      <c r="G134" s="309">
        <f>(G51+G53+G55+G57+G76+G86+G88+G104+G106+G112+G124+G127)-G133</f>
        <v>0</v>
      </c>
      <c r="H134" s="309">
        <f>(H51+H53+H55+H57+H76+H86+H88+H104+H106+H112+H124+H127)-H133</f>
        <v>0</v>
      </c>
      <c r="I134" s="309"/>
      <c r="J134" s="309">
        <f>(J51+J53+J55+J57+J76+J86+J88+J104+J106+J112+J124+J127)-J133</f>
        <v>0</v>
      </c>
      <c r="K134" s="309">
        <f>(K51+K53+K55+K57+K76+K86+K88+K104+K106+K112+K124+K127)-K133</f>
        <v>0</v>
      </c>
      <c r="L134" s="309">
        <f>(L51+L53+L55+L57+L76+L86+L88+L104+L106+L112+L124+L127)-L133</f>
        <v>0</v>
      </c>
      <c r="M134" s="309">
        <f>(M51+M53+M55+M57+M76+M86+M88+M104+M106+M112+M124+M127)-M133+O127+P127</f>
        <v>5.9604644775390625E-8</v>
      </c>
      <c r="N134" s="309">
        <f>(N51+N53+N55+N57+N76+N86+N88+N104+N106+N112+N124+N127)-N133</f>
        <v>0</v>
      </c>
      <c r="O134" s="309">
        <f>(O51+O53+O55+O57+O76+O86+O88+O104+O106+O112+O124+O127)-O133</f>
        <v>0</v>
      </c>
      <c r="P134" s="309">
        <f>(P51+P53+P55+P57+P76+P86+P88+P104+P106+P112+P124+P127)-P133</f>
        <v>0</v>
      </c>
      <c r="Q134" s="309">
        <f>(Q51+Q53+Q55+Q57+Q76+Q86+Q88+Q104+Q106+Q112+Q124+Q127)-Q133</f>
        <v>0</v>
      </c>
      <c r="R134" s="129"/>
      <c r="S134" s="129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310"/>
      <c r="AJ134" s="139"/>
    </row>
    <row r="135" spans="1:36" s="43" customFormat="1" ht="27" thickBot="1" x14ac:dyDescent="0.35">
      <c r="A135" s="75" t="s">
        <v>96</v>
      </c>
      <c r="B135" s="140">
        <f>B37-B131</f>
        <v>-7493042683.9099884</v>
      </c>
      <c r="C135" s="140"/>
      <c r="D135" s="140">
        <f t="shared" ref="D135:J135" si="135">D37-D131</f>
        <v>-4900756551.8200073</v>
      </c>
      <c r="E135" s="140">
        <f t="shared" si="135"/>
        <v>-2592286132.0899963</v>
      </c>
      <c r="F135" s="140">
        <f t="shared" si="135"/>
        <v>-1233944764.3600006</v>
      </c>
      <c r="G135" s="140">
        <f t="shared" si="135"/>
        <v>-528118991.46000099</v>
      </c>
      <c r="H135" s="140">
        <f t="shared" si="135"/>
        <v>-530709119.8499999</v>
      </c>
      <c r="I135" s="140">
        <f t="shared" si="135"/>
        <v>-299513256.42000008</v>
      </c>
      <c r="J135" s="140">
        <f t="shared" si="135"/>
        <v>-5159757767.4000092</v>
      </c>
      <c r="K135" s="140"/>
      <c r="L135" s="140">
        <f t="shared" ref="L135:Q135" si="136">L37-L131</f>
        <v>-4031422930.3500061</v>
      </c>
      <c r="M135" s="140">
        <f t="shared" si="136"/>
        <v>-1128334837.0500031</v>
      </c>
      <c r="N135" s="140">
        <f t="shared" si="136"/>
        <v>-293232463.40999985</v>
      </c>
      <c r="O135" s="140">
        <f t="shared" si="136"/>
        <v>-156207753.86999893</v>
      </c>
      <c r="P135" s="140">
        <f t="shared" si="136"/>
        <v>-442655187.48999983</v>
      </c>
      <c r="Q135" s="140">
        <f t="shared" si="136"/>
        <v>-236239432.27999997</v>
      </c>
      <c r="R135" s="77">
        <f t="shared" si="87"/>
        <v>-7493.0426839099882</v>
      </c>
      <c r="S135" s="77">
        <f t="shared" ref="S135:V136" si="137">D135/1000000</f>
        <v>-4900.7565518200072</v>
      </c>
      <c r="T135" s="77">
        <f t="shared" si="137"/>
        <v>-2592.2861320899965</v>
      </c>
      <c r="U135" s="77">
        <f t="shared" si="137"/>
        <v>-1233.9447643600006</v>
      </c>
      <c r="V135" s="77">
        <f t="shared" si="137"/>
        <v>-528.11899146000098</v>
      </c>
      <c r="W135" s="77">
        <f t="shared" si="52"/>
        <v>-830.22237626999993</v>
      </c>
      <c r="X135" s="77">
        <f t="shared" ref="X135" si="138">J135/1000000</f>
        <v>-5159.7577674000095</v>
      </c>
      <c r="Y135" s="77">
        <f t="shared" ref="Y135:AB136" si="139">L135/1000000</f>
        <v>-4031.422930350006</v>
      </c>
      <c r="Z135" s="77">
        <f t="shared" si="139"/>
        <v>-1128.334837050003</v>
      </c>
      <c r="AA135" s="77">
        <f t="shared" si="139"/>
        <v>-293.23246340999987</v>
      </c>
      <c r="AB135" s="77">
        <f t="shared" si="139"/>
        <v>-156.20775386999892</v>
      </c>
      <c r="AC135" s="77">
        <f t="shared" si="131"/>
        <v>-678.89461976999974</v>
      </c>
      <c r="AD135" s="141" t="s">
        <v>97</v>
      </c>
      <c r="AE135" s="141" t="s">
        <v>97</v>
      </c>
      <c r="AF135" s="141" t="s">
        <v>97</v>
      </c>
      <c r="AG135" s="141" t="s">
        <v>97</v>
      </c>
      <c r="AH135" s="141" t="s">
        <v>97</v>
      </c>
      <c r="AI135" s="142" t="s">
        <v>97</v>
      </c>
      <c r="AJ135" s="143"/>
    </row>
    <row r="136" spans="1:36" s="43" customFormat="1" ht="14.4" hidden="1" thickTop="1" thickBot="1" x14ac:dyDescent="0.35">
      <c r="A136" s="144" t="s">
        <v>98</v>
      </c>
      <c r="B136" s="145">
        <v>-7493042683.9099998</v>
      </c>
      <c r="C136" s="145">
        <v>0</v>
      </c>
      <c r="D136" s="145">
        <v>-4900756551.8199997</v>
      </c>
      <c r="E136" s="146">
        <f>F136+G136+H136+I136</f>
        <v>-2592286132.0900002</v>
      </c>
      <c r="F136" s="145">
        <v>-1233944764.3599999</v>
      </c>
      <c r="G136" s="145">
        <v>-528118991.45999998</v>
      </c>
      <c r="H136" s="145">
        <v>-530709119.85000002</v>
      </c>
      <c r="I136" s="145">
        <v>-299513256.42000002</v>
      </c>
      <c r="J136" s="145">
        <v>-5159757767.3999996</v>
      </c>
      <c r="K136" s="145">
        <v>0</v>
      </c>
      <c r="L136" s="145">
        <v>-4031422930.3499999</v>
      </c>
      <c r="M136" s="146">
        <f>N136+O136+P136+Q136</f>
        <v>-1128334837.05</v>
      </c>
      <c r="N136" s="145">
        <v>-293232463.41000003</v>
      </c>
      <c r="O136" s="145">
        <v>-156207753.87</v>
      </c>
      <c r="P136" s="145">
        <v>-442655187.49000001</v>
      </c>
      <c r="Q136" s="145">
        <v>-236239432.28</v>
      </c>
      <c r="R136" s="147">
        <f>B136/1000000</f>
        <v>-7493.0426839100001</v>
      </c>
      <c r="S136" s="147">
        <f t="shared" si="137"/>
        <v>-4900.7565518199999</v>
      </c>
      <c r="T136" s="147">
        <f t="shared" si="137"/>
        <v>-2592.2861320900001</v>
      </c>
      <c r="U136" s="147">
        <f t="shared" si="137"/>
        <v>-1233.9447643599999</v>
      </c>
      <c r="V136" s="147">
        <f t="shared" si="137"/>
        <v>-528.11899145999996</v>
      </c>
      <c r="W136" s="147">
        <f t="shared" si="52"/>
        <v>-830.22237626999993</v>
      </c>
      <c r="X136" s="147">
        <f t="shared" ref="X136" si="140">J136/1000000</f>
        <v>-5159.7577673999995</v>
      </c>
      <c r="Y136" s="147">
        <f t="shared" si="139"/>
        <v>-4031.4229303500001</v>
      </c>
      <c r="Z136" s="147">
        <f t="shared" si="139"/>
        <v>-1128.33483705</v>
      </c>
      <c r="AA136" s="147">
        <f t="shared" si="139"/>
        <v>-293.23246341000004</v>
      </c>
      <c r="AB136" s="147">
        <f t="shared" si="139"/>
        <v>-156.20775387</v>
      </c>
      <c r="AC136" s="147">
        <f t="shared" si="131"/>
        <v>-678.89461976999996</v>
      </c>
      <c r="AD136" s="147"/>
      <c r="AE136" s="147"/>
      <c r="AF136" s="147"/>
      <c r="AG136" s="147"/>
      <c r="AH136" s="147"/>
      <c r="AI136" s="148"/>
      <c r="AJ136" s="149"/>
    </row>
    <row r="137" spans="1:36" s="43" customFormat="1" ht="14.4" hidden="1" thickTop="1" thickBot="1" x14ac:dyDescent="0.35">
      <c r="A137" s="150" t="s">
        <v>99</v>
      </c>
      <c r="B137" s="151">
        <f>B135-B136</f>
        <v>1.1444091796875E-5</v>
      </c>
      <c r="C137" s="151"/>
      <c r="D137" s="151">
        <f t="shared" ref="D137:AC137" si="141">D135-D136</f>
        <v>-7.62939453125E-6</v>
      </c>
      <c r="E137" s="151">
        <f t="shared" si="141"/>
        <v>3.814697265625E-6</v>
      </c>
      <c r="F137" s="151">
        <f t="shared" si="141"/>
        <v>0</v>
      </c>
      <c r="G137" s="151">
        <f t="shared" si="141"/>
        <v>-1.0132789611816406E-6</v>
      </c>
      <c r="H137" s="151">
        <f t="shared" si="141"/>
        <v>0</v>
      </c>
      <c r="I137" s="151">
        <f t="shared" si="141"/>
        <v>0</v>
      </c>
      <c r="J137" s="151">
        <f t="shared" si="141"/>
        <v>-9.5367431640625E-6</v>
      </c>
      <c r="K137" s="151"/>
      <c r="L137" s="151">
        <f t="shared" si="141"/>
        <v>-6.198883056640625E-6</v>
      </c>
      <c r="M137" s="151">
        <f t="shared" si="141"/>
        <v>-3.0994415283203125E-6</v>
      </c>
      <c r="N137" s="151">
        <f t="shared" si="141"/>
        <v>0</v>
      </c>
      <c r="O137" s="151">
        <f t="shared" si="141"/>
        <v>1.0728836059570313E-6</v>
      </c>
      <c r="P137" s="151">
        <f t="shared" si="141"/>
        <v>0</v>
      </c>
      <c r="Q137" s="151">
        <f t="shared" ref="Q137" si="142">Q135-Q136</f>
        <v>0</v>
      </c>
      <c r="R137" s="151">
        <f t="shared" si="141"/>
        <v>1.1823431123048067E-11</v>
      </c>
      <c r="S137" s="151">
        <f t="shared" si="141"/>
        <v>-7.2759576141834259E-12</v>
      </c>
      <c r="T137" s="151">
        <f t="shared" si="141"/>
        <v>3.637978807091713E-12</v>
      </c>
      <c r="U137" s="151">
        <f t="shared" si="141"/>
        <v>0</v>
      </c>
      <c r="V137" s="151">
        <f t="shared" si="141"/>
        <v>-1.0231815394945443E-12</v>
      </c>
      <c r="W137" s="151">
        <f t="shared" si="141"/>
        <v>0</v>
      </c>
      <c r="X137" s="151">
        <f t="shared" si="141"/>
        <v>-1.0004441719502211E-11</v>
      </c>
      <c r="Y137" s="151">
        <f t="shared" si="141"/>
        <v>-5.9117155615240335E-12</v>
      </c>
      <c r="Z137" s="151">
        <f t="shared" si="141"/>
        <v>-2.9558577807620168E-12</v>
      </c>
      <c r="AA137" s="151">
        <f t="shared" si="141"/>
        <v>0</v>
      </c>
      <c r="AB137" s="151">
        <f t="shared" si="141"/>
        <v>1.0800249583553523E-12</v>
      </c>
      <c r="AC137" s="151">
        <f t="shared" si="141"/>
        <v>0</v>
      </c>
      <c r="AD137" s="152"/>
      <c r="AE137" s="152"/>
      <c r="AF137" s="152"/>
      <c r="AG137" s="152"/>
      <c r="AH137" s="152"/>
      <c r="AI137" s="153"/>
      <c r="AJ137" s="149"/>
    </row>
    <row r="138" spans="1:36" ht="13.5" customHeight="1" thickTop="1" x14ac:dyDescent="0.3">
      <c r="A138" s="382" t="s">
        <v>0</v>
      </c>
      <c r="B138" s="371" t="s">
        <v>121</v>
      </c>
      <c r="C138" s="372"/>
      <c r="D138" s="372"/>
      <c r="E138" s="372"/>
      <c r="F138" s="372"/>
      <c r="G138" s="372"/>
      <c r="H138" s="372"/>
      <c r="I138" s="373"/>
      <c r="J138" s="371" t="s">
        <v>267</v>
      </c>
      <c r="K138" s="372"/>
      <c r="L138" s="372"/>
      <c r="M138" s="372"/>
      <c r="N138" s="372"/>
      <c r="O138" s="372"/>
      <c r="P138" s="372"/>
      <c r="Q138" s="373"/>
      <c r="R138" s="384" t="s">
        <v>122</v>
      </c>
      <c r="S138" s="384"/>
      <c r="T138" s="384"/>
      <c r="U138" s="384"/>
      <c r="V138" s="384"/>
      <c r="W138" s="384"/>
      <c r="X138" s="384" t="s">
        <v>263</v>
      </c>
      <c r="Y138" s="384"/>
      <c r="Z138" s="384"/>
      <c r="AA138" s="384"/>
      <c r="AB138" s="384"/>
      <c r="AC138" s="384"/>
      <c r="AD138" s="384" t="s">
        <v>1</v>
      </c>
      <c r="AE138" s="384"/>
      <c r="AF138" s="384"/>
      <c r="AG138" s="384"/>
      <c r="AH138" s="384"/>
      <c r="AI138" s="385"/>
      <c r="AJ138" s="9"/>
    </row>
    <row r="139" spans="1:36" ht="12.75" customHeight="1" x14ac:dyDescent="0.3">
      <c r="A139" s="383"/>
      <c r="B139" s="380" t="s">
        <v>2</v>
      </c>
      <c r="C139" s="374" t="s">
        <v>3</v>
      </c>
      <c r="D139" s="375"/>
      <c r="E139" s="375"/>
      <c r="F139" s="375"/>
      <c r="G139" s="375"/>
      <c r="H139" s="375"/>
      <c r="I139" s="376"/>
      <c r="J139" s="380" t="s">
        <v>2</v>
      </c>
      <c r="K139" s="374" t="s">
        <v>3</v>
      </c>
      <c r="L139" s="375"/>
      <c r="M139" s="375"/>
      <c r="N139" s="375"/>
      <c r="O139" s="375"/>
      <c r="P139" s="375"/>
      <c r="Q139" s="376"/>
      <c r="R139" s="380" t="s">
        <v>2</v>
      </c>
      <c r="S139" s="387" t="s">
        <v>4</v>
      </c>
      <c r="T139" s="387"/>
      <c r="U139" s="387"/>
      <c r="V139" s="387"/>
      <c r="W139" s="387"/>
      <c r="X139" s="380" t="s">
        <v>2</v>
      </c>
      <c r="Y139" s="387" t="s">
        <v>4</v>
      </c>
      <c r="Z139" s="387"/>
      <c r="AA139" s="387"/>
      <c r="AB139" s="387"/>
      <c r="AC139" s="387"/>
      <c r="AD139" s="391" t="s">
        <v>2</v>
      </c>
      <c r="AE139" s="387" t="s">
        <v>4</v>
      </c>
      <c r="AF139" s="387"/>
      <c r="AG139" s="387"/>
      <c r="AH139" s="387"/>
      <c r="AI139" s="388"/>
      <c r="AJ139" s="9"/>
    </row>
    <row r="140" spans="1:36" ht="12.75" customHeight="1" x14ac:dyDescent="0.3">
      <c r="A140" s="383"/>
      <c r="B140" s="380"/>
      <c r="C140" s="389" t="s">
        <v>5</v>
      </c>
      <c r="D140" s="380" t="s">
        <v>6</v>
      </c>
      <c r="E140" s="380" t="s">
        <v>7</v>
      </c>
      <c r="F140" s="377" t="s">
        <v>8</v>
      </c>
      <c r="G140" s="378"/>
      <c r="H140" s="378"/>
      <c r="I140" s="379"/>
      <c r="J140" s="380"/>
      <c r="K140" s="389" t="s">
        <v>5</v>
      </c>
      <c r="L140" s="380" t="s">
        <v>6</v>
      </c>
      <c r="M140" s="380" t="s">
        <v>7</v>
      </c>
      <c r="N140" s="377" t="s">
        <v>8</v>
      </c>
      <c r="O140" s="378"/>
      <c r="P140" s="378"/>
      <c r="Q140" s="379"/>
      <c r="R140" s="380"/>
      <c r="S140" s="380" t="s">
        <v>6</v>
      </c>
      <c r="T140" s="391" t="s">
        <v>7</v>
      </c>
      <c r="U140" s="386" t="s">
        <v>8</v>
      </c>
      <c r="V140" s="386"/>
      <c r="W140" s="386"/>
      <c r="X140" s="380"/>
      <c r="Y140" s="380" t="s">
        <v>6</v>
      </c>
      <c r="Z140" s="391" t="s">
        <v>7</v>
      </c>
      <c r="AA140" s="386" t="s">
        <v>8</v>
      </c>
      <c r="AB140" s="386"/>
      <c r="AC140" s="386"/>
      <c r="AD140" s="391"/>
      <c r="AE140" s="391" t="s">
        <v>6</v>
      </c>
      <c r="AF140" s="391" t="s">
        <v>7</v>
      </c>
      <c r="AG140" s="392" t="s">
        <v>8</v>
      </c>
      <c r="AH140" s="392"/>
      <c r="AI140" s="393"/>
      <c r="AJ140" s="11"/>
    </row>
    <row r="141" spans="1:36" ht="54.75" customHeight="1" x14ac:dyDescent="0.3">
      <c r="A141" s="383"/>
      <c r="B141" s="380"/>
      <c r="C141" s="390"/>
      <c r="D141" s="380"/>
      <c r="E141" s="380"/>
      <c r="F141" s="12" t="s">
        <v>9</v>
      </c>
      <c r="G141" s="12" t="s">
        <v>10</v>
      </c>
      <c r="H141" s="12" t="s">
        <v>119</v>
      </c>
      <c r="I141" s="12" t="s">
        <v>120</v>
      </c>
      <c r="J141" s="380"/>
      <c r="K141" s="390"/>
      <c r="L141" s="380"/>
      <c r="M141" s="380"/>
      <c r="N141" s="12" t="s">
        <v>9</v>
      </c>
      <c r="O141" s="12" t="s">
        <v>10</v>
      </c>
      <c r="P141" s="12" t="s">
        <v>119</v>
      </c>
      <c r="Q141" s="12" t="s">
        <v>120</v>
      </c>
      <c r="R141" s="380"/>
      <c r="S141" s="380"/>
      <c r="T141" s="391"/>
      <c r="U141" s="12" t="s">
        <v>9</v>
      </c>
      <c r="V141" s="12" t="s">
        <v>10</v>
      </c>
      <c r="W141" s="12" t="s">
        <v>11</v>
      </c>
      <c r="X141" s="380"/>
      <c r="Y141" s="380"/>
      <c r="Z141" s="391"/>
      <c r="AA141" s="12" t="s">
        <v>9</v>
      </c>
      <c r="AB141" s="12" t="s">
        <v>10</v>
      </c>
      <c r="AC141" s="12" t="s">
        <v>11</v>
      </c>
      <c r="AD141" s="391"/>
      <c r="AE141" s="391"/>
      <c r="AF141" s="391"/>
      <c r="AG141" s="13" t="s">
        <v>9</v>
      </c>
      <c r="AH141" s="13" t="s">
        <v>10</v>
      </c>
      <c r="AI141" s="14" t="s">
        <v>12</v>
      </c>
      <c r="AJ141" s="15"/>
    </row>
    <row r="142" spans="1:36" x14ac:dyDescent="0.3">
      <c r="A142" s="16" t="s">
        <v>13</v>
      </c>
      <c r="B142" s="17"/>
      <c r="C142" s="17"/>
      <c r="D142" s="18"/>
      <c r="E142" s="17"/>
      <c r="F142" s="19"/>
      <c r="G142" s="19"/>
      <c r="H142" s="19"/>
      <c r="I142" s="19"/>
      <c r="J142" s="17"/>
      <c r="K142" s="17"/>
      <c r="L142" s="17"/>
      <c r="M142" s="17"/>
      <c r="N142" s="19"/>
      <c r="O142" s="19"/>
      <c r="P142" s="19"/>
      <c r="Q142" s="19"/>
      <c r="R142" s="17" t="s">
        <v>14</v>
      </c>
      <c r="S142" s="17" t="s">
        <v>15</v>
      </c>
      <c r="T142" s="17" t="s">
        <v>16</v>
      </c>
      <c r="U142" s="19">
        <v>4</v>
      </c>
      <c r="V142" s="19">
        <v>5</v>
      </c>
      <c r="W142" s="19">
        <v>6</v>
      </c>
      <c r="X142" s="17" t="s">
        <v>17</v>
      </c>
      <c r="Y142" s="17" t="s">
        <v>18</v>
      </c>
      <c r="Z142" s="17" t="s">
        <v>19</v>
      </c>
      <c r="AA142" s="19">
        <v>10</v>
      </c>
      <c r="AB142" s="19">
        <v>11</v>
      </c>
      <c r="AC142" s="19">
        <v>12</v>
      </c>
      <c r="AD142" s="17" t="s">
        <v>20</v>
      </c>
      <c r="AE142" s="17" t="s">
        <v>21</v>
      </c>
      <c r="AF142" s="17" t="s">
        <v>22</v>
      </c>
      <c r="AG142" s="19" t="s">
        <v>23</v>
      </c>
      <c r="AH142" s="19" t="s">
        <v>24</v>
      </c>
      <c r="AI142" s="20" t="s">
        <v>25</v>
      </c>
      <c r="AJ142" s="21"/>
    </row>
    <row r="143" spans="1:36" s="43" customFormat="1" ht="26.4" x14ac:dyDescent="0.3">
      <c r="A143" s="36" t="s">
        <v>100</v>
      </c>
      <c r="B143" s="154">
        <v>7493042683.9099998</v>
      </c>
      <c r="C143" s="154">
        <v>0</v>
      </c>
      <c r="D143" s="154">
        <v>4900756551.8199997</v>
      </c>
      <c r="E143" s="155">
        <f>F143+G143+H143+I143</f>
        <v>2592286132.0900002</v>
      </c>
      <c r="F143" s="154">
        <v>1233944764.3599999</v>
      </c>
      <c r="G143" s="154">
        <v>528118991.45999998</v>
      </c>
      <c r="H143" s="154">
        <v>530709119.85000002</v>
      </c>
      <c r="I143" s="154">
        <v>299513256.42000002</v>
      </c>
      <c r="J143" s="154">
        <v>5159757767.3999996</v>
      </c>
      <c r="K143" s="154">
        <v>0</v>
      </c>
      <c r="L143" s="154">
        <v>4031422930.3499999</v>
      </c>
      <c r="M143" s="155">
        <f>N143+O143+P143+Q143</f>
        <v>1128334837.05</v>
      </c>
      <c r="N143" s="154">
        <v>293232463.41000003</v>
      </c>
      <c r="O143" s="154">
        <v>156207753.87</v>
      </c>
      <c r="P143" s="154">
        <v>442655187.49000001</v>
      </c>
      <c r="Q143" s="154">
        <v>236239432.28</v>
      </c>
      <c r="R143" s="39">
        <f t="shared" ref="R143:R151" si="143">B143/1000000</f>
        <v>7493.0426839100001</v>
      </c>
      <c r="S143" s="39">
        <f t="shared" ref="S143:S151" si="144">D143/1000000</f>
        <v>4900.7565518199999</v>
      </c>
      <c r="T143" s="39">
        <f t="shared" ref="T143:T151" si="145">E143/1000000</f>
        <v>2592.2861320900001</v>
      </c>
      <c r="U143" s="39">
        <f t="shared" ref="U143:U151" si="146">F143/1000000</f>
        <v>1233.9447643599999</v>
      </c>
      <c r="V143" s="39">
        <f t="shared" ref="V143:V151" si="147">G143/1000000</f>
        <v>528.11899145999996</v>
      </c>
      <c r="W143" s="39">
        <f>(H143+I143)/1000000</f>
        <v>830.22237626999993</v>
      </c>
      <c r="X143" s="39">
        <f t="shared" ref="X143:X151" si="148">J143/1000000</f>
        <v>5159.7577673999995</v>
      </c>
      <c r="Y143" s="39">
        <f t="shared" ref="Y143:Y151" si="149">L143/1000000</f>
        <v>4031.4229303500001</v>
      </c>
      <c r="Z143" s="39">
        <f t="shared" ref="Z143:Z151" si="150">M143/1000000</f>
        <v>1128.33483705</v>
      </c>
      <c r="AA143" s="39">
        <f t="shared" ref="AA143:AA151" si="151">N143/1000000</f>
        <v>293.23246341000004</v>
      </c>
      <c r="AB143" s="39">
        <f t="shared" ref="AB143:AB151" si="152">O143/1000000</f>
        <v>156.20775387</v>
      </c>
      <c r="AC143" s="39">
        <f>(P143+Q143)/1000000</f>
        <v>678.89461976999996</v>
      </c>
      <c r="AD143" s="39"/>
      <c r="AE143" s="39"/>
      <c r="AF143" s="39"/>
      <c r="AG143" s="39"/>
      <c r="AH143" s="39"/>
      <c r="AI143" s="40"/>
      <c r="AJ143" s="41"/>
    </row>
    <row r="144" spans="1:36" s="43" customFormat="1" x14ac:dyDescent="0.3">
      <c r="A144" s="44" t="s">
        <v>101</v>
      </c>
      <c r="B144" s="154">
        <v>-3634141098.3099999</v>
      </c>
      <c r="C144" s="154">
        <v>0</v>
      </c>
      <c r="D144" s="154">
        <v>-4419250200</v>
      </c>
      <c r="E144" s="156">
        <f t="shared" ref="E144:E150" si="153">F144+G144+H144+I144</f>
        <v>785109101.69000006</v>
      </c>
      <c r="F144" s="154">
        <v>621121874.82000005</v>
      </c>
      <c r="G144" s="154">
        <v>126863730.53</v>
      </c>
      <c r="H144" s="154">
        <v>36269791.340000004</v>
      </c>
      <c r="I144" s="154">
        <v>853705</v>
      </c>
      <c r="J144" s="154">
        <v>-13169189600</v>
      </c>
      <c r="K144" s="154">
        <v>0</v>
      </c>
      <c r="L144" s="154">
        <v>-12448404500</v>
      </c>
      <c r="M144" s="156">
        <f t="shared" ref="M144:M150" si="154">N144+O144+P144+Q144</f>
        <v>-720785100</v>
      </c>
      <c r="N144" s="154">
        <v>-652700000</v>
      </c>
      <c r="O144" s="154">
        <v>-68085100</v>
      </c>
      <c r="P144" s="154">
        <v>0</v>
      </c>
      <c r="Q144" s="154">
        <v>0</v>
      </c>
      <c r="R144" s="32">
        <f t="shared" si="143"/>
        <v>-3634.14109831</v>
      </c>
      <c r="S144" s="32">
        <f t="shared" si="144"/>
        <v>-4419.2502000000004</v>
      </c>
      <c r="T144" s="32">
        <f t="shared" si="145"/>
        <v>785.1091016900001</v>
      </c>
      <c r="U144" s="32">
        <f t="shared" si="146"/>
        <v>621.12187482000002</v>
      </c>
      <c r="V144" s="32">
        <f t="shared" si="147"/>
        <v>126.86373053</v>
      </c>
      <c r="W144" s="32">
        <f t="shared" ref="W144:W150" si="155">(H144+I144)/1000000</f>
        <v>37.123496340000003</v>
      </c>
      <c r="X144" s="32">
        <f t="shared" si="148"/>
        <v>-13169.1896</v>
      </c>
      <c r="Y144" s="32">
        <f t="shared" si="149"/>
        <v>-12448.404500000001</v>
      </c>
      <c r="Z144" s="32">
        <f t="shared" si="150"/>
        <v>-720.78510000000006</v>
      </c>
      <c r="AA144" s="32">
        <f t="shared" si="151"/>
        <v>-652.70000000000005</v>
      </c>
      <c r="AB144" s="32">
        <f t="shared" si="152"/>
        <v>-68.085099999999997</v>
      </c>
      <c r="AC144" s="32">
        <f>(P144+Q144)/1000000</f>
        <v>0</v>
      </c>
      <c r="AD144" s="32"/>
      <c r="AE144" s="32"/>
      <c r="AF144" s="32"/>
      <c r="AG144" s="32"/>
      <c r="AH144" s="32"/>
      <c r="AI144" s="34"/>
      <c r="AJ144" s="35"/>
    </row>
    <row r="145" spans="1:36" s="43" customFormat="1" x14ac:dyDescent="0.3">
      <c r="A145" s="44" t="s">
        <v>102</v>
      </c>
      <c r="B145" s="154">
        <v>4838877200</v>
      </c>
      <c r="C145" s="154">
        <v>0</v>
      </c>
      <c r="D145" s="154">
        <v>4838877200</v>
      </c>
      <c r="E145" s="156">
        <f t="shared" si="153"/>
        <v>0</v>
      </c>
      <c r="F145" s="154">
        <v>0</v>
      </c>
      <c r="G145" s="154">
        <v>0</v>
      </c>
      <c r="H145" s="154">
        <v>0</v>
      </c>
      <c r="I145" s="154">
        <v>0</v>
      </c>
      <c r="J145" s="154">
        <v>11642001000</v>
      </c>
      <c r="K145" s="154">
        <v>0</v>
      </c>
      <c r="L145" s="154">
        <v>11111066000</v>
      </c>
      <c r="M145" s="156">
        <f t="shared" si="154"/>
        <v>530935000</v>
      </c>
      <c r="N145" s="154">
        <v>512856000</v>
      </c>
      <c r="O145" s="154">
        <v>18079000</v>
      </c>
      <c r="P145" s="154">
        <v>0</v>
      </c>
      <c r="Q145" s="154">
        <v>0</v>
      </c>
      <c r="R145" s="32">
        <f t="shared" si="143"/>
        <v>4838.8771999999999</v>
      </c>
      <c r="S145" s="32">
        <f t="shared" si="144"/>
        <v>4838.8771999999999</v>
      </c>
      <c r="T145" s="32">
        <f t="shared" si="145"/>
        <v>0</v>
      </c>
      <c r="U145" s="32">
        <f t="shared" si="146"/>
        <v>0</v>
      </c>
      <c r="V145" s="32">
        <f t="shared" si="147"/>
        <v>0</v>
      </c>
      <c r="W145" s="32">
        <f t="shared" si="155"/>
        <v>0</v>
      </c>
      <c r="X145" s="32">
        <f t="shared" si="148"/>
        <v>11642.001</v>
      </c>
      <c r="Y145" s="32">
        <f t="shared" si="149"/>
        <v>11111.066000000001</v>
      </c>
      <c r="Z145" s="32">
        <f t="shared" si="150"/>
        <v>530.93499999999995</v>
      </c>
      <c r="AA145" s="32">
        <f t="shared" si="151"/>
        <v>512.85599999999999</v>
      </c>
      <c r="AB145" s="32">
        <f t="shared" si="152"/>
        <v>18.079000000000001</v>
      </c>
      <c r="AC145" s="32">
        <f t="shared" ref="AC145:AC150" si="156">(P145+Q145)/1000000</f>
        <v>0</v>
      </c>
      <c r="AD145" s="32"/>
      <c r="AE145" s="32"/>
      <c r="AF145" s="32"/>
      <c r="AG145" s="32"/>
      <c r="AH145" s="32"/>
      <c r="AI145" s="34"/>
      <c r="AJ145" s="35"/>
    </row>
    <row r="146" spans="1:36" s="43" customFormat="1" ht="26.4" x14ac:dyDescent="0.3">
      <c r="A146" s="44" t="s">
        <v>103</v>
      </c>
      <c r="B146" s="154">
        <v>1637211900</v>
      </c>
      <c r="C146" s="154">
        <v>0</v>
      </c>
      <c r="D146" s="154">
        <v>1630911900</v>
      </c>
      <c r="E146" s="156">
        <f t="shared" si="153"/>
        <v>6300000</v>
      </c>
      <c r="F146" s="154">
        <v>6300000</v>
      </c>
      <c r="G146" s="154">
        <v>0</v>
      </c>
      <c r="H146" s="154">
        <v>0</v>
      </c>
      <c r="I146" s="154">
        <v>0</v>
      </c>
      <c r="J146" s="154">
        <v>16684550</v>
      </c>
      <c r="K146" s="154">
        <v>0</v>
      </c>
      <c r="L146" s="154">
        <v>10664550</v>
      </c>
      <c r="M146" s="156">
        <f t="shared" si="154"/>
        <v>6020000</v>
      </c>
      <c r="N146" s="154">
        <v>6020000</v>
      </c>
      <c r="O146" s="154">
        <v>0</v>
      </c>
      <c r="P146" s="154">
        <v>0</v>
      </c>
      <c r="Q146" s="154">
        <v>0</v>
      </c>
      <c r="R146" s="32">
        <f t="shared" si="143"/>
        <v>1637.2119</v>
      </c>
      <c r="S146" s="32">
        <f t="shared" si="144"/>
        <v>1630.9119000000001</v>
      </c>
      <c r="T146" s="32">
        <f t="shared" si="145"/>
        <v>6.3</v>
      </c>
      <c r="U146" s="32">
        <f t="shared" si="146"/>
        <v>6.3</v>
      </c>
      <c r="V146" s="32">
        <f t="shared" si="147"/>
        <v>0</v>
      </c>
      <c r="W146" s="32">
        <f t="shared" si="155"/>
        <v>0</v>
      </c>
      <c r="X146" s="32">
        <f t="shared" si="148"/>
        <v>16.684550000000002</v>
      </c>
      <c r="Y146" s="32">
        <f t="shared" si="149"/>
        <v>10.66455</v>
      </c>
      <c r="Z146" s="32">
        <f t="shared" si="150"/>
        <v>6.02</v>
      </c>
      <c r="AA146" s="32">
        <f t="shared" si="151"/>
        <v>6.02</v>
      </c>
      <c r="AB146" s="32">
        <f t="shared" si="152"/>
        <v>0</v>
      </c>
      <c r="AC146" s="32">
        <f t="shared" si="156"/>
        <v>0</v>
      </c>
      <c r="AD146" s="32">
        <f t="shared" ref="AD146:AG148" si="157">X146/R146%</f>
        <v>1.0190831131877309</v>
      </c>
      <c r="AE146" s="32">
        <f t="shared" si="157"/>
        <v>0.65390104762863044</v>
      </c>
      <c r="AF146" s="32">
        <f t="shared" si="157"/>
        <v>95.555555555555543</v>
      </c>
      <c r="AG146" s="32">
        <f t="shared" si="157"/>
        <v>95.555555555555543</v>
      </c>
      <c r="AH146" s="32"/>
      <c r="AI146" s="34"/>
      <c r="AJ146" s="35"/>
    </row>
    <row r="147" spans="1:36" s="43" customFormat="1" ht="26.4" x14ac:dyDescent="0.3">
      <c r="A147" s="44" t="s">
        <v>104</v>
      </c>
      <c r="B147" s="154">
        <v>-6250000</v>
      </c>
      <c r="C147" s="154">
        <v>0</v>
      </c>
      <c r="D147" s="154">
        <v>0</v>
      </c>
      <c r="E147" s="156">
        <f t="shared" si="153"/>
        <v>-6250000</v>
      </c>
      <c r="F147" s="154">
        <v>0</v>
      </c>
      <c r="G147" s="154">
        <v>0</v>
      </c>
      <c r="H147" s="154">
        <v>-6250000</v>
      </c>
      <c r="I147" s="154">
        <v>0</v>
      </c>
      <c r="J147" s="154">
        <v>0</v>
      </c>
      <c r="K147" s="154">
        <v>0</v>
      </c>
      <c r="L147" s="154">
        <v>0</v>
      </c>
      <c r="M147" s="156">
        <f t="shared" si="154"/>
        <v>0</v>
      </c>
      <c r="N147" s="154">
        <v>0</v>
      </c>
      <c r="O147" s="154">
        <v>0</v>
      </c>
      <c r="P147" s="154">
        <v>0</v>
      </c>
      <c r="Q147" s="154">
        <v>0</v>
      </c>
      <c r="R147" s="32">
        <f t="shared" si="143"/>
        <v>-6.25</v>
      </c>
      <c r="S147" s="32">
        <f t="shared" si="144"/>
        <v>0</v>
      </c>
      <c r="T147" s="32">
        <f t="shared" si="145"/>
        <v>-6.25</v>
      </c>
      <c r="U147" s="32">
        <f t="shared" si="146"/>
        <v>0</v>
      </c>
      <c r="V147" s="32">
        <f t="shared" si="147"/>
        <v>0</v>
      </c>
      <c r="W147" s="32">
        <f t="shared" si="155"/>
        <v>-6.25</v>
      </c>
      <c r="X147" s="32">
        <f t="shared" si="148"/>
        <v>0</v>
      </c>
      <c r="Y147" s="32">
        <f t="shared" si="149"/>
        <v>0</v>
      </c>
      <c r="Z147" s="32">
        <f t="shared" si="150"/>
        <v>0</v>
      </c>
      <c r="AA147" s="32">
        <f t="shared" si="151"/>
        <v>0</v>
      </c>
      <c r="AB147" s="32">
        <f t="shared" si="152"/>
        <v>0</v>
      </c>
      <c r="AC147" s="32">
        <f t="shared" si="156"/>
        <v>0</v>
      </c>
      <c r="AD147" s="32"/>
      <c r="AE147" s="32"/>
      <c r="AF147" s="32"/>
      <c r="AG147" s="32"/>
      <c r="AH147" s="32"/>
      <c r="AI147" s="34"/>
      <c r="AJ147" s="35"/>
    </row>
    <row r="148" spans="1:36" s="43" customFormat="1" x14ac:dyDescent="0.3">
      <c r="A148" s="44" t="s">
        <v>105</v>
      </c>
      <c r="B148" s="154">
        <v>165116100</v>
      </c>
      <c r="C148" s="154">
        <v>0</v>
      </c>
      <c r="D148" s="154">
        <v>164666100</v>
      </c>
      <c r="E148" s="156">
        <f t="shared" si="153"/>
        <v>450000</v>
      </c>
      <c r="F148" s="154">
        <v>0</v>
      </c>
      <c r="G148" s="154">
        <v>0</v>
      </c>
      <c r="H148" s="154">
        <v>450000</v>
      </c>
      <c r="I148" s="154">
        <v>0</v>
      </c>
      <c r="J148" s="154">
        <v>0</v>
      </c>
      <c r="K148" s="154">
        <v>0</v>
      </c>
      <c r="L148" s="154">
        <v>0</v>
      </c>
      <c r="M148" s="156">
        <f t="shared" si="154"/>
        <v>0</v>
      </c>
      <c r="N148" s="154">
        <v>0</v>
      </c>
      <c r="O148" s="154">
        <v>0</v>
      </c>
      <c r="P148" s="154">
        <v>0</v>
      </c>
      <c r="Q148" s="154">
        <v>0</v>
      </c>
      <c r="R148" s="32">
        <f t="shared" si="143"/>
        <v>165.11609999999999</v>
      </c>
      <c r="S148" s="32">
        <f t="shared" si="144"/>
        <v>164.6661</v>
      </c>
      <c r="T148" s="32">
        <f t="shared" si="145"/>
        <v>0.45</v>
      </c>
      <c r="U148" s="32">
        <f t="shared" si="146"/>
        <v>0</v>
      </c>
      <c r="V148" s="32">
        <f t="shared" si="147"/>
        <v>0</v>
      </c>
      <c r="W148" s="32">
        <f t="shared" si="155"/>
        <v>0.45</v>
      </c>
      <c r="X148" s="32">
        <f t="shared" si="148"/>
        <v>0</v>
      </c>
      <c r="Y148" s="32">
        <f t="shared" si="149"/>
        <v>0</v>
      </c>
      <c r="Z148" s="32">
        <f t="shared" si="150"/>
        <v>0</v>
      </c>
      <c r="AA148" s="32">
        <f t="shared" si="151"/>
        <v>0</v>
      </c>
      <c r="AB148" s="32">
        <f t="shared" si="152"/>
        <v>0</v>
      </c>
      <c r="AC148" s="32">
        <f t="shared" si="156"/>
        <v>0</v>
      </c>
      <c r="AD148" s="32">
        <f t="shared" si="157"/>
        <v>0</v>
      </c>
      <c r="AE148" s="32">
        <f t="shared" si="157"/>
        <v>0</v>
      </c>
      <c r="AF148" s="32">
        <f>Z148/T148%</f>
        <v>0</v>
      </c>
      <c r="AG148" s="32"/>
      <c r="AH148" s="32"/>
      <c r="AI148" s="34">
        <f t="shared" ref="AI148" si="158">AC148/W148%</f>
        <v>0</v>
      </c>
      <c r="AJ148" s="35"/>
    </row>
    <row r="149" spans="1:36" s="43" customFormat="1" ht="26.4" x14ac:dyDescent="0.3">
      <c r="A149" s="44" t="s">
        <v>106</v>
      </c>
      <c r="B149" s="154">
        <v>0</v>
      </c>
      <c r="C149" s="154">
        <v>0</v>
      </c>
      <c r="D149" s="154">
        <v>0</v>
      </c>
      <c r="E149" s="156">
        <f t="shared" si="153"/>
        <v>0</v>
      </c>
      <c r="F149" s="154">
        <v>0</v>
      </c>
      <c r="G149" s="154">
        <v>0</v>
      </c>
      <c r="H149" s="154">
        <v>0</v>
      </c>
      <c r="I149" s="154">
        <v>0</v>
      </c>
      <c r="J149" s="154">
        <v>4195219506.8800001</v>
      </c>
      <c r="K149" s="154">
        <v>0</v>
      </c>
      <c r="L149" s="154">
        <v>3191192108.3400002</v>
      </c>
      <c r="M149" s="156">
        <f t="shared" si="154"/>
        <v>1004027398.54</v>
      </c>
      <c r="N149" s="154">
        <v>540349164.62</v>
      </c>
      <c r="O149" s="154">
        <v>462631358.26999998</v>
      </c>
      <c r="P149" s="154">
        <v>1046875.65</v>
      </c>
      <c r="Q149" s="154">
        <v>0</v>
      </c>
      <c r="R149" s="32">
        <f t="shared" si="143"/>
        <v>0</v>
      </c>
      <c r="S149" s="32">
        <f t="shared" si="144"/>
        <v>0</v>
      </c>
      <c r="T149" s="32">
        <f t="shared" si="145"/>
        <v>0</v>
      </c>
      <c r="U149" s="32">
        <f t="shared" si="146"/>
        <v>0</v>
      </c>
      <c r="V149" s="32">
        <f t="shared" si="147"/>
        <v>0</v>
      </c>
      <c r="W149" s="32">
        <f t="shared" si="155"/>
        <v>0</v>
      </c>
      <c r="X149" s="32">
        <f t="shared" si="148"/>
        <v>4195.2195068800002</v>
      </c>
      <c r="Y149" s="32">
        <f t="shared" si="149"/>
        <v>3191.1921083400002</v>
      </c>
      <c r="Z149" s="32">
        <f t="shared" si="150"/>
        <v>1004.0273985399999</v>
      </c>
      <c r="AA149" s="32">
        <f t="shared" si="151"/>
        <v>540.34916462000001</v>
      </c>
      <c r="AB149" s="32">
        <f t="shared" si="152"/>
        <v>462.63135826999996</v>
      </c>
      <c r="AC149" s="32">
        <f t="shared" si="156"/>
        <v>1.04687565</v>
      </c>
      <c r="AD149" s="32"/>
      <c r="AE149" s="32"/>
      <c r="AF149" s="32"/>
      <c r="AG149" s="32"/>
      <c r="AH149" s="32"/>
      <c r="AI149" s="34"/>
      <c r="AJ149" s="35"/>
    </row>
    <row r="150" spans="1:36" s="43" customFormat="1" ht="13.8" thickBot="1" x14ac:dyDescent="0.35">
      <c r="A150" s="157" t="s">
        <v>107</v>
      </c>
      <c r="B150" s="158">
        <v>4492228582.2200003</v>
      </c>
      <c r="C150" s="158">
        <v>0</v>
      </c>
      <c r="D150" s="158">
        <v>2685551551.8200002</v>
      </c>
      <c r="E150" s="159">
        <f t="shared" si="153"/>
        <v>1806677030.4000001</v>
      </c>
      <c r="F150" s="158">
        <v>606522889.53999996</v>
      </c>
      <c r="G150" s="158">
        <v>401255260.93000001</v>
      </c>
      <c r="H150" s="158">
        <v>500239328.50999999</v>
      </c>
      <c r="I150" s="158">
        <v>298659551.42000002</v>
      </c>
      <c r="J150" s="158">
        <v>2475042310.52</v>
      </c>
      <c r="K150" s="158">
        <v>0</v>
      </c>
      <c r="L150" s="158">
        <v>2166904772.0100002</v>
      </c>
      <c r="M150" s="159">
        <f t="shared" si="154"/>
        <v>308137538.50999999</v>
      </c>
      <c r="N150" s="158">
        <v>-113292701.20999999</v>
      </c>
      <c r="O150" s="158">
        <v>-256417504.40000001</v>
      </c>
      <c r="P150" s="158">
        <v>441608311.83999997</v>
      </c>
      <c r="Q150" s="158">
        <v>236239432.28</v>
      </c>
      <c r="R150" s="160">
        <f t="shared" si="143"/>
        <v>4492.2285822200001</v>
      </c>
      <c r="S150" s="160">
        <f t="shared" si="144"/>
        <v>2685.55155182</v>
      </c>
      <c r="T150" s="160">
        <f t="shared" si="145"/>
        <v>1806.6770304000001</v>
      </c>
      <c r="U150" s="160">
        <f t="shared" si="146"/>
        <v>606.52288953999994</v>
      </c>
      <c r="V150" s="160">
        <f t="shared" si="147"/>
        <v>401.25526093000002</v>
      </c>
      <c r="W150" s="160">
        <f t="shared" si="155"/>
        <v>798.89887993000002</v>
      </c>
      <c r="X150" s="160">
        <f t="shared" si="148"/>
        <v>2475.0423105199998</v>
      </c>
      <c r="Y150" s="160">
        <f t="shared" si="149"/>
        <v>2166.9047720100002</v>
      </c>
      <c r="Z150" s="160">
        <f t="shared" si="150"/>
        <v>308.13753851000001</v>
      </c>
      <c r="AA150" s="160">
        <f t="shared" si="151"/>
        <v>-113.29270120999999</v>
      </c>
      <c r="AB150" s="160">
        <f t="shared" si="152"/>
        <v>-256.41750439999998</v>
      </c>
      <c r="AC150" s="160">
        <f t="shared" si="156"/>
        <v>677.84774412000002</v>
      </c>
      <c r="AD150" s="160"/>
      <c r="AE150" s="160"/>
      <c r="AF150" s="160"/>
      <c r="AG150" s="160"/>
      <c r="AH150" s="160"/>
      <c r="AI150" s="161"/>
      <c r="AJ150" s="35"/>
    </row>
    <row r="151" spans="1:36" s="43" customFormat="1" ht="13.8" hidden="1" thickTop="1" x14ac:dyDescent="0.3">
      <c r="A151" s="162" t="s">
        <v>94</v>
      </c>
      <c r="B151" s="154">
        <f>+B135+B143</f>
        <v>1.1444091796875E-5</v>
      </c>
      <c r="C151" s="154">
        <f t="shared" ref="C151:P151" si="159">+C135+C143</f>
        <v>0</v>
      </c>
      <c r="D151" s="154">
        <f t="shared" si="159"/>
        <v>-7.62939453125E-6</v>
      </c>
      <c r="E151" s="154">
        <f t="shared" si="159"/>
        <v>3.814697265625E-6</v>
      </c>
      <c r="F151" s="154">
        <f t="shared" si="159"/>
        <v>0</v>
      </c>
      <c r="G151" s="154">
        <f t="shared" si="159"/>
        <v>-1.0132789611816406E-6</v>
      </c>
      <c r="H151" s="154">
        <f t="shared" si="159"/>
        <v>0</v>
      </c>
      <c r="I151" s="154"/>
      <c r="J151" s="154">
        <f t="shared" si="159"/>
        <v>-9.5367431640625E-6</v>
      </c>
      <c r="K151" s="154">
        <f t="shared" si="159"/>
        <v>0</v>
      </c>
      <c r="L151" s="154">
        <f t="shared" si="159"/>
        <v>-6.198883056640625E-6</v>
      </c>
      <c r="M151" s="154">
        <f t="shared" si="159"/>
        <v>-3.0994415283203125E-6</v>
      </c>
      <c r="N151" s="154">
        <f t="shared" si="159"/>
        <v>0</v>
      </c>
      <c r="O151" s="154">
        <f t="shared" si="159"/>
        <v>1.0728836059570313E-6</v>
      </c>
      <c r="P151" s="154">
        <f t="shared" si="159"/>
        <v>0</v>
      </c>
      <c r="Q151" s="154"/>
      <c r="R151" s="163">
        <f t="shared" si="143"/>
        <v>1.1444091796875E-11</v>
      </c>
      <c r="S151" s="163">
        <f t="shared" si="144"/>
        <v>-7.6293945312499997E-12</v>
      </c>
      <c r="T151" s="163">
        <f t="shared" si="145"/>
        <v>3.8146972656249998E-12</v>
      </c>
      <c r="U151" s="163">
        <f t="shared" si="146"/>
        <v>0</v>
      </c>
      <c r="V151" s="163">
        <f t="shared" si="147"/>
        <v>-1.0132789611816406E-12</v>
      </c>
      <c r="W151" s="163">
        <f t="shared" ref="W151" si="160">H151/1000000</f>
        <v>0</v>
      </c>
      <c r="X151" s="163">
        <f t="shared" si="148"/>
        <v>-9.5367431640625008E-12</v>
      </c>
      <c r="Y151" s="163">
        <f t="shared" si="149"/>
        <v>-6.1988830566406246E-12</v>
      </c>
      <c r="Z151" s="163">
        <f t="shared" si="150"/>
        <v>-3.0994415283203123E-12</v>
      </c>
      <c r="AA151" s="163">
        <f t="shared" si="151"/>
        <v>0</v>
      </c>
      <c r="AB151" s="163">
        <f t="shared" si="152"/>
        <v>1.0728836059570313E-12</v>
      </c>
      <c r="AC151" s="163">
        <f t="shared" ref="AC151" si="161">P151/1000000</f>
        <v>0</v>
      </c>
      <c r="AD151" s="163">
        <f t="shared" ref="AD151:AI151" si="162">X151/R151%</f>
        <v>-83.333333333333329</v>
      </c>
      <c r="AE151" s="163">
        <f t="shared" si="162"/>
        <v>81.25</v>
      </c>
      <c r="AF151" s="163">
        <f t="shared" si="162"/>
        <v>-81.25</v>
      </c>
      <c r="AG151" s="163" t="e">
        <f t="shared" si="162"/>
        <v>#DIV/0!</v>
      </c>
      <c r="AH151" s="163">
        <f t="shared" si="162"/>
        <v>-105.88235294117648</v>
      </c>
      <c r="AI151" s="164" t="e">
        <f t="shared" si="162"/>
        <v>#DIV/0!</v>
      </c>
      <c r="AJ151" s="35"/>
    </row>
    <row r="152" spans="1:36" s="166" customFormat="1" ht="15.6" customHeight="1" thickTop="1" thickBot="1" x14ac:dyDescent="0.35">
      <c r="A152" s="396" t="s">
        <v>108</v>
      </c>
      <c r="B152" s="396"/>
      <c r="C152" s="396"/>
      <c r="D152" s="396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6"/>
      <c r="P152" s="396"/>
      <c r="Q152" s="396"/>
      <c r="R152" s="396"/>
      <c r="S152" s="396"/>
      <c r="T152" s="396"/>
      <c r="U152" s="396"/>
      <c r="V152" s="396"/>
      <c r="W152" s="396"/>
      <c r="X152" s="396"/>
      <c r="Y152" s="396"/>
      <c r="Z152" s="396"/>
      <c r="AA152" s="396"/>
      <c r="AB152" s="396"/>
      <c r="AC152" s="396"/>
      <c r="AD152" s="396"/>
      <c r="AE152" s="396"/>
      <c r="AF152" s="396"/>
      <c r="AG152" s="396"/>
      <c r="AH152" s="396"/>
      <c r="AI152" s="396"/>
      <c r="AJ152" s="165"/>
    </row>
    <row r="153" spans="1:36" s="166" customFormat="1" ht="13.5" customHeight="1" thickTop="1" x14ac:dyDescent="0.3">
      <c r="A153" s="382" t="s">
        <v>0</v>
      </c>
      <c r="B153" s="371" t="s">
        <v>123</v>
      </c>
      <c r="C153" s="372"/>
      <c r="D153" s="372"/>
      <c r="E153" s="372"/>
      <c r="F153" s="372"/>
      <c r="G153" s="372"/>
      <c r="H153" s="372"/>
      <c r="I153" s="373"/>
      <c r="J153" s="371" t="s">
        <v>268</v>
      </c>
      <c r="K153" s="372"/>
      <c r="L153" s="372"/>
      <c r="M153" s="372"/>
      <c r="N153" s="372"/>
      <c r="O153" s="372"/>
      <c r="P153" s="372"/>
      <c r="Q153" s="373"/>
      <c r="R153" s="384" t="s">
        <v>124</v>
      </c>
      <c r="S153" s="384"/>
      <c r="T153" s="384"/>
      <c r="U153" s="384"/>
      <c r="V153" s="384"/>
      <c r="W153" s="384"/>
      <c r="X153" s="384" t="s">
        <v>269</v>
      </c>
      <c r="Y153" s="384"/>
      <c r="Z153" s="384"/>
      <c r="AA153" s="384"/>
      <c r="AB153" s="384"/>
      <c r="AC153" s="384"/>
      <c r="AD153" s="384" t="s">
        <v>109</v>
      </c>
      <c r="AE153" s="384"/>
      <c r="AF153" s="384"/>
      <c r="AG153" s="384"/>
      <c r="AH153" s="384"/>
      <c r="AI153" s="385"/>
      <c r="AJ153" s="9"/>
    </row>
    <row r="154" spans="1:36" s="166" customFormat="1" ht="12.75" customHeight="1" x14ac:dyDescent="0.3">
      <c r="A154" s="383"/>
      <c r="B154" s="380" t="s">
        <v>2</v>
      </c>
      <c r="C154" s="374" t="s">
        <v>3</v>
      </c>
      <c r="D154" s="375"/>
      <c r="E154" s="375"/>
      <c r="F154" s="375"/>
      <c r="G154" s="375"/>
      <c r="H154" s="375"/>
      <c r="I154" s="376"/>
      <c r="J154" s="380" t="s">
        <v>2</v>
      </c>
      <c r="K154" s="10"/>
      <c r="L154" s="374" t="s">
        <v>3</v>
      </c>
      <c r="M154" s="375"/>
      <c r="N154" s="375"/>
      <c r="O154" s="375"/>
      <c r="P154" s="375"/>
      <c r="Q154" s="376"/>
      <c r="R154" s="380" t="s">
        <v>2</v>
      </c>
      <c r="S154" s="387" t="s">
        <v>4</v>
      </c>
      <c r="T154" s="387"/>
      <c r="U154" s="387"/>
      <c r="V154" s="387"/>
      <c r="W154" s="387"/>
      <c r="X154" s="380" t="s">
        <v>2</v>
      </c>
      <c r="Y154" s="387" t="s">
        <v>4</v>
      </c>
      <c r="Z154" s="387"/>
      <c r="AA154" s="387"/>
      <c r="AB154" s="387"/>
      <c r="AC154" s="387"/>
      <c r="AD154" s="380" t="s">
        <v>2</v>
      </c>
      <c r="AE154" s="387" t="s">
        <v>4</v>
      </c>
      <c r="AF154" s="387"/>
      <c r="AG154" s="387"/>
      <c r="AH154" s="387"/>
      <c r="AI154" s="388"/>
      <c r="AJ154" s="9"/>
    </row>
    <row r="155" spans="1:36" s="166" customFormat="1" x14ac:dyDescent="0.3">
      <c r="A155" s="383"/>
      <c r="B155" s="380"/>
      <c r="C155" s="394" t="s">
        <v>5</v>
      </c>
      <c r="D155" s="380" t="s">
        <v>6</v>
      </c>
      <c r="E155" s="380" t="s">
        <v>7</v>
      </c>
      <c r="F155" s="377" t="s">
        <v>8</v>
      </c>
      <c r="G155" s="378"/>
      <c r="H155" s="378"/>
      <c r="I155" s="379"/>
      <c r="J155" s="380"/>
      <c r="K155" s="394" t="s">
        <v>5</v>
      </c>
      <c r="L155" s="380" t="s">
        <v>6</v>
      </c>
      <c r="M155" s="380" t="s">
        <v>7</v>
      </c>
      <c r="N155" s="377" t="s">
        <v>8</v>
      </c>
      <c r="O155" s="378"/>
      <c r="P155" s="378"/>
      <c r="Q155" s="379"/>
      <c r="R155" s="380"/>
      <c r="S155" s="380" t="s">
        <v>6</v>
      </c>
      <c r="T155" s="391" t="s">
        <v>7</v>
      </c>
      <c r="U155" s="386" t="s">
        <v>8</v>
      </c>
      <c r="V155" s="386"/>
      <c r="W155" s="386"/>
      <c r="X155" s="380"/>
      <c r="Y155" s="380" t="s">
        <v>6</v>
      </c>
      <c r="Z155" s="391" t="s">
        <v>7</v>
      </c>
      <c r="AA155" s="386" t="s">
        <v>8</v>
      </c>
      <c r="AB155" s="386"/>
      <c r="AC155" s="386"/>
      <c r="AD155" s="380"/>
      <c r="AE155" s="391" t="s">
        <v>6</v>
      </c>
      <c r="AF155" s="391" t="s">
        <v>7</v>
      </c>
      <c r="AG155" s="392" t="s">
        <v>8</v>
      </c>
      <c r="AH155" s="392"/>
      <c r="AI155" s="393"/>
      <c r="AJ155" s="11"/>
    </row>
    <row r="156" spans="1:36" s="166" customFormat="1" ht="48" customHeight="1" x14ac:dyDescent="0.3">
      <c r="A156" s="383"/>
      <c r="B156" s="380"/>
      <c r="C156" s="394"/>
      <c r="D156" s="380"/>
      <c r="E156" s="380"/>
      <c r="F156" s="12" t="s">
        <v>9</v>
      </c>
      <c r="G156" s="12" t="s">
        <v>10</v>
      </c>
      <c r="H156" s="12" t="s">
        <v>119</v>
      </c>
      <c r="I156" s="12" t="s">
        <v>120</v>
      </c>
      <c r="J156" s="380"/>
      <c r="K156" s="394"/>
      <c r="L156" s="380"/>
      <c r="M156" s="380"/>
      <c r="N156" s="12" t="s">
        <v>9</v>
      </c>
      <c r="O156" s="12" t="s">
        <v>10</v>
      </c>
      <c r="P156" s="12" t="s">
        <v>119</v>
      </c>
      <c r="Q156" s="12" t="s">
        <v>120</v>
      </c>
      <c r="R156" s="380"/>
      <c r="S156" s="380"/>
      <c r="T156" s="391"/>
      <c r="U156" s="12" t="s">
        <v>9</v>
      </c>
      <c r="V156" s="12" t="s">
        <v>10</v>
      </c>
      <c r="W156" s="12" t="s">
        <v>11</v>
      </c>
      <c r="X156" s="380"/>
      <c r="Y156" s="380"/>
      <c r="Z156" s="391"/>
      <c r="AA156" s="12" t="s">
        <v>9</v>
      </c>
      <c r="AB156" s="12" t="s">
        <v>10</v>
      </c>
      <c r="AC156" s="12" t="s">
        <v>11</v>
      </c>
      <c r="AD156" s="380"/>
      <c r="AE156" s="391"/>
      <c r="AF156" s="391"/>
      <c r="AG156" s="13" t="s">
        <v>9</v>
      </c>
      <c r="AH156" s="13" t="s">
        <v>10</v>
      </c>
      <c r="AI156" s="14" t="s">
        <v>12</v>
      </c>
      <c r="AJ156" s="15"/>
    </row>
    <row r="157" spans="1:36" s="43" customFormat="1" ht="26.4" x14ac:dyDescent="0.2">
      <c r="A157" s="36" t="s">
        <v>126</v>
      </c>
      <c r="B157" s="167">
        <f>D157+E157</f>
        <v>4484776894.9800005</v>
      </c>
      <c r="C157" s="168"/>
      <c r="D157" s="169">
        <f>2685551677.59</f>
        <v>2685551677.5900002</v>
      </c>
      <c r="E157" s="167">
        <f>F157+G157+H157</f>
        <v>1799225217.3900001</v>
      </c>
      <c r="F157" s="169">
        <v>474183634.55000001</v>
      </c>
      <c r="G157" s="169">
        <v>486124000.88999999</v>
      </c>
      <c r="H157" s="169">
        <v>838917581.95000005</v>
      </c>
      <c r="I157" s="169"/>
      <c r="J157" s="167">
        <f>L157+M157</f>
        <v>2007334584.4599998</v>
      </c>
      <c r="K157" s="168"/>
      <c r="L157" s="169">
        <v>516246905.57999998</v>
      </c>
      <c r="M157" s="167">
        <f t="shared" ref="M157:M161" si="163">N157+O157+P157+Q157</f>
        <v>1491087678.8799999</v>
      </c>
      <c r="N157" s="169">
        <v>587476335.75999999</v>
      </c>
      <c r="O157" s="169">
        <v>742541505.28999996</v>
      </c>
      <c r="P157" s="169">
        <v>60809012</v>
      </c>
      <c r="Q157" s="169">
        <v>100260825.83</v>
      </c>
      <c r="R157" s="39">
        <f>B157/1000000</f>
        <v>4484.7768949800002</v>
      </c>
      <c r="S157" s="39">
        <f t="shared" ref="S157:V159" si="164">D157/1000000</f>
        <v>2685.5516775900001</v>
      </c>
      <c r="T157" s="39">
        <f t="shared" si="164"/>
        <v>1799.2252173900001</v>
      </c>
      <c r="U157" s="39">
        <f t="shared" si="164"/>
        <v>474.18363455000002</v>
      </c>
      <c r="V157" s="39">
        <f t="shared" si="164"/>
        <v>486.12400088999999</v>
      </c>
      <c r="W157" s="39">
        <f>(H157+I157)/1000000</f>
        <v>838.91758195</v>
      </c>
      <c r="X157" s="39">
        <f t="shared" ref="X157:X159" si="165">J157/1000000</f>
        <v>2007.3345844599999</v>
      </c>
      <c r="Y157" s="39">
        <f t="shared" ref="Y157:AB159" si="166">L157/1000000</f>
        <v>516.24690557999998</v>
      </c>
      <c r="Z157" s="39">
        <f t="shared" si="166"/>
        <v>1491.0876788799999</v>
      </c>
      <c r="AA157" s="39">
        <f t="shared" si="166"/>
        <v>587.47633575999998</v>
      </c>
      <c r="AB157" s="39">
        <f t="shared" si="166"/>
        <v>742.54150528999992</v>
      </c>
      <c r="AC157" s="39">
        <f t="shared" ref="AC157:AC167" si="167">(P157+Q157)/1000000</f>
        <v>161.06983782999998</v>
      </c>
      <c r="AD157" s="39">
        <f>X157-R157</f>
        <v>-2477.4423105200003</v>
      </c>
      <c r="AE157" s="39">
        <f>Y157-S157</f>
        <v>-2169.3047720100003</v>
      </c>
      <c r="AF157" s="39">
        <f>Z157-T157</f>
        <v>-308.13753851000024</v>
      </c>
      <c r="AG157" s="39">
        <f t="shared" ref="AG157:AI160" si="168">AA157-U157</f>
        <v>113.29270120999996</v>
      </c>
      <c r="AH157" s="39">
        <f t="shared" si="168"/>
        <v>256.41750439999993</v>
      </c>
      <c r="AI157" s="40">
        <f t="shared" si="168"/>
        <v>-677.84774412000002</v>
      </c>
      <c r="AJ157" s="41"/>
    </row>
    <row r="158" spans="1:36" x14ac:dyDescent="0.3">
      <c r="A158" s="100" t="s">
        <v>125</v>
      </c>
      <c r="B158" s="170">
        <f>D158+E158</f>
        <v>1716768851.8000002</v>
      </c>
      <c r="C158" s="171"/>
      <c r="D158" s="171">
        <v>286708960.94</v>
      </c>
      <c r="E158" s="170">
        <f t="shared" ref="E158:E167" si="169">F158+G158+H158</f>
        <v>1430059890.8600001</v>
      </c>
      <c r="F158" s="171">
        <v>546244372.11000001</v>
      </c>
      <c r="G158" s="171">
        <v>191723481.91999999</v>
      </c>
      <c r="H158" s="171">
        <v>692092036.83000004</v>
      </c>
      <c r="I158" s="171"/>
      <c r="J158" s="170">
        <f>L158+M158</f>
        <v>191219343.16999999</v>
      </c>
      <c r="K158" s="171"/>
      <c r="L158" s="171">
        <v>313210.78000000003</v>
      </c>
      <c r="M158" s="170">
        <f t="shared" si="163"/>
        <v>190906132.38999999</v>
      </c>
      <c r="N158" s="171">
        <v>88024109.359999999</v>
      </c>
      <c r="O158" s="171">
        <v>60674395.719999999</v>
      </c>
      <c r="P158" s="171">
        <v>20770914.390000001</v>
      </c>
      <c r="Q158" s="171">
        <v>21436712.920000002</v>
      </c>
      <c r="R158" s="33">
        <f>B158/1000000</f>
        <v>1716.7688518000002</v>
      </c>
      <c r="S158" s="33">
        <f t="shared" si="164"/>
        <v>286.70896094</v>
      </c>
      <c r="T158" s="33">
        <f t="shared" si="164"/>
        <v>1430.0598908600002</v>
      </c>
      <c r="U158" s="33">
        <f t="shared" si="164"/>
        <v>546.24437210999997</v>
      </c>
      <c r="V158" s="33">
        <f t="shared" si="164"/>
        <v>191.72348191999998</v>
      </c>
      <c r="W158" s="33">
        <f>(H158+I158)/1000000</f>
        <v>692.0920368300001</v>
      </c>
      <c r="X158" s="32">
        <f t="shared" si="165"/>
        <v>191.21934316999997</v>
      </c>
      <c r="Y158" s="32">
        <f t="shared" si="166"/>
        <v>0.31321078000000002</v>
      </c>
      <c r="Z158" s="32">
        <f t="shared" si="166"/>
        <v>190.90613238999998</v>
      </c>
      <c r="AA158" s="32">
        <f t="shared" si="166"/>
        <v>88.024109359999997</v>
      </c>
      <c r="AB158" s="32">
        <f t="shared" si="166"/>
        <v>60.67439572</v>
      </c>
      <c r="AC158" s="32">
        <f t="shared" si="167"/>
        <v>42.207627309999999</v>
      </c>
      <c r="AD158" s="32">
        <f t="shared" ref="AD158:AI167" si="170">X158-R158</f>
        <v>-1525.5495086300002</v>
      </c>
      <c r="AE158" s="32">
        <f t="shared" si="170"/>
        <v>-286.39575015999998</v>
      </c>
      <c r="AF158" s="32">
        <f t="shared" si="170"/>
        <v>-1239.1537584700002</v>
      </c>
      <c r="AG158" s="32">
        <f t="shared" si="168"/>
        <v>-458.22026274999996</v>
      </c>
      <c r="AH158" s="32">
        <f t="shared" si="168"/>
        <v>-131.04908619999998</v>
      </c>
      <c r="AI158" s="34">
        <f t="shared" si="168"/>
        <v>-649.88440952000008</v>
      </c>
      <c r="AJ158" s="35"/>
    </row>
    <row r="159" spans="1:36" x14ac:dyDescent="0.25">
      <c r="A159" s="100" t="s">
        <v>110</v>
      </c>
      <c r="B159" s="170">
        <f>D159+E159</f>
        <v>300673839.02999997</v>
      </c>
      <c r="C159" s="171"/>
      <c r="D159" s="172">
        <f>D158</f>
        <v>286708960.94</v>
      </c>
      <c r="E159" s="170">
        <f t="shared" si="169"/>
        <v>13964878.09</v>
      </c>
      <c r="F159" s="171">
        <v>8745711.9000000004</v>
      </c>
      <c r="G159" s="171">
        <v>4185880.33</v>
      </c>
      <c r="H159" s="134">
        <v>1033285.86</v>
      </c>
      <c r="I159" s="134"/>
      <c r="J159" s="170">
        <f>L159+M159</f>
        <v>85185161.110000014</v>
      </c>
      <c r="K159" s="171"/>
      <c r="L159" s="172">
        <f>L158</f>
        <v>313210.78000000003</v>
      </c>
      <c r="M159" s="170">
        <f t="shared" si="163"/>
        <v>84871950.330000013</v>
      </c>
      <c r="N159" s="171">
        <v>70087607.200000003</v>
      </c>
      <c r="O159" s="171">
        <v>11606264.279999999</v>
      </c>
      <c r="P159" s="134">
        <v>625473.59</v>
      </c>
      <c r="Q159" s="134">
        <v>2552605.2599999998</v>
      </c>
      <c r="R159" s="33">
        <f>B159/1000000</f>
        <v>300.67383902999995</v>
      </c>
      <c r="S159" s="33">
        <f t="shared" si="164"/>
        <v>286.70896094</v>
      </c>
      <c r="T159" s="33">
        <f t="shared" si="164"/>
        <v>13.964878089999999</v>
      </c>
      <c r="U159" s="33">
        <f t="shared" si="164"/>
        <v>8.7457118999999999</v>
      </c>
      <c r="V159" s="33">
        <f t="shared" si="164"/>
        <v>4.1858803299999998</v>
      </c>
      <c r="W159" s="33">
        <f t="shared" ref="W159:W160" si="171">(H159+I159)/1000000</f>
        <v>1.0332858599999999</v>
      </c>
      <c r="X159" s="32">
        <f t="shared" si="165"/>
        <v>85.18516111000001</v>
      </c>
      <c r="Y159" s="32">
        <f t="shared" si="166"/>
        <v>0.31321078000000002</v>
      </c>
      <c r="Z159" s="32">
        <f t="shared" si="166"/>
        <v>84.871950330000018</v>
      </c>
      <c r="AA159" s="32">
        <f t="shared" si="166"/>
        <v>70.087607200000008</v>
      </c>
      <c r="AB159" s="32">
        <f t="shared" si="166"/>
        <v>11.60626428</v>
      </c>
      <c r="AC159" s="32">
        <f t="shared" si="167"/>
        <v>3.1780788499999995</v>
      </c>
      <c r="AD159" s="32">
        <f t="shared" si="170"/>
        <v>-215.48867791999993</v>
      </c>
      <c r="AE159" s="32">
        <f t="shared" si="170"/>
        <v>-286.39575015999998</v>
      </c>
      <c r="AF159" s="32">
        <f t="shared" si="170"/>
        <v>70.907072240000019</v>
      </c>
      <c r="AG159" s="32">
        <f t="shared" si="168"/>
        <v>61.341895300000004</v>
      </c>
      <c r="AH159" s="32">
        <f t="shared" si="168"/>
        <v>7.4203839499999997</v>
      </c>
      <c r="AI159" s="34">
        <f t="shared" si="168"/>
        <v>2.1447929899999996</v>
      </c>
      <c r="AJ159" s="35"/>
    </row>
    <row r="160" spans="1:36" x14ac:dyDescent="0.3">
      <c r="A160" s="100" t="s">
        <v>111</v>
      </c>
      <c r="B160" s="170">
        <f>E160</f>
        <v>1416095012.77</v>
      </c>
      <c r="C160" s="171"/>
      <c r="D160" s="171">
        <v>0</v>
      </c>
      <c r="E160" s="170">
        <f t="shared" si="169"/>
        <v>1416095012.77</v>
      </c>
      <c r="F160" s="173">
        <f>F158-F159</f>
        <v>537498660.21000004</v>
      </c>
      <c r="G160" s="173">
        <f>G158-G159</f>
        <v>187537601.58999997</v>
      </c>
      <c r="H160" s="173">
        <f>H158-H159</f>
        <v>691058750.97000003</v>
      </c>
      <c r="I160" s="173"/>
      <c r="J160" s="170">
        <f>M160</f>
        <v>87150074.399999991</v>
      </c>
      <c r="K160" s="171"/>
      <c r="L160" s="171">
        <v>0</v>
      </c>
      <c r="M160" s="170">
        <f t="shared" si="163"/>
        <v>87150074.399999991</v>
      </c>
      <c r="N160" s="173">
        <f>N158-N159</f>
        <v>17936502.159999996</v>
      </c>
      <c r="O160" s="173">
        <f>O158-O159</f>
        <v>49068131.439999998</v>
      </c>
      <c r="P160" s="173">
        <f>P158-P159</f>
        <v>20145440.800000001</v>
      </c>
      <c r="Q160" s="173"/>
      <c r="R160" s="33">
        <f>B160/1000000</f>
        <v>1416.09501277</v>
      </c>
      <c r="S160" s="33"/>
      <c r="T160" s="33">
        <f t="shared" ref="T160:V167" si="172">E160/1000000</f>
        <v>1416.09501277</v>
      </c>
      <c r="U160" s="33">
        <f t="shared" si="172"/>
        <v>537.49866021000003</v>
      </c>
      <c r="V160" s="33">
        <f t="shared" si="172"/>
        <v>187.53760158999998</v>
      </c>
      <c r="W160" s="33">
        <f t="shared" si="171"/>
        <v>691.05875097000001</v>
      </c>
      <c r="X160" s="32">
        <f>J160/1000000</f>
        <v>87.150074399999994</v>
      </c>
      <c r="Y160" s="32"/>
      <c r="Z160" s="32">
        <f t="shared" ref="Z160:AB167" si="173">M160/1000000</f>
        <v>87.150074399999994</v>
      </c>
      <c r="AA160" s="32">
        <f t="shared" si="173"/>
        <v>17.936502159999996</v>
      </c>
      <c r="AB160" s="32">
        <f t="shared" si="173"/>
        <v>49.068131439999995</v>
      </c>
      <c r="AC160" s="32">
        <f t="shared" si="167"/>
        <v>20.145440799999999</v>
      </c>
      <c r="AD160" s="32">
        <f t="shared" si="170"/>
        <v>-1328.94493837</v>
      </c>
      <c r="AE160" s="58" t="s">
        <v>30</v>
      </c>
      <c r="AF160" s="32">
        <f t="shared" si="170"/>
        <v>-1328.94493837</v>
      </c>
      <c r="AG160" s="32">
        <f t="shared" si="168"/>
        <v>-519.56215804999999</v>
      </c>
      <c r="AH160" s="32">
        <f t="shared" si="168"/>
        <v>-138.46947014999998</v>
      </c>
      <c r="AI160" s="34">
        <f t="shared" si="168"/>
        <v>-670.91331017000005</v>
      </c>
      <c r="AJ160" s="35"/>
    </row>
    <row r="161" spans="1:38" s="43" customFormat="1" ht="26.4" x14ac:dyDescent="0.3">
      <c r="A161" s="36" t="s">
        <v>112</v>
      </c>
      <c r="B161" s="167">
        <f>D161+E161</f>
        <v>206515389.31</v>
      </c>
      <c r="C161" s="174"/>
      <c r="D161" s="174"/>
      <c r="E161" s="167">
        <f t="shared" si="169"/>
        <v>206515389.31</v>
      </c>
      <c r="F161" s="168">
        <v>46892440.869999997</v>
      </c>
      <c r="G161" s="168">
        <f>159622948.44-90018831.05</f>
        <v>69604117.390000001</v>
      </c>
      <c r="H161" s="168">
        <v>90018831.049999997</v>
      </c>
      <c r="I161" s="168"/>
      <c r="J161" s="167">
        <f>L161+M161</f>
        <v>263148925.06999999</v>
      </c>
      <c r="K161" s="174"/>
      <c r="L161" s="174">
        <v>980414.69</v>
      </c>
      <c r="M161" s="167">
        <f t="shared" si="163"/>
        <v>262168510.38</v>
      </c>
      <c r="N161" s="168">
        <v>69625829.099999994</v>
      </c>
      <c r="O161" s="168">
        <v>59982678.690000013</v>
      </c>
      <c r="P161" s="168">
        <v>132560002.58999999</v>
      </c>
      <c r="Q161" s="168"/>
      <c r="R161" s="39">
        <f t="shared" ref="R161:R167" si="174">B161/1000000</f>
        <v>206.51538930999999</v>
      </c>
      <c r="S161" s="39">
        <f t="shared" ref="S161:S167" si="175">D161/1000000</f>
        <v>0</v>
      </c>
      <c r="T161" s="39">
        <f t="shared" si="172"/>
        <v>206.51538930999999</v>
      </c>
      <c r="U161" s="39">
        <f t="shared" si="172"/>
        <v>46.892440869999994</v>
      </c>
      <c r="V161" s="39">
        <f t="shared" si="172"/>
        <v>69.604117389999999</v>
      </c>
      <c r="W161" s="39">
        <f>(H161+I161)/1000000</f>
        <v>90.018831050000003</v>
      </c>
      <c r="X161" s="39">
        <f t="shared" ref="X161:X167" si="176">J161/1000000</f>
        <v>263.14892507000002</v>
      </c>
      <c r="Y161" s="39">
        <f t="shared" ref="Y161:Y167" si="177">L161/1000000</f>
        <v>0.98041468999999992</v>
      </c>
      <c r="Z161" s="39">
        <f t="shared" si="173"/>
        <v>262.16851037999999</v>
      </c>
      <c r="AA161" s="39">
        <f t="shared" si="173"/>
        <v>69.62582909999999</v>
      </c>
      <c r="AB161" s="39">
        <f t="shared" si="173"/>
        <v>59.982678690000014</v>
      </c>
      <c r="AC161" s="39">
        <f t="shared" si="167"/>
        <v>132.56000258999998</v>
      </c>
      <c r="AD161" s="39">
        <f t="shared" si="170"/>
        <v>56.633535760000029</v>
      </c>
      <c r="AE161" s="39">
        <f t="shared" si="170"/>
        <v>0.98041468999999992</v>
      </c>
      <c r="AF161" s="39">
        <f t="shared" si="170"/>
        <v>55.653121069999997</v>
      </c>
      <c r="AG161" s="39">
        <f t="shared" si="170"/>
        <v>22.733388229999996</v>
      </c>
      <c r="AH161" s="39">
        <f t="shared" si="170"/>
        <v>-9.6214386999999846</v>
      </c>
      <c r="AI161" s="40">
        <f t="shared" si="170"/>
        <v>42.541171539999979</v>
      </c>
      <c r="AJ161" s="41"/>
    </row>
    <row r="162" spans="1:38" s="43" customFormat="1" x14ac:dyDescent="0.3">
      <c r="A162" s="36" t="s">
        <v>113</v>
      </c>
      <c r="B162" s="167">
        <f>D162+E162-C162</f>
        <v>40414870894.830002</v>
      </c>
      <c r="C162" s="171">
        <v>711466665</v>
      </c>
      <c r="D162" s="175">
        <f>D163+D166+D167</f>
        <v>37480175300</v>
      </c>
      <c r="E162" s="167">
        <f>F162+G162+H162+I162</f>
        <v>3646162259.8299999</v>
      </c>
      <c r="F162" s="175">
        <f>F163+F166+F167</f>
        <v>3307714090</v>
      </c>
      <c r="G162" s="175">
        <f>G163+G166+G167</f>
        <v>312998169.82999998</v>
      </c>
      <c r="H162" s="175">
        <f>H163+H166+H167</f>
        <v>13000000</v>
      </c>
      <c r="I162" s="175">
        <f>I163+I166+I167</f>
        <v>12450000</v>
      </c>
      <c r="J162" s="167">
        <f>L162+M162-K162</f>
        <v>38585678240.080002</v>
      </c>
      <c r="K162" s="171">
        <v>711466665</v>
      </c>
      <c r="L162" s="175">
        <f>L163+L166+L167</f>
        <v>35842836815.080002</v>
      </c>
      <c r="M162" s="167">
        <f>N162+O162+P162+Q162</f>
        <v>3454308090</v>
      </c>
      <c r="N162" s="175">
        <f>N163+N166+N167</f>
        <v>3167870090</v>
      </c>
      <c r="O162" s="175">
        <f>O163+O166+O167</f>
        <v>254738000</v>
      </c>
      <c r="P162" s="175">
        <f>P163+P166+P167</f>
        <v>19250000</v>
      </c>
      <c r="Q162" s="175">
        <f>Q163+Q166+Q167</f>
        <v>12450000</v>
      </c>
      <c r="R162" s="39">
        <f t="shared" si="174"/>
        <v>40414.870894830005</v>
      </c>
      <c r="S162" s="39">
        <f t="shared" si="175"/>
        <v>37480.175300000003</v>
      </c>
      <c r="T162" s="39">
        <f t="shared" si="172"/>
        <v>3646.16225983</v>
      </c>
      <c r="U162" s="39">
        <f t="shared" si="172"/>
        <v>3307.7140899999999</v>
      </c>
      <c r="V162" s="39">
        <f t="shared" si="172"/>
        <v>312.99816982999999</v>
      </c>
      <c r="W162" s="39">
        <f>(H162+I162)/1000000</f>
        <v>25.45</v>
      </c>
      <c r="X162" s="39">
        <f t="shared" si="176"/>
        <v>38585.67824008</v>
      </c>
      <c r="Y162" s="39">
        <f t="shared" si="177"/>
        <v>35842.836815080002</v>
      </c>
      <c r="Z162" s="39">
        <f t="shared" si="173"/>
        <v>3454.30809</v>
      </c>
      <c r="AA162" s="39">
        <f t="shared" si="173"/>
        <v>3167.8700899999999</v>
      </c>
      <c r="AB162" s="39">
        <f t="shared" si="173"/>
        <v>254.738</v>
      </c>
      <c r="AC162" s="39">
        <f t="shared" si="167"/>
        <v>31.7</v>
      </c>
      <c r="AD162" s="39">
        <f t="shared" si="170"/>
        <v>-1829.1926547500043</v>
      </c>
      <c r="AE162" s="39">
        <f t="shared" si="170"/>
        <v>-1637.3384849200011</v>
      </c>
      <c r="AF162" s="39">
        <f t="shared" si="170"/>
        <v>-191.85416983000005</v>
      </c>
      <c r="AG162" s="39">
        <f t="shared" si="170"/>
        <v>-139.84400000000005</v>
      </c>
      <c r="AH162" s="39">
        <f t="shared" si="170"/>
        <v>-58.260169829999995</v>
      </c>
      <c r="AI162" s="40">
        <f t="shared" si="170"/>
        <v>6.25</v>
      </c>
      <c r="AJ162" s="41"/>
      <c r="AK162" s="3">
        <f t="shared" ref="AK162:AK167" si="178">AF162*1000</f>
        <v>-191854.16983000006</v>
      </c>
      <c r="AL162" s="69"/>
    </row>
    <row r="163" spans="1:38" x14ac:dyDescent="0.3">
      <c r="A163" s="44" t="s">
        <v>114</v>
      </c>
      <c r="B163" s="170">
        <f>D163+E163-C163</f>
        <v>15131770800</v>
      </c>
      <c r="C163" s="171">
        <v>711466665</v>
      </c>
      <c r="D163" s="176">
        <f>D164+D165</f>
        <v>15131770800</v>
      </c>
      <c r="E163" s="170">
        <f>F163+G163+H163+I163</f>
        <v>711466665</v>
      </c>
      <c r="F163" s="176">
        <f>F164+F165</f>
        <v>711466665</v>
      </c>
      <c r="G163" s="176">
        <f>G164+G165</f>
        <v>0</v>
      </c>
      <c r="H163" s="176">
        <f>H164+H165</f>
        <v>0</v>
      </c>
      <c r="I163" s="176">
        <f>I164+I165</f>
        <v>0</v>
      </c>
      <c r="J163" s="170">
        <f>L163+M163-K163</f>
        <v>26773771815.080002</v>
      </c>
      <c r="K163" s="171">
        <v>711466665</v>
      </c>
      <c r="L163" s="176">
        <f>L164+L165</f>
        <v>26242836815.080002</v>
      </c>
      <c r="M163" s="170">
        <f>N163+O163+P163+Q163</f>
        <v>1242401665</v>
      </c>
      <c r="N163" s="176">
        <f>N164+N165</f>
        <v>1224322665</v>
      </c>
      <c r="O163" s="176">
        <f>O164+O165</f>
        <v>18079000</v>
      </c>
      <c r="P163" s="176">
        <f>P164+P165</f>
        <v>0</v>
      </c>
      <c r="Q163" s="176">
        <f>Q164+Q165</f>
        <v>0</v>
      </c>
      <c r="R163" s="32">
        <f t="shared" si="174"/>
        <v>15131.7708</v>
      </c>
      <c r="S163" s="32">
        <f t="shared" si="175"/>
        <v>15131.7708</v>
      </c>
      <c r="T163" s="32">
        <f t="shared" si="172"/>
        <v>711.46666500000003</v>
      </c>
      <c r="U163" s="32">
        <f t="shared" si="172"/>
        <v>711.46666500000003</v>
      </c>
      <c r="V163" s="32">
        <f t="shared" si="172"/>
        <v>0</v>
      </c>
      <c r="W163" s="32">
        <f t="shared" ref="W163:W167" si="179">(H163+I163)/1000000</f>
        <v>0</v>
      </c>
      <c r="X163" s="32">
        <f t="shared" si="176"/>
        <v>26773.771815080003</v>
      </c>
      <c r="Y163" s="32">
        <f t="shared" si="177"/>
        <v>26242.836815080002</v>
      </c>
      <c r="Z163" s="32">
        <f t="shared" si="173"/>
        <v>1242.4016650000001</v>
      </c>
      <c r="AA163" s="32">
        <f t="shared" si="173"/>
        <v>1224.3226649999999</v>
      </c>
      <c r="AB163" s="32">
        <f t="shared" si="173"/>
        <v>18.079000000000001</v>
      </c>
      <c r="AC163" s="32">
        <f t="shared" si="167"/>
        <v>0</v>
      </c>
      <c r="AD163" s="32">
        <f t="shared" si="170"/>
        <v>11642.001015080003</v>
      </c>
      <c r="AE163" s="32">
        <f t="shared" si="170"/>
        <v>11111.066015080001</v>
      </c>
      <c r="AF163" s="32">
        <f t="shared" si="170"/>
        <v>530.93500000000006</v>
      </c>
      <c r="AG163" s="32">
        <f t="shared" si="170"/>
        <v>512.85599999999988</v>
      </c>
      <c r="AH163" s="32">
        <f t="shared" si="170"/>
        <v>18.079000000000001</v>
      </c>
      <c r="AI163" s="34">
        <f t="shared" si="170"/>
        <v>0</v>
      </c>
      <c r="AJ163" s="35"/>
      <c r="AK163" s="3">
        <f t="shared" si="178"/>
        <v>530935.00000000012</v>
      </c>
    </row>
    <row r="164" spans="1:38" hidden="1" x14ac:dyDescent="0.3">
      <c r="A164" s="29" t="s">
        <v>115</v>
      </c>
      <c r="B164" s="170">
        <f>D164</f>
        <v>15131770800</v>
      </c>
      <c r="C164" s="171"/>
      <c r="D164" s="177">
        <f>15131770.8*1000</f>
        <v>15131770800</v>
      </c>
      <c r="E164" s="170">
        <f>F164+G164+H164+I164</f>
        <v>711466665</v>
      </c>
      <c r="F164" s="177">
        <v>711466665</v>
      </c>
      <c r="G164" s="177"/>
      <c r="H164" s="177"/>
      <c r="I164" s="177"/>
      <c r="J164" s="170">
        <f>L164</f>
        <v>26242836815.080002</v>
      </c>
      <c r="K164" s="171"/>
      <c r="L164" s="177">
        <f>26242.83681508*1000000</f>
        <v>26242836815.080002</v>
      </c>
      <c r="M164" s="170">
        <f>N164+O164+P164+Q164</f>
        <v>1242401665</v>
      </c>
      <c r="N164" s="177">
        <v>1224322665</v>
      </c>
      <c r="O164" s="177">
        <v>18079000</v>
      </c>
      <c r="P164" s="177"/>
      <c r="Q164" s="177"/>
      <c r="R164" s="32">
        <f t="shared" si="174"/>
        <v>15131.7708</v>
      </c>
      <c r="S164" s="32">
        <f t="shared" si="175"/>
        <v>15131.7708</v>
      </c>
      <c r="T164" s="32">
        <f t="shared" si="172"/>
        <v>711.46666500000003</v>
      </c>
      <c r="U164" s="32">
        <f t="shared" si="172"/>
        <v>711.46666500000003</v>
      </c>
      <c r="V164" s="32">
        <f t="shared" si="172"/>
        <v>0</v>
      </c>
      <c r="W164" s="32">
        <f t="shared" si="179"/>
        <v>0</v>
      </c>
      <c r="X164" s="32">
        <f t="shared" si="176"/>
        <v>26242.836815080002</v>
      </c>
      <c r="Y164" s="32">
        <f t="shared" si="177"/>
        <v>26242.836815080002</v>
      </c>
      <c r="Z164" s="32">
        <f t="shared" si="173"/>
        <v>1242.4016650000001</v>
      </c>
      <c r="AA164" s="32">
        <f t="shared" si="173"/>
        <v>1224.3226649999999</v>
      </c>
      <c r="AB164" s="32">
        <f t="shared" si="173"/>
        <v>18.079000000000001</v>
      </c>
      <c r="AC164" s="32">
        <f t="shared" si="167"/>
        <v>0</v>
      </c>
      <c r="AD164" s="32">
        <f t="shared" si="170"/>
        <v>11111.066015080001</v>
      </c>
      <c r="AE164" s="32">
        <f t="shared" si="170"/>
        <v>11111.066015080001</v>
      </c>
      <c r="AF164" s="32">
        <f t="shared" si="170"/>
        <v>530.93500000000006</v>
      </c>
      <c r="AG164" s="32">
        <f t="shared" si="170"/>
        <v>512.85599999999988</v>
      </c>
      <c r="AH164" s="32">
        <f t="shared" si="170"/>
        <v>18.079000000000001</v>
      </c>
      <c r="AI164" s="34">
        <f t="shared" si="170"/>
        <v>0</v>
      </c>
      <c r="AJ164" s="35"/>
      <c r="AK164" s="3">
        <f t="shared" si="178"/>
        <v>530935.00000000012</v>
      </c>
    </row>
    <row r="165" spans="1:38" hidden="1" x14ac:dyDescent="0.3">
      <c r="A165" s="29" t="s">
        <v>116</v>
      </c>
      <c r="B165" s="170">
        <f>D165</f>
        <v>0</v>
      </c>
      <c r="C165" s="171"/>
      <c r="D165" s="177"/>
      <c r="E165" s="170">
        <f t="shared" si="169"/>
        <v>0</v>
      </c>
      <c r="F165" s="177"/>
      <c r="G165" s="177"/>
      <c r="H165" s="177"/>
      <c r="I165" s="177"/>
      <c r="J165" s="170">
        <f>L165</f>
        <v>0</v>
      </c>
      <c r="K165" s="171"/>
      <c r="L165" s="177"/>
      <c r="M165" s="170">
        <f t="shared" ref="M165:M167" si="180">N165+O165+P165</f>
        <v>0</v>
      </c>
      <c r="N165" s="177"/>
      <c r="O165" s="177"/>
      <c r="P165" s="177"/>
      <c r="Q165" s="177"/>
      <c r="R165" s="32">
        <f t="shared" si="174"/>
        <v>0</v>
      </c>
      <c r="S165" s="32">
        <f t="shared" si="175"/>
        <v>0</v>
      </c>
      <c r="T165" s="32">
        <f t="shared" si="172"/>
        <v>0</v>
      </c>
      <c r="U165" s="32">
        <f t="shared" si="172"/>
        <v>0</v>
      </c>
      <c r="V165" s="32">
        <f t="shared" si="172"/>
        <v>0</v>
      </c>
      <c r="W165" s="32">
        <f t="shared" si="179"/>
        <v>0</v>
      </c>
      <c r="X165" s="32">
        <f t="shared" si="176"/>
        <v>0</v>
      </c>
      <c r="Y165" s="32">
        <f t="shared" si="177"/>
        <v>0</v>
      </c>
      <c r="Z165" s="32">
        <f t="shared" si="173"/>
        <v>0</v>
      </c>
      <c r="AA165" s="32">
        <f t="shared" si="173"/>
        <v>0</v>
      </c>
      <c r="AB165" s="32">
        <f t="shared" si="173"/>
        <v>0</v>
      </c>
      <c r="AC165" s="32">
        <f t="shared" si="167"/>
        <v>0</v>
      </c>
      <c r="AD165" s="32">
        <f t="shared" si="170"/>
        <v>0</v>
      </c>
      <c r="AE165" s="32">
        <f t="shared" si="170"/>
        <v>0</v>
      </c>
      <c r="AF165" s="32">
        <f t="shared" si="170"/>
        <v>0</v>
      </c>
      <c r="AG165" s="32">
        <f t="shared" si="170"/>
        <v>0</v>
      </c>
      <c r="AH165" s="32">
        <f t="shared" si="170"/>
        <v>0</v>
      </c>
      <c r="AI165" s="34">
        <f t="shared" si="170"/>
        <v>0</v>
      </c>
      <c r="AJ165" s="35"/>
      <c r="AK165" s="3">
        <f t="shared" si="178"/>
        <v>0</v>
      </c>
    </row>
    <row r="166" spans="1:38" x14ac:dyDescent="0.3">
      <c r="A166" s="44" t="s">
        <v>117</v>
      </c>
      <c r="B166" s="170">
        <f>D166+E166</f>
        <v>24534846025</v>
      </c>
      <c r="C166" s="171"/>
      <c r="D166" s="177">
        <f>21608404.5*1000</f>
        <v>21608404500</v>
      </c>
      <c r="E166" s="170">
        <f>F166+G166+H166+I166</f>
        <v>2926441525</v>
      </c>
      <c r="F166" s="171">
        <v>2596247425</v>
      </c>
      <c r="G166" s="171">
        <v>304744100</v>
      </c>
      <c r="H166" s="171">
        <v>13000000</v>
      </c>
      <c r="I166" s="171">
        <v>12450000</v>
      </c>
      <c r="J166" s="170">
        <f>L166+M166</f>
        <v>11365656425</v>
      </c>
      <c r="K166" s="171"/>
      <c r="L166" s="177">
        <f>9160*1000000</f>
        <v>9160000000</v>
      </c>
      <c r="M166" s="170">
        <f>N166+O166+P166+Q166</f>
        <v>2205656425</v>
      </c>
      <c r="N166" s="171">
        <v>1943547425</v>
      </c>
      <c r="O166" s="171">
        <v>236659000</v>
      </c>
      <c r="P166" s="171">
        <v>13000000</v>
      </c>
      <c r="Q166" s="171">
        <v>12450000</v>
      </c>
      <c r="R166" s="32">
        <f t="shared" si="174"/>
        <v>24534.846024999999</v>
      </c>
      <c r="S166" s="32">
        <f t="shared" si="175"/>
        <v>21608.404500000001</v>
      </c>
      <c r="T166" s="32">
        <f t="shared" si="172"/>
        <v>2926.4415250000002</v>
      </c>
      <c r="U166" s="32">
        <f t="shared" si="172"/>
        <v>2596.247425</v>
      </c>
      <c r="V166" s="32">
        <f t="shared" si="172"/>
        <v>304.7441</v>
      </c>
      <c r="W166" s="32">
        <f t="shared" si="179"/>
        <v>25.45</v>
      </c>
      <c r="X166" s="32">
        <f t="shared" si="176"/>
        <v>11365.656424999999</v>
      </c>
      <c r="Y166" s="32">
        <f t="shared" si="177"/>
        <v>9160</v>
      </c>
      <c r="Z166" s="32">
        <f t="shared" si="173"/>
        <v>2205.6564250000001</v>
      </c>
      <c r="AA166" s="32">
        <f t="shared" si="173"/>
        <v>1943.547425</v>
      </c>
      <c r="AB166" s="32">
        <f t="shared" si="173"/>
        <v>236.65899999999999</v>
      </c>
      <c r="AC166" s="32">
        <f t="shared" si="167"/>
        <v>25.45</v>
      </c>
      <c r="AD166" s="32">
        <f t="shared" si="170"/>
        <v>-13169.1896</v>
      </c>
      <c r="AE166" s="178">
        <f t="shared" si="170"/>
        <v>-12448.404500000001</v>
      </c>
      <c r="AF166" s="32">
        <f t="shared" si="170"/>
        <v>-720.78510000000006</v>
      </c>
      <c r="AG166" s="32">
        <f t="shared" si="170"/>
        <v>-652.70000000000005</v>
      </c>
      <c r="AH166" s="32">
        <f t="shared" si="170"/>
        <v>-68.085100000000011</v>
      </c>
      <c r="AI166" s="34">
        <f t="shared" si="170"/>
        <v>0</v>
      </c>
      <c r="AJ166" s="35"/>
      <c r="AK166" s="3">
        <f t="shared" si="178"/>
        <v>-720785.10000000009</v>
      </c>
    </row>
    <row r="167" spans="1:38" ht="13.8" thickBot="1" x14ac:dyDescent="0.35">
      <c r="A167" s="157" t="s">
        <v>118</v>
      </c>
      <c r="B167" s="179">
        <f>D167+E167</f>
        <v>748254069.83000004</v>
      </c>
      <c r="C167" s="180"/>
      <c r="D167" s="181">
        <f>740000*1000</f>
        <v>740000000</v>
      </c>
      <c r="E167" s="179">
        <f t="shared" si="169"/>
        <v>8254069.8299999991</v>
      </c>
      <c r="F167" s="180"/>
      <c r="G167" s="180">
        <v>8254069.8299999991</v>
      </c>
      <c r="H167" s="180"/>
      <c r="I167" s="180"/>
      <c r="J167" s="179">
        <f>L167+M167</f>
        <v>446250000</v>
      </c>
      <c r="K167" s="180"/>
      <c r="L167" s="181">
        <v>440000000</v>
      </c>
      <c r="M167" s="179">
        <f t="shared" si="180"/>
        <v>6250000</v>
      </c>
      <c r="N167" s="180"/>
      <c r="O167" s="180"/>
      <c r="P167" s="180">
        <v>6250000</v>
      </c>
      <c r="Q167" s="180"/>
      <c r="R167" s="160">
        <f t="shared" si="174"/>
        <v>748.25406983000005</v>
      </c>
      <c r="S167" s="160">
        <f t="shared" si="175"/>
        <v>740</v>
      </c>
      <c r="T167" s="160">
        <f t="shared" si="172"/>
        <v>8.2540698299999988</v>
      </c>
      <c r="U167" s="160">
        <f t="shared" si="172"/>
        <v>0</v>
      </c>
      <c r="V167" s="160">
        <f t="shared" si="172"/>
        <v>8.2540698299999988</v>
      </c>
      <c r="W167" s="160">
        <f t="shared" si="179"/>
        <v>0</v>
      </c>
      <c r="X167" s="160">
        <f t="shared" si="176"/>
        <v>446.25</v>
      </c>
      <c r="Y167" s="160">
        <f t="shared" si="177"/>
        <v>440</v>
      </c>
      <c r="Z167" s="160">
        <f t="shared" si="173"/>
        <v>6.25</v>
      </c>
      <c r="AA167" s="160">
        <f t="shared" si="173"/>
        <v>0</v>
      </c>
      <c r="AB167" s="160">
        <f t="shared" si="173"/>
        <v>0</v>
      </c>
      <c r="AC167" s="160">
        <f t="shared" si="167"/>
        <v>6.25</v>
      </c>
      <c r="AD167" s="160">
        <f t="shared" si="170"/>
        <v>-302.00406983000005</v>
      </c>
      <c r="AE167" s="160">
        <f t="shared" si="170"/>
        <v>-300</v>
      </c>
      <c r="AF167" s="160">
        <f t="shared" si="170"/>
        <v>-2.0040698299999988</v>
      </c>
      <c r="AG167" s="160">
        <f t="shared" si="170"/>
        <v>0</v>
      </c>
      <c r="AH167" s="160">
        <f t="shared" si="170"/>
        <v>-8.2540698299999988</v>
      </c>
      <c r="AI167" s="161">
        <f t="shared" si="170"/>
        <v>6.25</v>
      </c>
      <c r="AJ167" s="35"/>
      <c r="AK167" s="3">
        <f t="shared" si="178"/>
        <v>-2004.0698299999988</v>
      </c>
    </row>
    <row r="168" spans="1:38" ht="13.8" thickTop="1" x14ac:dyDescent="0.3"/>
    <row r="170" spans="1:38" x14ac:dyDescent="0.3">
      <c r="E170" s="2">
        <v>3646162259.8299999</v>
      </c>
      <c r="M170" s="2">
        <v>3454308090</v>
      </c>
    </row>
    <row r="171" spans="1:38" x14ac:dyDescent="0.3">
      <c r="E171" s="2">
        <f>E162-E170</f>
        <v>0</v>
      </c>
      <c r="M171" s="2">
        <f>M162-M170</f>
        <v>0</v>
      </c>
    </row>
  </sheetData>
  <mergeCells count="135">
    <mergeCell ref="AF1:AI1"/>
    <mergeCell ref="B4:I4"/>
    <mergeCell ref="F6:I6"/>
    <mergeCell ref="C5:I5"/>
    <mergeCell ref="J4:Q4"/>
    <mergeCell ref="K5:Q5"/>
    <mergeCell ref="N6:Q6"/>
    <mergeCell ref="T155:T156"/>
    <mergeCell ref="U155:W155"/>
    <mergeCell ref="Y155:Y156"/>
    <mergeCell ref="C155:C156"/>
    <mergeCell ref="D155:D156"/>
    <mergeCell ref="E155:E156"/>
    <mergeCell ref="K155:K156"/>
    <mergeCell ref="L155:L156"/>
    <mergeCell ref="M155:M156"/>
    <mergeCell ref="S155:S156"/>
    <mergeCell ref="AE140:AE141"/>
    <mergeCell ref="AF140:AF141"/>
    <mergeCell ref="AG140:AI140"/>
    <mergeCell ref="A152:AI152"/>
    <mergeCell ref="A153:A156"/>
    <mergeCell ref="R153:W153"/>
    <mergeCell ref="X153:AC153"/>
    <mergeCell ref="AD153:AI153"/>
    <mergeCell ref="B154:B156"/>
    <mergeCell ref="J154:J156"/>
    <mergeCell ref="R154:R156"/>
    <mergeCell ref="S154:W154"/>
    <mergeCell ref="X154:X156"/>
    <mergeCell ref="Y154:AC154"/>
    <mergeCell ref="AD154:AD156"/>
    <mergeCell ref="AF155:AF156"/>
    <mergeCell ref="AG155:AI155"/>
    <mergeCell ref="Z155:Z156"/>
    <mergeCell ref="AA155:AC155"/>
    <mergeCell ref="AE155:AE156"/>
    <mergeCell ref="AE154:AI154"/>
    <mergeCell ref="S140:S141"/>
    <mergeCell ref="R139:R141"/>
    <mergeCell ref="S139:W139"/>
    <mergeCell ref="X139:X141"/>
    <mergeCell ref="Y139:AC139"/>
    <mergeCell ref="AD139:AD141"/>
    <mergeCell ref="T140:T141"/>
    <mergeCell ref="U140:W140"/>
    <mergeCell ref="Y140:Y141"/>
    <mergeCell ref="Z140:Z141"/>
    <mergeCell ref="AA140:AC140"/>
    <mergeCell ref="A138:A141"/>
    <mergeCell ref="R138:W138"/>
    <mergeCell ref="X138:AC138"/>
    <mergeCell ref="AD138:AI138"/>
    <mergeCell ref="B139:B141"/>
    <mergeCell ref="J139:J141"/>
    <mergeCell ref="U45:W45"/>
    <mergeCell ref="Y45:Y46"/>
    <mergeCell ref="Z45:Z46"/>
    <mergeCell ref="AA45:AC45"/>
    <mergeCell ref="AE45:AE46"/>
    <mergeCell ref="AF45:AF46"/>
    <mergeCell ref="X44:X46"/>
    <mergeCell ref="Y44:AC44"/>
    <mergeCell ref="AD44:AD46"/>
    <mergeCell ref="AE44:AI44"/>
    <mergeCell ref="C45:C46"/>
    <mergeCell ref="D45:D46"/>
    <mergeCell ref="E45:E46"/>
    <mergeCell ref="AE139:AI139"/>
    <mergeCell ref="C140:C141"/>
    <mergeCell ref="D140:D141"/>
    <mergeCell ref="E140:E141"/>
    <mergeCell ref="K140:K141"/>
    <mergeCell ref="AG6:AI6"/>
    <mergeCell ref="A43:A46"/>
    <mergeCell ref="R43:W43"/>
    <mergeCell ref="X43:AC43"/>
    <mergeCell ref="AD43:AI43"/>
    <mergeCell ref="K45:K46"/>
    <mergeCell ref="L45:L46"/>
    <mergeCell ref="B44:B46"/>
    <mergeCell ref="J44:J46"/>
    <mergeCell ref="R44:R46"/>
    <mergeCell ref="S44:W44"/>
    <mergeCell ref="M45:M46"/>
    <mergeCell ref="S45:S46"/>
    <mergeCell ref="T45:T46"/>
    <mergeCell ref="AG45:AI45"/>
    <mergeCell ref="Y5:AC5"/>
    <mergeCell ref="AD5:AD7"/>
    <mergeCell ref="T6:T7"/>
    <mergeCell ref="U6:W6"/>
    <mergeCell ref="Y6:Y7"/>
    <mergeCell ref="Z6:Z7"/>
    <mergeCell ref="AA6:AC6"/>
    <mergeCell ref="AE6:AE7"/>
    <mergeCell ref="AF6:AF7"/>
    <mergeCell ref="A2:AI2"/>
    <mergeCell ref="A4:A7"/>
    <mergeCell ref="R4:W4"/>
    <mergeCell ref="X4:AC4"/>
    <mergeCell ref="AD4:AI4"/>
    <mergeCell ref="B5:B7"/>
    <mergeCell ref="J5:J7"/>
    <mergeCell ref="F45:I45"/>
    <mergeCell ref="N45:Q45"/>
    <mergeCell ref="B43:I43"/>
    <mergeCell ref="C44:I44"/>
    <mergeCell ref="J43:Q43"/>
    <mergeCell ref="K44:Q44"/>
    <mergeCell ref="AE5:AI5"/>
    <mergeCell ref="C6:C7"/>
    <mergeCell ref="D6:D7"/>
    <mergeCell ref="E6:E7"/>
    <mergeCell ref="K6:K7"/>
    <mergeCell ref="L6:L7"/>
    <mergeCell ref="M6:M7"/>
    <mergeCell ref="S6:S7"/>
    <mergeCell ref="R5:R7"/>
    <mergeCell ref="S5:W5"/>
    <mergeCell ref="X5:X7"/>
    <mergeCell ref="B138:I138"/>
    <mergeCell ref="J138:Q138"/>
    <mergeCell ref="C139:I139"/>
    <mergeCell ref="K139:Q139"/>
    <mergeCell ref="F140:I140"/>
    <mergeCell ref="N140:Q140"/>
    <mergeCell ref="B153:I153"/>
    <mergeCell ref="C154:I154"/>
    <mergeCell ref="F155:I155"/>
    <mergeCell ref="J153:Q153"/>
    <mergeCell ref="L154:Q154"/>
    <mergeCell ref="N155:Q155"/>
    <mergeCell ref="L140:L141"/>
    <mergeCell ref="M140:M141"/>
  </mergeCells>
  <printOptions horizontalCentered="1"/>
  <pageMargins left="0" right="0" top="0.94488188976377963" bottom="0.35433070866141736" header="0.51181102362204722" footer="0.11811023622047245"/>
  <pageSetup paperSize="9" scale="66" fitToHeight="10000" orientation="landscape" r:id="rId1"/>
  <headerFooter>
    <oddFooter>&amp;C&amp;"Arial,обычный"&amp;8Страница  &amp;P из &amp;N</oddFooter>
  </headerFooter>
  <rowBreaks count="2" manualBreakCount="2">
    <brk id="37" max="34" man="1"/>
    <brk id="135" max="3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zoomScaleNormal="100" workbookViewId="0">
      <selection activeCell="N39" sqref="N39"/>
    </sheetView>
  </sheetViews>
  <sheetFormatPr defaultColWidth="9.109375" defaultRowHeight="13.2" x14ac:dyDescent="0.3"/>
  <cols>
    <col min="1" max="1" width="21.44140625" style="341" customWidth="1"/>
    <col min="2" max="4" width="9.109375" style="342" hidden="1" customWidth="1"/>
    <col min="5" max="5" width="9.109375" style="342"/>
    <col min="6" max="6" width="9.44140625" style="342" customWidth="1"/>
    <col min="7" max="7" width="9.109375" style="342"/>
    <col min="8" max="8" width="6.109375" style="342" customWidth="1"/>
    <col min="9" max="9" width="7.5546875" style="342" customWidth="1"/>
    <col min="10" max="10" width="6.33203125" style="342" customWidth="1"/>
    <col min="11" max="11" width="11.33203125" style="342" hidden="1" customWidth="1"/>
    <col min="12" max="12" width="11.6640625" style="342" hidden="1" customWidth="1"/>
    <col min="13" max="13" width="9.6640625" style="342" hidden="1" customWidth="1"/>
    <col min="14" max="16" width="9.6640625" style="342" bestFit="1" customWidth="1"/>
    <col min="17" max="18" width="6.6640625" style="342" customWidth="1"/>
    <col min="19" max="19" width="6.33203125" style="342" customWidth="1"/>
    <col min="20" max="20" width="9.6640625" style="342" hidden="1" customWidth="1"/>
    <col min="21" max="21" width="9.109375" style="342" hidden="1" customWidth="1"/>
    <col min="22" max="22" width="9.6640625" style="342" hidden="1" customWidth="1"/>
    <col min="23" max="23" width="9.6640625" style="342" bestFit="1" customWidth="1"/>
    <col min="24" max="24" width="9.109375" style="342"/>
    <col min="25" max="25" width="9.6640625" style="342" bestFit="1" customWidth="1"/>
    <col min="26" max="26" width="6.33203125" style="342" bestFit="1" customWidth="1"/>
    <col min="27" max="27" width="6.6640625" style="342" customWidth="1"/>
    <col min="28" max="28" width="6.109375" style="342" bestFit="1" customWidth="1"/>
    <col min="29" max="16384" width="9.109375" style="342"/>
  </cols>
  <sheetData>
    <row r="1" spans="1:28" s="341" customFormat="1" ht="24.75" customHeight="1" x14ac:dyDescent="0.3">
      <c r="Z1" s="427" t="s">
        <v>344</v>
      </c>
      <c r="AA1" s="427"/>
      <c r="AB1" s="427"/>
    </row>
    <row r="2" spans="1:28" s="341" customFormat="1" ht="33.6" customHeight="1" x14ac:dyDescent="0.3">
      <c r="A2" s="398" t="s">
        <v>351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8"/>
      <c r="Z2" s="398"/>
      <c r="AA2" s="398"/>
      <c r="AB2" s="398"/>
    </row>
    <row r="3" spans="1:28" s="341" customFormat="1" ht="13.8" thickBot="1" x14ac:dyDescent="0.35">
      <c r="Z3" s="424" t="s">
        <v>295</v>
      </c>
      <c r="AA3" s="424"/>
      <c r="AB3" s="424"/>
    </row>
    <row r="4" spans="1:28" s="356" customFormat="1" ht="15.75" customHeight="1" thickTop="1" x14ac:dyDescent="0.3">
      <c r="A4" s="425" t="s">
        <v>184</v>
      </c>
      <c r="B4" s="411" t="s">
        <v>325</v>
      </c>
      <c r="C4" s="411"/>
      <c r="D4" s="411"/>
      <c r="E4" s="411"/>
      <c r="F4" s="411"/>
      <c r="G4" s="411"/>
      <c r="H4" s="411"/>
      <c r="I4" s="411"/>
      <c r="J4" s="411"/>
      <c r="K4" s="411" t="s">
        <v>326</v>
      </c>
      <c r="L4" s="411"/>
      <c r="M4" s="411"/>
      <c r="N4" s="411"/>
      <c r="O4" s="411"/>
      <c r="P4" s="411"/>
      <c r="Q4" s="411"/>
      <c r="R4" s="411"/>
      <c r="S4" s="411"/>
      <c r="T4" s="411" t="s">
        <v>327</v>
      </c>
      <c r="U4" s="411"/>
      <c r="V4" s="411"/>
      <c r="W4" s="411"/>
      <c r="X4" s="411"/>
      <c r="Y4" s="411"/>
      <c r="Z4" s="411"/>
      <c r="AA4" s="411"/>
      <c r="AB4" s="412"/>
    </row>
    <row r="5" spans="1:28" s="356" customFormat="1" ht="38.4" customHeight="1" x14ac:dyDescent="0.3">
      <c r="A5" s="426"/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  <c r="AA5" s="413"/>
      <c r="AB5" s="414"/>
    </row>
    <row r="6" spans="1:28" s="356" customFormat="1" ht="27" customHeight="1" x14ac:dyDescent="0.3">
      <c r="A6" s="426"/>
      <c r="B6" s="413" t="s">
        <v>317</v>
      </c>
      <c r="C6" s="413"/>
      <c r="D6" s="413"/>
      <c r="E6" s="413" t="s">
        <v>318</v>
      </c>
      <c r="F6" s="413"/>
      <c r="G6" s="413"/>
      <c r="H6" s="413" t="s">
        <v>319</v>
      </c>
      <c r="I6" s="413"/>
      <c r="J6" s="413"/>
      <c r="K6" s="413" t="s">
        <v>317</v>
      </c>
      <c r="L6" s="413"/>
      <c r="M6" s="413"/>
      <c r="N6" s="413" t="s">
        <v>318</v>
      </c>
      <c r="O6" s="413"/>
      <c r="P6" s="413"/>
      <c r="Q6" s="413" t="s">
        <v>319</v>
      </c>
      <c r="R6" s="413"/>
      <c r="S6" s="413"/>
      <c r="T6" s="413" t="s">
        <v>317</v>
      </c>
      <c r="U6" s="413"/>
      <c r="V6" s="413"/>
      <c r="W6" s="413" t="s">
        <v>318</v>
      </c>
      <c r="X6" s="413"/>
      <c r="Y6" s="413"/>
      <c r="Z6" s="413" t="s">
        <v>319</v>
      </c>
      <c r="AA6" s="413"/>
      <c r="AB6" s="414"/>
    </row>
    <row r="7" spans="1:28" s="356" customFormat="1" x14ac:dyDescent="0.3">
      <c r="A7" s="426"/>
      <c r="B7" s="413" t="s">
        <v>190</v>
      </c>
      <c r="C7" s="413" t="s">
        <v>8</v>
      </c>
      <c r="D7" s="413"/>
      <c r="E7" s="413" t="s">
        <v>190</v>
      </c>
      <c r="F7" s="413" t="s">
        <v>8</v>
      </c>
      <c r="G7" s="413"/>
      <c r="H7" s="413" t="s">
        <v>190</v>
      </c>
      <c r="I7" s="413" t="s">
        <v>8</v>
      </c>
      <c r="J7" s="413"/>
      <c r="K7" s="413" t="s">
        <v>190</v>
      </c>
      <c r="L7" s="413" t="s">
        <v>8</v>
      </c>
      <c r="M7" s="413"/>
      <c r="N7" s="413" t="s">
        <v>190</v>
      </c>
      <c r="O7" s="413" t="s">
        <v>8</v>
      </c>
      <c r="P7" s="413"/>
      <c r="Q7" s="413" t="s">
        <v>190</v>
      </c>
      <c r="R7" s="413" t="s">
        <v>8</v>
      </c>
      <c r="S7" s="413"/>
      <c r="T7" s="413" t="s">
        <v>190</v>
      </c>
      <c r="U7" s="413" t="s">
        <v>8</v>
      </c>
      <c r="V7" s="413"/>
      <c r="W7" s="413" t="s">
        <v>190</v>
      </c>
      <c r="X7" s="413" t="s">
        <v>8</v>
      </c>
      <c r="Y7" s="413"/>
      <c r="Z7" s="413" t="s">
        <v>190</v>
      </c>
      <c r="AA7" s="413" t="s">
        <v>8</v>
      </c>
      <c r="AB7" s="414"/>
    </row>
    <row r="8" spans="1:28" s="357" customFormat="1" ht="48" x14ac:dyDescent="0.3">
      <c r="A8" s="426"/>
      <c r="B8" s="413"/>
      <c r="C8" s="320" t="s">
        <v>320</v>
      </c>
      <c r="D8" s="320" t="s">
        <v>321</v>
      </c>
      <c r="E8" s="413"/>
      <c r="F8" s="320" t="s">
        <v>320</v>
      </c>
      <c r="G8" s="320" t="s">
        <v>321</v>
      </c>
      <c r="H8" s="413"/>
      <c r="I8" s="320" t="s">
        <v>322</v>
      </c>
      <c r="J8" s="320" t="s">
        <v>321</v>
      </c>
      <c r="K8" s="413"/>
      <c r="L8" s="320" t="s">
        <v>320</v>
      </c>
      <c r="M8" s="320" t="s">
        <v>321</v>
      </c>
      <c r="N8" s="413"/>
      <c r="O8" s="320" t="s">
        <v>320</v>
      </c>
      <c r="P8" s="320" t="s">
        <v>321</v>
      </c>
      <c r="Q8" s="413"/>
      <c r="R8" s="320" t="s">
        <v>322</v>
      </c>
      <c r="S8" s="320" t="s">
        <v>321</v>
      </c>
      <c r="T8" s="413"/>
      <c r="U8" s="320" t="s">
        <v>320</v>
      </c>
      <c r="V8" s="320" t="s">
        <v>321</v>
      </c>
      <c r="W8" s="413"/>
      <c r="X8" s="320" t="s">
        <v>320</v>
      </c>
      <c r="Y8" s="320" t="s">
        <v>321</v>
      </c>
      <c r="Z8" s="413"/>
      <c r="AA8" s="320" t="s">
        <v>322</v>
      </c>
      <c r="AB8" s="324" t="s">
        <v>321</v>
      </c>
    </row>
    <row r="9" spans="1:28" s="358" customFormat="1" ht="10.199999999999999" x14ac:dyDescent="0.3">
      <c r="A9" s="347" t="s">
        <v>13</v>
      </c>
      <c r="B9" s="326">
        <v>1</v>
      </c>
      <c r="C9" s="326">
        <v>2</v>
      </c>
      <c r="D9" s="326">
        <v>3</v>
      </c>
      <c r="E9" s="326">
        <v>1</v>
      </c>
      <c r="F9" s="326">
        <v>2</v>
      </c>
      <c r="G9" s="326">
        <v>3</v>
      </c>
      <c r="H9" s="326">
        <v>4</v>
      </c>
      <c r="I9" s="326">
        <v>5</v>
      </c>
      <c r="J9" s="326">
        <v>6</v>
      </c>
      <c r="K9" s="326"/>
      <c r="L9" s="326"/>
      <c r="M9" s="326"/>
      <c r="N9" s="326">
        <v>7</v>
      </c>
      <c r="O9" s="326">
        <v>8</v>
      </c>
      <c r="P9" s="326">
        <v>9</v>
      </c>
      <c r="Q9" s="326">
        <v>10</v>
      </c>
      <c r="R9" s="326">
        <v>11</v>
      </c>
      <c r="S9" s="326">
        <v>12</v>
      </c>
      <c r="T9" s="326"/>
      <c r="U9" s="326"/>
      <c r="V9" s="326"/>
      <c r="W9" s="326">
        <v>13</v>
      </c>
      <c r="X9" s="326">
        <v>14</v>
      </c>
      <c r="Y9" s="326">
        <v>15</v>
      </c>
      <c r="Z9" s="326">
        <v>16</v>
      </c>
      <c r="AA9" s="326">
        <v>17</v>
      </c>
      <c r="AB9" s="328">
        <v>18</v>
      </c>
    </row>
    <row r="10" spans="1:28" x14ac:dyDescent="0.3">
      <c r="A10" s="349" t="s">
        <v>157</v>
      </c>
      <c r="B10" s="339">
        <f>[1]Черн!AV7</f>
        <v>0</v>
      </c>
      <c r="C10" s="339">
        <f>[1]Черн!AW7</f>
        <v>0</v>
      </c>
      <c r="D10" s="339">
        <f>[1]Черн!AX7</f>
        <v>0</v>
      </c>
      <c r="E10" s="339">
        <v>0</v>
      </c>
      <c r="F10" s="339">
        <v>0</v>
      </c>
      <c r="G10" s="339">
        <v>0</v>
      </c>
      <c r="H10" s="339"/>
      <c r="I10" s="339"/>
      <c r="J10" s="339"/>
      <c r="K10" s="339">
        <v>35373.021999999997</v>
      </c>
      <c r="L10" s="339">
        <v>0</v>
      </c>
      <c r="M10" s="339">
        <v>35373.021999999997</v>
      </c>
      <c r="N10" s="339">
        <v>15252.124179999999</v>
      </c>
      <c r="O10" s="339">
        <v>0</v>
      </c>
      <c r="P10" s="339">
        <v>15252.124179999999</v>
      </c>
      <c r="Q10" s="339">
        <v>43.117956334067244</v>
      </c>
      <c r="R10" s="339"/>
      <c r="S10" s="339">
        <v>43.117956334067244</v>
      </c>
      <c r="T10" s="339">
        <v>34643.532500000001</v>
      </c>
      <c r="U10" s="339">
        <v>0</v>
      </c>
      <c r="V10" s="339">
        <v>34643.532500000001</v>
      </c>
      <c r="W10" s="339">
        <v>30746.101569999999</v>
      </c>
      <c r="X10" s="339">
        <v>0</v>
      </c>
      <c r="Y10" s="339">
        <v>30746.101569999999</v>
      </c>
      <c r="Z10" s="339">
        <v>88.749903232298834</v>
      </c>
      <c r="AA10" s="339"/>
      <c r="AB10" s="319">
        <v>88.749903232298834</v>
      </c>
    </row>
    <row r="11" spans="1:28" x14ac:dyDescent="0.3">
      <c r="A11" s="349" t="s">
        <v>158</v>
      </c>
      <c r="B11" s="339">
        <f>[1]Черн!AV8</f>
        <v>0</v>
      </c>
      <c r="C11" s="339">
        <f>[1]Черн!AW8</f>
        <v>0</v>
      </c>
      <c r="D11" s="339">
        <f>[1]Черн!AX8</f>
        <v>0</v>
      </c>
      <c r="E11" s="339">
        <v>0</v>
      </c>
      <c r="F11" s="339">
        <v>0</v>
      </c>
      <c r="G11" s="339">
        <v>0</v>
      </c>
      <c r="H11" s="339"/>
      <c r="I11" s="339"/>
      <c r="J11" s="339"/>
      <c r="K11" s="339">
        <v>44133.105619999995</v>
      </c>
      <c r="L11" s="339">
        <v>42841.68</v>
      </c>
      <c r="M11" s="339">
        <v>1291.4256200000002</v>
      </c>
      <c r="N11" s="339">
        <v>1701.2631200000001</v>
      </c>
      <c r="O11" s="339">
        <v>409.83749999999998</v>
      </c>
      <c r="P11" s="339">
        <v>1291.4256200000002</v>
      </c>
      <c r="Q11" s="253">
        <v>3.8548456903269259</v>
      </c>
      <c r="R11" s="253">
        <v>0.95663265306122436</v>
      </c>
      <c r="S11" s="339">
        <v>100</v>
      </c>
      <c r="T11" s="339">
        <v>20294.303379999998</v>
      </c>
      <c r="U11" s="339">
        <v>0</v>
      </c>
      <c r="V11" s="339">
        <v>20294.303379999998</v>
      </c>
      <c r="W11" s="339">
        <v>20294.303379999998</v>
      </c>
      <c r="X11" s="339">
        <v>0</v>
      </c>
      <c r="Y11" s="339">
        <v>20294.303379999998</v>
      </c>
      <c r="Z11" s="339">
        <v>100</v>
      </c>
      <c r="AA11" s="339"/>
      <c r="AB11" s="319">
        <v>100</v>
      </c>
    </row>
    <row r="12" spans="1:28" x14ac:dyDescent="0.3">
      <c r="A12" s="349" t="s">
        <v>159</v>
      </c>
      <c r="B12" s="339">
        <f>[1]Черн!AV9</f>
        <v>1275.7</v>
      </c>
      <c r="C12" s="339">
        <f>[1]Черн!AW9</f>
        <v>1225.7</v>
      </c>
      <c r="D12" s="339">
        <f>[1]Черн!AX9</f>
        <v>50</v>
      </c>
      <c r="E12" s="339">
        <v>293.81703000000005</v>
      </c>
      <c r="F12" s="339">
        <v>293.81703000000005</v>
      </c>
      <c r="G12" s="339">
        <v>0</v>
      </c>
      <c r="H12" s="339">
        <v>23.031828015991223</v>
      </c>
      <c r="I12" s="339">
        <v>23.971365750183573</v>
      </c>
      <c r="J12" s="253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>
        <v>0</v>
      </c>
      <c r="Q12" s="339"/>
      <c r="R12" s="339"/>
      <c r="S12" s="339"/>
      <c r="T12" s="339">
        <v>0</v>
      </c>
      <c r="U12" s="339">
        <v>0</v>
      </c>
      <c r="V12" s="339">
        <v>0</v>
      </c>
      <c r="W12" s="339">
        <v>0</v>
      </c>
      <c r="X12" s="339">
        <v>0</v>
      </c>
      <c r="Y12" s="339">
        <v>0</v>
      </c>
      <c r="Z12" s="339"/>
      <c r="AA12" s="339"/>
      <c r="AB12" s="319"/>
    </row>
    <row r="13" spans="1:28" x14ac:dyDescent="0.3">
      <c r="A13" s="349" t="s">
        <v>160</v>
      </c>
      <c r="B13" s="339">
        <f>[1]Черн!AV10</f>
        <v>0</v>
      </c>
      <c r="C13" s="339">
        <f>[1]Черн!AW10</f>
        <v>0</v>
      </c>
      <c r="D13" s="339">
        <f>[1]Черн!AX10</f>
        <v>0</v>
      </c>
      <c r="E13" s="339">
        <v>0</v>
      </c>
      <c r="F13" s="339">
        <v>0</v>
      </c>
      <c r="G13" s="339">
        <v>0</v>
      </c>
      <c r="H13" s="339"/>
      <c r="I13" s="339"/>
      <c r="J13" s="339"/>
      <c r="K13" s="339">
        <v>0</v>
      </c>
      <c r="L13" s="339">
        <v>0</v>
      </c>
      <c r="M13" s="339">
        <v>0</v>
      </c>
      <c r="N13" s="339">
        <v>0</v>
      </c>
      <c r="O13" s="339">
        <v>0</v>
      </c>
      <c r="P13" s="339">
        <v>0</v>
      </c>
      <c r="Q13" s="339"/>
      <c r="R13" s="339"/>
      <c r="S13" s="339"/>
      <c r="T13" s="339">
        <v>0</v>
      </c>
      <c r="U13" s="339">
        <v>0</v>
      </c>
      <c r="V13" s="339">
        <v>0</v>
      </c>
      <c r="W13" s="339">
        <v>0</v>
      </c>
      <c r="X13" s="339">
        <v>0</v>
      </c>
      <c r="Y13" s="339">
        <v>0</v>
      </c>
      <c r="Z13" s="339"/>
      <c r="AA13" s="339"/>
      <c r="AB13" s="319"/>
    </row>
    <row r="14" spans="1:28" x14ac:dyDescent="0.3">
      <c r="A14" s="349" t="s">
        <v>161</v>
      </c>
      <c r="B14" s="339">
        <f>[1]Черн!AV11</f>
        <v>0</v>
      </c>
      <c r="C14" s="339">
        <f>[1]Черн!AW11</f>
        <v>0</v>
      </c>
      <c r="D14" s="339">
        <f>[1]Черн!AX11</f>
        <v>0</v>
      </c>
      <c r="E14" s="339">
        <v>0</v>
      </c>
      <c r="F14" s="339">
        <v>0</v>
      </c>
      <c r="G14" s="339">
        <v>0</v>
      </c>
      <c r="H14" s="339"/>
      <c r="I14" s="339"/>
      <c r="J14" s="339"/>
      <c r="K14" s="339">
        <v>0</v>
      </c>
      <c r="L14" s="339">
        <v>0</v>
      </c>
      <c r="M14" s="339">
        <v>0</v>
      </c>
      <c r="N14" s="339">
        <v>0</v>
      </c>
      <c r="O14" s="339">
        <v>0</v>
      </c>
      <c r="P14" s="339">
        <v>0</v>
      </c>
      <c r="Q14" s="339"/>
      <c r="R14" s="339"/>
      <c r="S14" s="339"/>
      <c r="T14" s="339">
        <v>14919.692999999999</v>
      </c>
      <c r="U14" s="339">
        <v>14919.692999999999</v>
      </c>
      <c r="V14" s="339">
        <v>0</v>
      </c>
      <c r="W14" s="339">
        <v>14919.692999999999</v>
      </c>
      <c r="X14" s="339">
        <v>14919.692999999999</v>
      </c>
      <c r="Y14" s="339">
        <v>0</v>
      </c>
      <c r="Z14" s="339">
        <v>100.00000000000001</v>
      </c>
      <c r="AA14" s="339">
        <v>100.00000000000001</v>
      </c>
      <c r="AB14" s="319"/>
    </row>
    <row r="15" spans="1:28" x14ac:dyDescent="0.3">
      <c r="A15" s="349" t="s">
        <v>162</v>
      </c>
      <c r="B15" s="339">
        <f>[1]Черн!AV12</f>
        <v>1203.34671</v>
      </c>
      <c r="C15" s="339">
        <f>[1]Черн!AW12</f>
        <v>0</v>
      </c>
      <c r="D15" s="339">
        <f>[1]Черн!AX12</f>
        <v>1203.34671</v>
      </c>
      <c r="E15" s="339">
        <v>317.40989000000002</v>
      </c>
      <c r="F15" s="339">
        <v>0</v>
      </c>
      <c r="G15" s="339">
        <v>317.40989000000002</v>
      </c>
      <c r="H15" s="339">
        <v>26.377259966913442</v>
      </c>
      <c r="I15" s="339"/>
      <c r="J15" s="339">
        <v>26.377259966913442</v>
      </c>
      <c r="K15" s="339">
        <v>117025.70668</v>
      </c>
      <c r="L15" s="339">
        <v>17176.744999999999</v>
      </c>
      <c r="M15" s="339">
        <v>99848.961680000008</v>
      </c>
      <c r="N15" s="339">
        <v>61636.827749999997</v>
      </c>
      <c r="O15" s="339">
        <v>0</v>
      </c>
      <c r="P15" s="339">
        <v>61636.827749999997</v>
      </c>
      <c r="Q15" s="339">
        <v>52.66947707356497</v>
      </c>
      <c r="R15" s="253">
        <v>0</v>
      </c>
      <c r="S15" s="339">
        <v>61.73006380130041</v>
      </c>
      <c r="T15" s="339">
        <v>158047.35313</v>
      </c>
      <c r="U15" s="339">
        <v>4920.12</v>
      </c>
      <c r="V15" s="339">
        <v>153127.23313000001</v>
      </c>
      <c r="W15" s="339">
        <v>156033.69246000002</v>
      </c>
      <c r="X15" s="339">
        <v>4567.2</v>
      </c>
      <c r="Y15" s="339">
        <v>151466.49246000001</v>
      </c>
      <c r="Z15" s="339">
        <v>98.725913069645856</v>
      </c>
      <c r="AA15" s="339">
        <v>92.827004219409275</v>
      </c>
      <c r="AB15" s="319">
        <v>98.915450481241251</v>
      </c>
    </row>
    <row r="16" spans="1:28" x14ac:dyDescent="0.3">
      <c r="A16" s="349" t="s">
        <v>163</v>
      </c>
      <c r="B16" s="339">
        <f>[1]Черн!AV13</f>
        <v>1066.7</v>
      </c>
      <c r="C16" s="339">
        <f>[1]Черн!AW13</f>
        <v>0</v>
      </c>
      <c r="D16" s="339">
        <f>[1]Черн!AX13</f>
        <v>1066.7</v>
      </c>
      <c r="E16" s="339">
        <v>6.98</v>
      </c>
      <c r="F16" s="339">
        <v>0</v>
      </c>
      <c r="G16" s="339">
        <v>6.98</v>
      </c>
      <c r="H16" s="253">
        <v>0.65435455142026822</v>
      </c>
      <c r="I16" s="339"/>
      <c r="J16" s="339">
        <v>0.65435455142026822</v>
      </c>
      <c r="K16" s="339">
        <v>4740.7043899999999</v>
      </c>
      <c r="L16" s="339">
        <v>0</v>
      </c>
      <c r="M16" s="339">
        <v>4740.7043899999999</v>
      </c>
      <c r="N16" s="339">
        <v>3320.97741</v>
      </c>
      <c r="O16" s="339">
        <v>0</v>
      </c>
      <c r="P16" s="339">
        <v>3320.97741</v>
      </c>
      <c r="Q16" s="339">
        <v>70.052404385416665</v>
      </c>
      <c r="R16" s="339"/>
      <c r="S16" s="339">
        <v>70.052404385416665</v>
      </c>
      <c r="T16" s="339">
        <v>18901.355210000002</v>
      </c>
      <c r="U16" s="339">
        <v>0</v>
      </c>
      <c r="V16" s="339">
        <v>18901.355210000002</v>
      </c>
      <c r="W16" s="339">
        <v>3838.2461899999998</v>
      </c>
      <c r="X16" s="339">
        <v>0</v>
      </c>
      <c r="Y16" s="339">
        <v>3838.2461899999998</v>
      </c>
      <c r="Z16" s="253">
        <v>20.306724821346815</v>
      </c>
      <c r="AA16" s="339"/>
      <c r="AB16" s="254">
        <v>20.306724821346815</v>
      </c>
    </row>
    <row r="17" spans="1:28" x14ac:dyDescent="0.3">
      <c r="A17" s="349" t="s">
        <v>164</v>
      </c>
      <c r="B17" s="339">
        <f>[1]Черн!AV14</f>
        <v>0</v>
      </c>
      <c r="C17" s="339">
        <f>[1]Черн!AW14</f>
        <v>0</v>
      </c>
      <c r="D17" s="339">
        <f>[1]Черн!AX14</f>
        <v>0</v>
      </c>
      <c r="E17" s="339">
        <v>0</v>
      </c>
      <c r="F17" s="339">
        <v>0</v>
      </c>
      <c r="G17" s="339">
        <v>0</v>
      </c>
      <c r="H17" s="339"/>
      <c r="I17" s="339"/>
      <c r="J17" s="339"/>
      <c r="K17" s="339">
        <v>0</v>
      </c>
      <c r="L17" s="339">
        <v>0</v>
      </c>
      <c r="M17" s="339">
        <v>0</v>
      </c>
      <c r="N17" s="339">
        <v>0</v>
      </c>
      <c r="O17" s="339">
        <v>0</v>
      </c>
      <c r="P17" s="339">
        <v>0</v>
      </c>
      <c r="Q17" s="339"/>
      <c r="R17" s="339"/>
      <c r="S17" s="339"/>
      <c r="T17" s="339">
        <v>0</v>
      </c>
      <c r="U17" s="339">
        <v>0</v>
      </c>
      <c r="V17" s="339">
        <v>0</v>
      </c>
      <c r="W17" s="339">
        <v>0</v>
      </c>
      <c r="X17" s="339">
        <v>0</v>
      </c>
      <c r="Y17" s="339">
        <v>0</v>
      </c>
      <c r="Z17" s="339"/>
      <c r="AA17" s="339"/>
      <c r="AB17" s="319"/>
    </row>
    <row r="18" spans="1:28" x14ac:dyDescent="0.3">
      <c r="A18" s="349" t="s">
        <v>165</v>
      </c>
      <c r="B18" s="339">
        <f>[1]Черн!AV15</f>
        <v>2581.0497700000001</v>
      </c>
      <c r="C18" s="339">
        <f>[1]Черн!AW15</f>
        <v>1495</v>
      </c>
      <c r="D18" s="339">
        <f>[1]Черн!AX15</f>
        <v>1086.0497700000001</v>
      </c>
      <c r="E18" s="339">
        <v>1406.35761</v>
      </c>
      <c r="F18" s="339">
        <v>320.30784</v>
      </c>
      <c r="G18" s="339">
        <v>1086.0497700000001</v>
      </c>
      <c r="H18" s="339">
        <v>54.487814467831825</v>
      </c>
      <c r="I18" s="339">
        <v>21.42527357859532</v>
      </c>
      <c r="J18" s="339">
        <v>99.999999999999986</v>
      </c>
      <c r="K18" s="339">
        <v>25180.210169999998</v>
      </c>
      <c r="L18" s="339">
        <v>24424.857799999998</v>
      </c>
      <c r="M18" s="339">
        <v>755.35236999999995</v>
      </c>
      <c r="N18" s="339">
        <v>8619.1321700000008</v>
      </c>
      <c r="O18" s="339">
        <v>7863.7798000000003</v>
      </c>
      <c r="P18" s="339">
        <v>755.35236999999995</v>
      </c>
      <c r="Q18" s="339">
        <v>34.229786454558422</v>
      </c>
      <c r="R18" s="339">
        <v>32.195805864630259</v>
      </c>
      <c r="S18" s="339">
        <v>100</v>
      </c>
      <c r="T18" s="339">
        <v>653.57789000000002</v>
      </c>
      <c r="U18" s="339">
        <v>0</v>
      </c>
      <c r="V18" s="339">
        <v>653.57789000000002</v>
      </c>
      <c r="W18" s="339">
        <v>653.57789000000002</v>
      </c>
      <c r="X18" s="339">
        <v>0</v>
      </c>
      <c r="Y18" s="339">
        <v>653.57789000000002</v>
      </c>
      <c r="Z18" s="339">
        <v>100</v>
      </c>
      <c r="AA18" s="339"/>
      <c r="AB18" s="319">
        <v>100</v>
      </c>
    </row>
    <row r="19" spans="1:28" x14ac:dyDescent="0.3">
      <c r="A19" s="349" t="s">
        <v>166</v>
      </c>
      <c r="B19" s="339">
        <f>[1]Черн!AV16</f>
        <v>0</v>
      </c>
      <c r="C19" s="339">
        <f>[1]Черн!AW16</f>
        <v>0</v>
      </c>
      <c r="D19" s="339">
        <f>[1]Черн!AX16</f>
        <v>0</v>
      </c>
      <c r="E19" s="339">
        <v>0</v>
      </c>
      <c r="F19" s="339">
        <v>0</v>
      </c>
      <c r="G19" s="339">
        <v>0</v>
      </c>
      <c r="H19" s="339"/>
      <c r="I19" s="339"/>
      <c r="J19" s="339"/>
      <c r="K19" s="339">
        <v>0</v>
      </c>
      <c r="L19" s="339">
        <v>0</v>
      </c>
      <c r="M19" s="339">
        <v>0</v>
      </c>
      <c r="N19" s="339">
        <v>0</v>
      </c>
      <c r="O19" s="339">
        <v>0</v>
      </c>
      <c r="P19" s="339">
        <v>0</v>
      </c>
      <c r="Q19" s="339"/>
      <c r="R19" s="339"/>
      <c r="S19" s="339"/>
      <c r="T19" s="339">
        <v>0</v>
      </c>
      <c r="U19" s="339">
        <v>0</v>
      </c>
      <c r="V19" s="339">
        <v>0</v>
      </c>
      <c r="W19" s="339">
        <v>0</v>
      </c>
      <c r="X19" s="339">
        <v>0</v>
      </c>
      <c r="Y19" s="339">
        <v>0</v>
      </c>
      <c r="Z19" s="339"/>
      <c r="AA19" s="339"/>
      <c r="AB19" s="319"/>
    </row>
    <row r="20" spans="1:28" x14ac:dyDescent="0.3">
      <c r="A20" s="349" t="s">
        <v>167</v>
      </c>
      <c r="B20" s="339">
        <f>[1]Черн!AV17</f>
        <v>0</v>
      </c>
      <c r="C20" s="339">
        <f>[1]Черн!AW17</f>
        <v>0</v>
      </c>
      <c r="D20" s="339">
        <f>[1]Черн!AX17</f>
        <v>0</v>
      </c>
      <c r="E20" s="339">
        <v>0</v>
      </c>
      <c r="F20" s="339">
        <v>0</v>
      </c>
      <c r="G20" s="339">
        <v>0</v>
      </c>
      <c r="H20" s="339"/>
      <c r="I20" s="339"/>
      <c r="J20" s="339"/>
      <c r="K20" s="339">
        <v>0</v>
      </c>
      <c r="L20" s="339">
        <v>0</v>
      </c>
      <c r="M20" s="339">
        <v>0</v>
      </c>
      <c r="N20" s="339">
        <v>0</v>
      </c>
      <c r="O20" s="339">
        <v>0</v>
      </c>
      <c r="P20" s="339">
        <v>0</v>
      </c>
      <c r="Q20" s="339"/>
      <c r="R20" s="339"/>
      <c r="S20" s="339"/>
      <c r="T20" s="339">
        <v>0</v>
      </c>
      <c r="U20" s="339">
        <v>0</v>
      </c>
      <c r="V20" s="339">
        <v>0</v>
      </c>
      <c r="W20" s="339">
        <v>0</v>
      </c>
      <c r="X20" s="339">
        <v>0</v>
      </c>
      <c r="Y20" s="339">
        <v>0</v>
      </c>
      <c r="Z20" s="339"/>
      <c r="AA20" s="339"/>
      <c r="AB20" s="319"/>
    </row>
    <row r="21" spans="1:28" x14ac:dyDescent="0.3">
      <c r="A21" s="349" t="s">
        <v>168</v>
      </c>
      <c r="B21" s="339">
        <f>[1]Черн!AV18</f>
        <v>9293.1975899999998</v>
      </c>
      <c r="C21" s="339">
        <f>[1]Черн!AW18</f>
        <v>0</v>
      </c>
      <c r="D21" s="339">
        <f>[1]Черн!AX18</f>
        <v>9293.1975899999998</v>
      </c>
      <c r="E21" s="339">
        <v>9293.1975899999998</v>
      </c>
      <c r="F21" s="339">
        <v>0</v>
      </c>
      <c r="G21" s="339">
        <v>9293.1975899999998</v>
      </c>
      <c r="H21" s="339">
        <v>100</v>
      </c>
      <c r="I21" s="339"/>
      <c r="J21" s="339">
        <v>100</v>
      </c>
      <c r="K21" s="339">
        <v>59691.283100000001</v>
      </c>
      <c r="L21" s="339">
        <v>50861.3802</v>
      </c>
      <c r="M21" s="339">
        <v>8829.902900000001</v>
      </c>
      <c r="N21" s="339">
        <v>11552.17158</v>
      </c>
      <c r="O21" s="339">
        <v>7628.6605799999998</v>
      </c>
      <c r="P21" s="339">
        <v>3923.511</v>
      </c>
      <c r="Q21" s="339">
        <v>19.353196949455423</v>
      </c>
      <c r="R21" s="339">
        <v>14.998925609179594</v>
      </c>
      <c r="S21" s="339">
        <v>44.434361786696428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/>
      <c r="AA21" s="339"/>
      <c r="AB21" s="319"/>
    </row>
    <row r="22" spans="1:28" x14ac:dyDescent="0.3">
      <c r="A22" s="349" t="s">
        <v>169</v>
      </c>
      <c r="B22" s="339">
        <f>[1]Черн!AV19</f>
        <v>0</v>
      </c>
      <c r="C22" s="339">
        <f>[1]Черн!AW19</f>
        <v>0</v>
      </c>
      <c r="D22" s="339">
        <f>[1]Черн!AX19</f>
        <v>0</v>
      </c>
      <c r="E22" s="339">
        <v>0</v>
      </c>
      <c r="F22" s="339">
        <v>0</v>
      </c>
      <c r="G22" s="339">
        <v>0</v>
      </c>
      <c r="H22" s="339"/>
      <c r="I22" s="339"/>
      <c r="J22" s="339"/>
      <c r="K22" s="339">
        <v>141023.08491999999</v>
      </c>
      <c r="L22" s="339">
        <v>8917.4936500000003</v>
      </c>
      <c r="M22" s="339">
        <v>132105.59127</v>
      </c>
      <c r="N22" s="339">
        <v>44617.39284</v>
      </c>
      <c r="O22" s="339">
        <v>4985.15834</v>
      </c>
      <c r="P22" s="339">
        <v>39632.234499999999</v>
      </c>
      <c r="Q22" s="339">
        <v>31.638361099043244</v>
      </c>
      <c r="R22" s="339">
        <v>55.903133051291825</v>
      </c>
      <c r="S22" s="339">
        <v>30.000421722498373</v>
      </c>
      <c r="T22" s="339">
        <v>5477.5966600000002</v>
      </c>
      <c r="U22" s="339">
        <v>0</v>
      </c>
      <c r="V22" s="339">
        <v>5477.5966600000002</v>
      </c>
      <c r="W22" s="339">
        <v>5477.5966600000002</v>
      </c>
      <c r="X22" s="339">
        <v>0</v>
      </c>
      <c r="Y22" s="339">
        <v>5477.5966600000002</v>
      </c>
      <c r="Z22" s="339">
        <v>100</v>
      </c>
      <c r="AA22" s="339"/>
      <c r="AB22" s="319">
        <v>100</v>
      </c>
    </row>
    <row r="23" spans="1:28" x14ac:dyDescent="0.3">
      <c r="A23" s="349" t="s">
        <v>170</v>
      </c>
      <c r="B23" s="339">
        <f>[1]Черн!AV20</f>
        <v>0</v>
      </c>
      <c r="C23" s="339">
        <f>[1]Черн!AW20</f>
        <v>0</v>
      </c>
      <c r="D23" s="339">
        <f>[1]Черн!AX20</f>
        <v>0</v>
      </c>
      <c r="E23" s="339">
        <v>0</v>
      </c>
      <c r="F23" s="339">
        <v>0</v>
      </c>
      <c r="G23" s="339">
        <v>0</v>
      </c>
      <c r="H23" s="339"/>
      <c r="I23" s="339"/>
      <c r="J23" s="339"/>
      <c r="K23" s="339">
        <v>0</v>
      </c>
      <c r="L23" s="339">
        <v>0</v>
      </c>
      <c r="M23" s="339">
        <v>0</v>
      </c>
      <c r="N23" s="339">
        <v>0</v>
      </c>
      <c r="O23" s="339">
        <v>0</v>
      </c>
      <c r="P23" s="339">
        <v>0</v>
      </c>
      <c r="Q23" s="339"/>
      <c r="R23" s="339"/>
      <c r="S23" s="339"/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/>
      <c r="AA23" s="339"/>
      <c r="AB23" s="319"/>
    </row>
    <row r="24" spans="1:28" x14ac:dyDescent="0.3">
      <c r="A24" s="349" t="s">
        <v>171</v>
      </c>
      <c r="B24" s="339">
        <f>[1]Черн!AV21</f>
        <v>2454</v>
      </c>
      <c r="C24" s="339">
        <f>[1]Черн!AW21</f>
        <v>0</v>
      </c>
      <c r="D24" s="339">
        <f>[1]Черн!AX21</f>
        <v>2454</v>
      </c>
      <c r="E24" s="339">
        <v>2453.9127000000003</v>
      </c>
      <c r="F24" s="339">
        <v>0</v>
      </c>
      <c r="G24" s="339">
        <v>2453.9127000000003</v>
      </c>
      <c r="H24" s="339">
        <v>99.996442542787307</v>
      </c>
      <c r="I24" s="339"/>
      <c r="J24" s="339">
        <v>99.996442542787307</v>
      </c>
      <c r="K24" s="339">
        <v>112623.89632000001</v>
      </c>
      <c r="L24" s="339">
        <v>7191.2820000000002</v>
      </c>
      <c r="M24" s="339">
        <v>105432.61432000001</v>
      </c>
      <c r="N24" s="339">
        <v>5671.36</v>
      </c>
      <c r="O24" s="339">
        <v>3934.44</v>
      </c>
      <c r="P24" s="339">
        <v>1736.92</v>
      </c>
      <c r="Q24" s="253">
        <v>5.0356631099725737</v>
      </c>
      <c r="R24" s="339">
        <v>54.711246200607903</v>
      </c>
      <c r="S24" s="253">
        <v>1.6474219208187797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/>
      <c r="AA24" s="339"/>
      <c r="AB24" s="319"/>
    </row>
    <row r="25" spans="1:28" x14ac:dyDescent="0.3">
      <c r="A25" s="349" t="s">
        <v>172</v>
      </c>
      <c r="B25" s="339">
        <f>[1]Черн!AV22</f>
        <v>2182.53298</v>
      </c>
      <c r="C25" s="339">
        <f>[1]Черн!AW22</f>
        <v>0</v>
      </c>
      <c r="D25" s="339">
        <f>[1]Черн!AX22</f>
        <v>2182.53298</v>
      </c>
      <c r="E25" s="339">
        <v>2182.53298</v>
      </c>
      <c r="F25" s="339">
        <v>0</v>
      </c>
      <c r="G25" s="339">
        <v>2182.53298</v>
      </c>
      <c r="H25" s="339">
        <v>100</v>
      </c>
      <c r="I25" s="339"/>
      <c r="J25" s="339">
        <v>100</v>
      </c>
      <c r="K25" s="339">
        <v>0</v>
      </c>
      <c r="L25" s="339">
        <v>0</v>
      </c>
      <c r="M25" s="339">
        <v>0</v>
      </c>
      <c r="N25" s="339">
        <v>0</v>
      </c>
      <c r="O25" s="339">
        <v>0</v>
      </c>
      <c r="P25" s="339">
        <v>0</v>
      </c>
      <c r="Q25" s="339"/>
      <c r="R25" s="339"/>
      <c r="S25" s="339"/>
      <c r="T25" s="339">
        <v>2313.3049999999998</v>
      </c>
      <c r="U25" s="339">
        <v>0</v>
      </c>
      <c r="V25" s="339">
        <v>2313.3049999999998</v>
      </c>
      <c r="W25" s="339">
        <v>2313.3049999999998</v>
      </c>
      <c r="X25" s="339">
        <v>0</v>
      </c>
      <c r="Y25" s="339">
        <v>2313.3049999999998</v>
      </c>
      <c r="Z25" s="339">
        <v>100</v>
      </c>
      <c r="AA25" s="339"/>
      <c r="AB25" s="319">
        <v>100</v>
      </c>
    </row>
    <row r="26" spans="1:28" x14ac:dyDescent="0.3">
      <c r="A26" s="349" t="s">
        <v>173</v>
      </c>
      <c r="B26" s="339">
        <f>[1]Черн!AV23</f>
        <v>0</v>
      </c>
      <c r="C26" s="339">
        <f>[1]Черн!AW23</f>
        <v>0</v>
      </c>
      <c r="D26" s="339">
        <f>[1]Черн!AX23</f>
        <v>0</v>
      </c>
      <c r="E26" s="339">
        <v>0</v>
      </c>
      <c r="F26" s="339">
        <v>0</v>
      </c>
      <c r="G26" s="339">
        <v>0</v>
      </c>
      <c r="H26" s="339"/>
      <c r="I26" s="339"/>
      <c r="J26" s="339"/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/>
      <c r="R26" s="339"/>
      <c r="S26" s="339"/>
      <c r="T26" s="339">
        <v>21972.779289999999</v>
      </c>
      <c r="U26" s="339">
        <v>0</v>
      </c>
      <c r="V26" s="339">
        <v>21972.779289999999</v>
      </c>
      <c r="W26" s="339">
        <v>21755.812379999999</v>
      </c>
      <c r="X26" s="339">
        <v>0</v>
      </c>
      <c r="Y26" s="339">
        <v>21755.812379999999</v>
      </c>
      <c r="Z26" s="339">
        <v>99.012565014482519</v>
      </c>
      <c r="AA26" s="339"/>
      <c r="AB26" s="319">
        <v>99.012565014482519</v>
      </c>
    </row>
    <row r="27" spans="1:28" x14ac:dyDescent="0.3">
      <c r="A27" s="349" t="s">
        <v>174</v>
      </c>
      <c r="B27" s="339">
        <f>[1]Черн!AV24</f>
        <v>0</v>
      </c>
      <c r="C27" s="339">
        <f>[1]Черн!AW24</f>
        <v>0</v>
      </c>
      <c r="D27" s="339">
        <f>[1]Черн!AX24</f>
        <v>0</v>
      </c>
      <c r="E27" s="339">
        <v>0</v>
      </c>
      <c r="F27" s="339">
        <v>0</v>
      </c>
      <c r="G27" s="339">
        <v>0</v>
      </c>
      <c r="H27" s="339"/>
      <c r="I27" s="339"/>
      <c r="J27" s="339"/>
      <c r="K27" s="339">
        <v>192832.49426999997</v>
      </c>
      <c r="L27" s="339">
        <v>0</v>
      </c>
      <c r="M27" s="339">
        <v>192832.49426999997</v>
      </c>
      <c r="N27" s="339">
        <v>72105.309859999994</v>
      </c>
      <c r="O27" s="339">
        <v>0</v>
      </c>
      <c r="P27" s="339">
        <v>72105.309859999994</v>
      </c>
      <c r="Q27" s="339">
        <v>37.39271751525429</v>
      </c>
      <c r="R27" s="339"/>
      <c r="S27" s="339">
        <v>37.39271751525429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/>
      <c r="AA27" s="339"/>
      <c r="AB27" s="319"/>
    </row>
    <row r="28" spans="1:28" x14ac:dyDescent="0.3">
      <c r="A28" s="349" t="s">
        <v>175</v>
      </c>
      <c r="B28" s="339">
        <f>[1]Черн!AV25</f>
        <v>0</v>
      </c>
      <c r="C28" s="339">
        <f>[1]Черн!AW25</f>
        <v>0</v>
      </c>
      <c r="D28" s="339">
        <f>[1]Черн!AX25</f>
        <v>0</v>
      </c>
      <c r="E28" s="339">
        <v>0</v>
      </c>
      <c r="F28" s="339">
        <v>0</v>
      </c>
      <c r="G28" s="339">
        <v>0</v>
      </c>
      <c r="H28" s="339"/>
      <c r="I28" s="339"/>
      <c r="J28" s="339"/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/>
      <c r="R28" s="339"/>
      <c r="S28" s="339"/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/>
      <c r="AA28" s="339"/>
      <c r="AB28" s="319"/>
    </row>
    <row r="29" spans="1:28" x14ac:dyDescent="0.3">
      <c r="A29" s="349" t="s">
        <v>176</v>
      </c>
      <c r="B29" s="339">
        <f>[1]Черн!AV26</f>
        <v>0</v>
      </c>
      <c r="C29" s="339">
        <f>[1]Черн!AW26</f>
        <v>0</v>
      </c>
      <c r="D29" s="339">
        <f>[1]Черн!AX26</f>
        <v>0</v>
      </c>
      <c r="E29" s="339">
        <v>0</v>
      </c>
      <c r="F29" s="339">
        <v>0</v>
      </c>
      <c r="G29" s="339">
        <v>0</v>
      </c>
      <c r="H29" s="339"/>
      <c r="I29" s="339"/>
      <c r="J29" s="339"/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/>
      <c r="R29" s="339"/>
      <c r="S29" s="339"/>
      <c r="T29" s="339">
        <v>4781</v>
      </c>
      <c r="U29" s="339">
        <v>4781</v>
      </c>
      <c r="V29" s="339">
        <v>0</v>
      </c>
      <c r="W29" s="339">
        <v>4780.3705399999999</v>
      </c>
      <c r="X29" s="339">
        <v>4780.3705399999999</v>
      </c>
      <c r="Y29" s="339">
        <v>0</v>
      </c>
      <c r="Z29" s="339">
        <v>99.986834135118173</v>
      </c>
      <c r="AA29" s="339">
        <v>99.986834135118173</v>
      </c>
      <c r="AB29" s="319"/>
    </row>
    <row r="30" spans="1:28" x14ac:dyDescent="0.3">
      <c r="A30" s="349" t="s">
        <v>177</v>
      </c>
      <c r="B30" s="339">
        <f>[1]Черн!AV27</f>
        <v>0</v>
      </c>
      <c r="C30" s="339">
        <f>[1]Черн!AW27</f>
        <v>0</v>
      </c>
      <c r="D30" s="339">
        <f>[1]Черн!AX27</f>
        <v>0</v>
      </c>
      <c r="E30" s="339">
        <v>0</v>
      </c>
      <c r="F30" s="339">
        <v>0</v>
      </c>
      <c r="G30" s="339">
        <v>0</v>
      </c>
      <c r="H30" s="339"/>
      <c r="I30" s="339"/>
      <c r="J30" s="339"/>
      <c r="K30" s="339">
        <v>1215709.73648</v>
      </c>
      <c r="L30" s="339">
        <v>1215709.73648</v>
      </c>
      <c r="M30" s="339">
        <v>0</v>
      </c>
      <c r="N30" s="339">
        <v>387622.69176000002</v>
      </c>
      <c r="O30" s="339">
        <v>387622.69176000002</v>
      </c>
      <c r="P30" s="339">
        <v>0</v>
      </c>
      <c r="Q30" s="339">
        <v>31.884477036626656</v>
      </c>
      <c r="R30" s="339">
        <v>31.884477036626656</v>
      </c>
      <c r="S30" s="339"/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/>
      <c r="AA30" s="339"/>
      <c r="AB30" s="319"/>
    </row>
    <row r="31" spans="1:28" x14ac:dyDescent="0.3">
      <c r="A31" s="349" t="s">
        <v>178</v>
      </c>
      <c r="B31" s="339">
        <f>[1]Черн!AV28</f>
        <v>0</v>
      </c>
      <c r="C31" s="339">
        <f>[1]Черн!AW28</f>
        <v>0</v>
      </c>
      <c r="D31" s="339">
        <f>[1]Черн!AX28</f>
        <v>0</v>
      </c>
      <c r="E31" s="339">
        <v>0</v>
      </c>
      <c r="F31" s="339">
        <v>0</v>
      </c>
      <c r="G31" s="339">
        <v>0</v>
      </c>
      <c r="H31" s="339"/>
      <c r="I31" s="339"/>
      <c r="J31" s="339"/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/>
      <c r="R31" s="339"/>
      <c r="S31" s="339"/>
      <c r="T31" s="339">
        <v>413</v>
      </c>
      <c r="U31" s="339">
        <v>413</v>
      </c>
      <c r="V31" s="339">
        <v>0</v>
      </c>
      <c r="W31" s="339">
        <v>138.74350000000001</v>
      </c>
      <c r="X31" s="339">
        <v>138.74350000000001</v>
      </c>
      <c r="Y31" s="339">
        <v>0</v>
      </c>
      <c r="Z31" s="253">
        <v>33.594067796610176</v>
      </c>
      <c r="AA31" s="253">
        <v>33.594067796610176</v>
      </c>
      <c r="AB31" s="319"/>
    </row>
    <row r="32" spans="1:28" x14ac:dyDescent="0.3">
      <c r="A32" s="349" t="s">
        <v>179</v>
      </c>
      <c r="B32" s="339">
        <f>[1]Черн!AV29</f>
        <v>0</v>
      </c>
      <c r="C32" s="339">
        <f>[1]Черн!AW29</f>
        <v>0</v>
      </c>
      <c r="D32" s="339">
        <f>[1]Черн!AX29</f>
        <v>0</v>
      </c>
      <c r="E32" s="339">
        <v>0</v>
      </c>
      <c r="F32" s="339">
        <v>0</v>
      </c>
      <c r="G32" s="339">
        <v>0</v>
      </c>
      <c r="H32" s="339"/>
      <c r="I32" s="339"/>
      <c r="J32" s="339"/>
      <c r="K32" s="339">
        <v>6914</v>
      </c>
      <c r="L32" s="339">
        <v>6914</v>
      </c>
      <c r="M32" s="339">
        <v>0</v>
      </c>
      <c r="N32" s="339">
        <v>5882.4023299999999</v>
      </c>
      <c r="O32" s="339">
        <v>5882.4023299999999</v>
      </c>
      <c r="P32" s="339">
        <v>0</v>
      </c>
      <c r="Q32" s="253">
        <v>85.079582441423199</v>
      </c>
      <c r="R32" s="253">
        <v>85.079582441423199</v>
      </c>
      <c r="S32" s="339"/>
      <c r="T32" s="339">
        <v>0</v>
      </c>
      <c r="U32" s="339">
        <v>0</v>
      </c>
      <c r="V32" s="339">
        <v>0</v>
      </c>
      <c r="W32" s="339">
        <v>0</v>
      </c>
      <c r="X32" s="339">
        <v>0</v>
      </c>
      <c r="Y32" s="339">
        <v>0</v>
      </c>
      <c r="Z32" s="339"/>
      <c r="AA32" s="339"/>
      <c r="AB32" s="319"/>
    </row>
    <row r="33" spans="1:28" x14ac:dyDescent="0.3">
      <c r="A33" s="349" t="s">
        <v>180</v>
      </c>
      <c r="B33" s="339">
        <f>[1]Черн!AV30</f>
        <v>0</v>
      </c>
      <c r="C33" s="339">
        <f>[1]Черн!AW30</f>
        <v>0</v>
      </c>
      <c r="D33" s="339">
        <f>[1]Черн!AX30</f>
        <v>0</v>
      </c>
      <c r="E33" s="339">
        <v>0</v>
      </c>
      <c r="F33" s="339">
        <v>0</v>
      </c>
      <c r="G33" s="339">
        <v>0</v>
      </c>
      <c r="H33" s="339"/>
      <c r="I33" s="339"/>
      <c r="J33" s="339"/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/>
      <c r="R33" s="339"/>
      <c r="S33" s="339"/>
      <c r="T33" s="339">
        <v>0</v>
      </c>
      <c r="U33" s="339">
        <v>0</v>
      </c>
      <c r="V33" s="339">
        <v>0</v>
      </c>
      <c r="W33" s="339">
        <v>0</v>
      </c>
      <c r="X33" s="339">
        <v>0</v>
      </c>
      <c r="Y33" s="339">
        <v>0</v>
      </c>
      <c r="Z33" s="339"/>
      <c r="AA33" s="339"/>
      <c r="AB33" s="319"/>
    </row>
    <row r="34" spans="1:28" x14ac:dyDescent="0.3">
      <c r="A34" s="349" t="s">
        <v>181</v>
      </c>
      <c r="B34" s="339">
        <f>[1]Черн!AV31</f>
        <v>0</v>
      </c>
      <c r="C34" s="339">
        <f>[1]Черн!AW31</f>
        <v>0</v>
      </c>
      <c r="D34" s="339">
        <f>[1]Черн!AX31</f>
        <v>0</v>
      </c>
      <c r="E34" s="339">
        <v>0</v>
      </c>
      <c r="F34" s="339">
        <v>0</v>
      </c>
      <c r="G34" s="339">
        <v>0</v>
      </c>
      <c r="H34" s="339"/>
      <c r="I34" s="339"/>
      <c r="J34" s="339"/>
      <c r="K34" s="339">
        <v>0</v>
      </c>
      <c r="L34" s="339">
        <v>0</v>
      </c>
      <c r="M34" s="339">
        <v>0</v>
      </c>
      <c r="N34" s="339">
        <v>0</v>
      </c>
      <c r="O34" s="339">
        <v>0</v>
      </c>
      <c r="P34" s="339">
        <v>0</v>
      </c>
      <c r="Q34" s="339"/>
      <c r="R34" s="339"/>
      <c r="S34" s="339"/>
      <c r="T34" s="339">
        <v>0</v>
      </c>
      <c r="U34" s="339">
        <v>0</v>
      </c>
      <c r="V34" s="339">
        <v>0</v>
      </c>
      <c r="W34" s="339">
        <v>0</v>
      </c>
      <c r="X34" s="339">
        <v>0</v>
      </c>
      <c r="Y34" s="339">
        <v>0</v>
      </c>
      <c r="Z34" s="339"/>
      <c r="AA34" s="339"/>
      <c r="AB34" s="319"/>
    </row>
    <row r="35" spans="1:28" x14ac:dyDescent="0.3">
      <c r="A35" s="349" t="s">
        <v>182</v>
      </c>
      <c r="B35" s="339">
        <f>[1]Черн!AV32</f>
        <v>0</v>
      </c>
      <c r="C35" s="339">
        <f>[1]Черн!AW32</f>
        <v>0</v>
      </c>
      <c r="D35" s="339">
        <f>[1]Черн!AX32</f>
        <v>0</v>
      </c>
      <c r="E35" s="339">
        <v>0</v>
      </c>
      <c r="F35" s="339">
        <v>0</v>
      </c>
      <c r="G35" s="339">
        <v>0</v>
      </c>
      <c r="H35" s="339"/>
      <c r="I35" s="339"/>
      <c r="J35" s="339"/>
      <c r="K35" s="339">
        <v>0</v>
      </c>
      <c r="L35" s="339">
        <v>0</v>
      </c>
      <c r="M35" s="339">
        <v>0</v>
      </c>
      <c r="N35" s="339">
        <v>0</v>
      </c>
      <c r="O35" s="339">
        <v>0</v>
      </c>
      <c r="P35" s="339">
        <v>0</v>
      </c>
      <c r="Q35" s="339"/>
      <c r="R35" s="339"/>
      <c r="S35" s="339"/>
      <c r="T35" s="339">
        <v>0</v>
      </c>
      <c r="U35" s="339">
        <v>0</v>
      </c>
      <c r="V35" s="339">
        <v>0</v>
      </c>
      <c r="W35" s="339">
        <v>0</v>
      </c>
      <c r="X35" s="339">
        <v>0</v>
      </c>
      <c r="Y35" s="339">
        <v>0</v>
      </c>
      <c r="Z35" s="339"/>
      <c r="AA35" s="339"/>
      <c r="AB35" s="319"/>
    </row>
    <row r="36" spans="1:28" s="359" customFormat="1" x14ac:dyDescent="0.3">
      <c r="A36" s="350" t="s">
        <v>183</v>
      </c>
      <c r="B36" s="351">
        <f>[1]Черн!AV33</f>
        <v>20056.527050000001</v>
      </c>
      <c r="C36" s="351">
        <f>[1]Черн!AW33</f>
        <v>2720.7</v>
      </c>
      <c r="D36" s="351">
        <f>[1]Черн!AX33</f>
        <v>17335.82705</v>
      </c>
      <c r="E36" s="351">
        <v>15954.2078</v>
      </c>
      <c r="F36" s="351">
        <v>614.1248700000001</v>
      </c>
      <c r="G36" s="351">
        <v>15340.08293</v>
      </c>
      <c r="H36" s="351">
        <v>79.546213361001605</v>
      </c>
      <c r="I36" s="351">
        <v>22.572311169919512</v>
      </c>
      <c r="J36" s="351">
        <v>88.487747863174491</v>
      </c>
      <c r="K36" s="351">
        <v>1955247.24395</v>
      </c>
      <c r="L36" s="351">
        <v>1374037.1751299999</v>
      </c>
      <c r="M36" s="351">
        <v>581210.06881999993</v>
      </c>
      <c r="N36" s="351">
        <v>617981.65299999993</v>
      </c>
      <c r="O36" s="351">
        <v>418326.97031</v>
      </c>
      <c r="P36" s="351">
        <v>199654.68268999999</v>
      </c>
      <c r="Q36" s="351">
        <v>31.606317559693903</v>
      </c>
      <c r="R36" s="351">
        <v>30.445098421039546</v>
      </c>
      <c r="S36" s="351">
        <v>34.351552631451881</v>
      </c>
      <c r="T36" s="351">
        <v>282417.49605999998</v>
      </c>
      <c r="U36" s="351">
        <v>25033.812999999998</v>
      </c>
      <c r="V36" s="351">
        <v>257383.68306000001</v>
      </c>
      <c r="W36" s="351">
        <v>260951.44257000001</v>
      </c>
      <c r="X36" s="351">
        <v>24406.00704</v>
      </c>
      <c r="Y36" s="351">
        <v>236545.43552999999</v>
      </c>
      <c r="Z36" s="351">
        <v>92.399177179363036</v>
      </c>
      <c r="AA36" s="351">
        <v>97.492168052865154</v>
      </c>
      <c r="AB36" s="352">
        <v>91.903819510911916</v>
      </c>
    </row>
    <row r="37" spans="1:28" x14ac:dyDescent="0.3">
      <c r="A37" s="353" t="s">
        <v>323</v>
      </c>
      <c r="B37" s="339">
        <f>[1]Черн!AV34</f>
        <v>52969.988689999998</v>
      </c>
      <c r="C37" s="339"/>
      <c r="D37" s="339"/>
      <c r="E37" s="339">
        <v>8612.9886900000001</v>
      </c>
      <c r="F37" s="339"/>
      <c r="G37" s="339"/>
      <c r="H37" s="339">
        <v>16.260129373269081</v>
      </c>
      <c r="I37" s="339"/>
      <c r="J37" s="339"/>
      <c r="K37" s="339">
        <v>0</v>
      </c>
      <c r="L37" s="339">
        <v>0</v>
      </c>
      <c r="M37" s="339">
        <v>0</v>
      </c>
      <c r="N37" s="339">
        <v>0</v>
      </c>
      <c r="O37" s="339"/>
      <c r="P37" s="339"/>
      <c r="Q37" s="339"/>
      <c r="R37" s="339"/>
      <c r="S37" s="339"/>
      <c r="T37" s="339">
        <v>0</v>
      </c>
      <c r="U37" s="339">
        <v>0</v>
      </c>
      <c r="V37" s="339">
        <v>0</v>
      </c>
      <c r="W37" s="339">
        <v>0</v>
      </c>
      <c r="X37" s="339"/>
      <c r="Y37" s="339"/>
      <c r="Z37" s="339"/>
      <c r="AA37" s="339"/>
      <c r="AB37" s="319"/>
    </row>
    <row r="38" spans="1:28" s="359" customFormat="1" ht="13.8" thickBot="1" x14ac:dyDescent="0.35">
      <c r="A38" s="354" t="s">
        <v>324</v>
      </c>
      <c r="B38" s="331">
        <f>[1]Черн!AV35</f>
        <v>73026.515740000003</v>
      </c>
      <c r="C38" s="331">
        <f>[1]Черн!AW35</f>
        <v>2720.7</v>
      </c>
      <c r="D38" s="331">
        <f>[1]Черн!AX35</f>
        <v>17335.82705</v>
      </c>
      <c r="E38" s="331">
        <v>24567.196490000002</v>
      </c>
      <c r="F38" s="331">
        <v>614.1248700000001</v>
      </c>
      <c r="G38" s="331">
        <v>15340.08293</v>
      </c>
      <c r="H38" s="331">
        <v>33.641474252267265</v>
      </c>
      <c r="I38" s="331">
        <v>22.572311169919512</v>
      </c>
      <c r="J38" s="331">
        <v>88.487747863174491</v>
      </c>
      <c r="K38" s="331">
        <v>1955247.24395</v>
      </c>
      <c r="L38" s="331">
        <v>1374037.1751299999</v>
      </c>
      <c r="M38" s="331">
        <v>581210.06881999993</v>
      </c>
      <c r="N38" s="331">
        <v>617981.65299999993</v>
      </c>
      <c r="O38" s="331">
        <v>418326.97031</v>
      </c>
      <c r="P38" s="331">
        <v>199654.68268999999</v>
      </c>
      <c r="Q38" s="331">
        <v>31.606317559693903</v>
      </c>
      <c r="R38" s="331">
        <v>30.445098421039546</v>
      </c>
      <c r="S38" s="331">
        <v>34.351552631451881</v>
      </c>
      <c r="T38" s="331">
        <v>282417.49605999998</v>
      </c>
      <c r="U38" s="331">
        <v>25033.812999999998</v>
      </c>
      <c r="V38" s="331">
        <v>257383.68306000001</v>
      </c>
      <c r="W38" s="331">
        <v>260951.44257000001</v>
      </c>
      <c r="X38" s="331">
        <v>24406.00704</v>
      </c>
      <c r="Y38" s="331">
        <v>236545.43552999999</v>
      </c>
      <c r="Z38" s="331">
        <v>92.399177179363036</v>
      </c>
      <c r="AA38" s="331">
        <v>97.492168052865154</v>
      </c>
      <c r="AB38" s="355">
        <v>91.903819510911916</v>
      </c>
    </row>
    <row r="39" spans="1:28" ht="13.8" thickTop="1" x14ac:dyDescent="0.3"/>
  </sheetData>
  <mergeCells count="34">
    <mergeCell ref="W6:Y6"/>
    <mergeCell ref="Z6:AB6"/>
    <mergeCell ref="Z1:AB1"/>
    <mergeCell ref="A2:AB2"/>
    <mergeCell ref="Z3:AB3"/>
    <mergeCell ref="A4:A8"/>
    <mergeCell ref="B4:J5"/>
    <mergeCell ref="K4:S5"/>
    <mergeCell ref="T4:AB5"/>
    <mergeCell ref="B6:D6"/>
    <mergeCell ref="E6:G6"/>
    <mergeCell ref="H6:J6"/>
    <mergeCell ref="I7:J7"/>
    <mergeCell ref="K6:M6"/>
    <mergeCell ref="N6:P6"/>
    <mergeCell ref="Q6:S6"/>
    <mergeCell ref="T6:V6"/>
    <mergeCell ref="B7:B8"/>
    <mergeCell ref="C7:D7"/>
    <mergeCell ref="E7:E8"/>
    <mergeCell ref="F7:G7"/>
    <mergeCell ref="H7:H8"/>
    <mergeCell ref="AA7:AB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  <mergeCell ref="Z7:Z8"/>
  </mergeCells>
  <conditionalFormatting sqref="B10:G35">
    <cfRule type="cellIs" dxfId="3" priority="3" operator="equal">
      <formula>0</formula>
    </cfRule>
  </conditionalFormatting>
  <conditionalFormatting sqref="K10:P35">
    <cfRule type="cellIs" dxfId="2" priority="2" operator="equal">
      <formula>0</formula>
    </cfRule>
  </conditionalFormatting>
  <conditionalFormatting sqref="T10:Y35">
    <cfRule type="cellIs" dxfId="1" priority="1" operator="equal">
      <formula>0</formula>
    </cfRule>
  </conditionalFormatting>
  <pageMargins left="0.39370078740157483" right="0.39370078740157483" top="0.74803149606299213" bottom="0.59055118110236227" header="0.31496062992125984" footer="0.31496062992125984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4" sqref="G4"/>
    </sheetView>
  </sheetViews>
  <sheetFormatPr defaultColWidth="9.109375" defaultRowHeight="13.8" x14ac:dyDescent="0.3"/>
  <cols>
    <col min="1" max="1" width="32.88671875" style="338" customWidth="1"/>
    <col min="2" max="2" width="11.21875" style="337" bestFit="1" customWidth="1"/>
    <col min="3" max="3" width="12" style="337" bestFit="1" customWidth="1"/>
    <col min="4" max="4" width="10.33203125" style="337" bestFit="1" customWidth="1"/>
    <col min="5" max="5" width="11.6640625" style="337" customWidth="1"/>
    <col min="6" max="6" width="12.21875" style="337" bestFit="1" customWidth="1"/>
    <col min="7" max="7" width="7.44140625" style="337" customWidth="1"/>
    <col min="8" max="8" width="12.6640625" style="337" bestFit="1" customWidth="1"/>
    <col min="9" max="9" width="6.5546875" style="337" customWidth="1"/>
    <col min="10" max="10" width="12.33203125" style="337" hidden="1" customWidth="1"/>
    <col min="11" max="11" width="12.44140625" style="337" hidden="1" customWidth="1"/>
    <col min="12" max="12" width="12.21875" style="337" bestFit="1" customWidth="1"/>
    <col min="13" max="13" width="6" style="337" customWidth="1"/>
    <col min="14" max="14" width="12.6640625" style="337" bestFit="1" customWidth="1"/>
    <col min="15" max="15" width="6.109375" style="337" customWidth="1"/>
    <col min="16" max="16" width="10.109375" style="337" bestFit="1" customWidth="1"/>
    <col min="17" max="17" width="10" style="337" bestFit="1" customWidth="1"/>
    <col min="18" max="19" width="10.44140625" style="337" bestFit="1" customWidth="1"/>
    <col min="20" max="20" width="10.109375" style="337" bestFit="1" customWidth="1"/>
    <col min="21" max="21" width="12" style="337" bestFit="1" customWidth="1"/>
    <col min="22" max="23" width="10.44140625" style="337" bestFit="1" customWidth="1"/>
    <col min="24" max="16384" width="9.109375" style="337"/>
  </cols>
  <sheetData>
    <row r="1" spans="1:25" s="332" customFormat="1" x14ac:dyDescent="0.3">
      <c r="J1" s="333"/>
      <c r="K1" s="333"/>
      <c r="U1" s="428" t="s">
        <v>342</v>
      </c>
      <c r="V1" s="429"/>
      <c r="W1" s="429"/>
    </row>
    <row r="2" spans="1:25" s="332" customFormat="1" x14ac:dyDescent="0.3">
      <c r="J2" s="333"/>
      <c r="K2" s="333"/>
      <c r="U2" s="334"/>
      <c r="V2" s="334"/>
      <c r="W2" s="334"/>
    </row>
    <row r="3" spans="1:25" s="332" customFormat="1" ht="35.25" customHeight="1" x14ac:dyDescent="0.3">
      <c r="A3" s="398" t="s">
        <v>352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23"/>
      <c r="Y3" s="323"/>
    </row>
    <row r="4" spans="1:25" s="332" customFormat="1" ht="16.2" thickBot="1" x14ac:dyDescent="0.35">
      <c r="A4" s="321"/>
      <c r="B4" s="321"/>
      <c r="C4" s="321"/>
      <c r="D4" s="321"/>
      <c r="E4" s="321"/>
      <c r="F4" s="321"/>
      <c r="G4" s="321"/>
      <c r="H4" s="321"/>
      <c r="I4" s="321"/>
      <c r="J4" s="322"/>
      <c r="K4" s="322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430" t="s">
        <v>295</v>
      </c>
      <c r="W4" s="430"/>
      <c r="X4" s="323"/>
      <c r="Y4" s="323"/>
    </row>
    <row r="5" spans="1:25" s="335" customFormat="1" ht="25.8" customHeight="1" thickTop="1" x14ac:dyDescent="0.3">
      <c r="A5" s="431" t="s">
        <v>231</v>
      </c>
      <c r="B5" s="411" t="s">
        <v>296</v>
      </c>
      <c r="C5" s="411"/>
      <c r="D5" s="411"/>
      <c r="E5" s="411"/>
      <c r="F5" s="411" t="s">
        <v>297</v>
      </c>
      <c r="G5" s="411"/>
      <c r="H5" s="411"/>
      <c r="I5" s="411"/>
      <c r="J5" s="433" t="s">
        <v>298</v>
      </c>
      <c r="K5" s="433" t="s">
        <v>299</v>
      </c>
      <c r="L5" s="411" t="s">
        <v>300</v>
      </c>
      <c r="M5" s="411"/>
      <c r="N5" s="411"/>
      <c r="O5" s="411"/>
      <c r="P5" s="411" t="s">
        <v>328</v>
      </c>
      <c r="Q5" s="411"/>
      <c r="R5" s="411"/>
      <c r="S5" s="411"/>
      <c r="T5" s="411"/>
      <c r="U5" s="411"/>
      <c r="V5" s="411"/>
      <c r="W5" s="412"/>
    </row>
    <row r="6" spans="1:25" s="335" customFormat="1" ht="24" customHeight="1" x14ac:dyDescent="0.3">
      <c r="A6" s="432"/>
      <c r="B6" s="413" t="s">
        <v>301</v>
      </c>
      <c r="C6" s="413"/>
      <c r="D6" s="413" t="s">
        <v>302</v>
      </c>
      <c r="E6" s="413"/>
      <c r="F6" s="413"/>
      <c r="G6" s="413"/>
      <c r="H6" s="413"/>
      <c r="I6" s="413"/>
      <c r="J6" s="434"/>
      <c r="K6" s="434"/>
      <c r="L6" s="413"/>
      <c r="M6" s="413"/>
      <c r="N6" s="413"/>
      <c r="O6" s="413"/>
      <c r="P6" s="413" t="s">
        <v>329</v>
      </c>
      <c r="Q6" s="413"/>
      <c r="R6" s="413"/>
      <c r="S6" s="413"/>
      <c r="T6" s="413" t="s">
        <v>330</v>
      </c>
      <c r="U6" s="413"/>
      <c r="V6" s="413"/>
      <c r="W6" s="414"/>
    </row>
    <row r="7" spans="1:25" s="335" customFormat="1" ht="54" customHeight="1" x14ac:dyDescent="0.3">
      <c r="A7" s="432"/>
      <c r="B7" s="360" t="s">
        <v>190</v>
      </c>
      <c r="C7" s="320" t="s">
        <v>303</v>
      </c>
      <c r="D7" s="360" t="s">
        <v>190</v>
      </c>
      <c r="E7" s="320" t="s">
        <v>303</v>
      </c>
      <c r="F7" s="360" t="s">
        <v>190</v>
      </c>
      <c r="G7" s="320" t="s">
        <v>304</v>
      </c>
      <c r="H7" s="360" t="s">
        <v>303</v>
      </c>
      <c r="I7" s="320" t="s">
        <v>304</v>
      </c>
      <c r="J7" s="434"/>
      <c r="K7" s="434"/>
      <c r="L7" s="360" t="s">
        <v>190</v>
      </c>
      <c r="M7" s="320" t="s">
        <v>304</v>
      </c>
      <c r="N7" s="360" t="s">
        <v>303</v>
      </c>
      <c r="O7" s="320" t="s">
        <v>304</v>
      </c>
      <c r="P7" s="360" t="s">
        <v>305</v>
      </c>
      <c r="Q7" s="360" t="s">
        <v>306</v>
      </c>
      <c r="R7" s="360" t="s">
        <v>303</v>
      </c>
      <c r="S7" s="320" t="s">
        <v>307</v>
      </c>
      <c r="T7" s="360" t="s">
        <v>305</v>
      </c>
      <c r="U7" s="360" t="s">
        <v>308</v>
      </c>
      <c r="V7" s="360" t="s">
        <v>303</v>
      </c>
      <c r="W7" s="324" t="s">
        <v>309</v>
      </c>
    </row>
    <row r="8" spans="1:25" s="335" customFormat="1" x14ac:dyDescent="0.3">
      <c r="A8" s="325">
        <v>1</v>
      </c>
      <c r="B8" s="326">
        <v>2</v>
      </c>
      <c r="C8" s="326">
        <v>3</v>
      </c>
      <c r="D8" s="326">
        <v>4</v>
      </c>
      <c r="E8" s="326">
        <v>5</v>
      </c>
      <c r="F8" s="326">
        <v>6</v>
      </c>
      <c r="G8" s="326">
        <v>7</v>
      </c>
      <c r="H8" s="326">
        <v>8</v>
      </c>
      <c r="I8" s="326">
        <v>9</v>
      </c>
      <c r="J8" s="327">
        <v>10</v>
      </c>
      <c r="K8" s="327" t="s">
        <v>310</v>
      </c>
      <c r="L8" s="326">
        <v>10</v>
      </c>
      <c r="M8" s="326">
        <v>11</v>
      </c>
      <c r="N8" s="326">
        <v>12</v>
      </c>
      <c r="O8" s="326">
        <v>13</v>
      </c>
      <c r="P8" s="326">
        <v>14</v>
      </c>
      <c r="Q8" s="326">
        <v>15</v>
      </c>
      <c r="R8" s="326">
        <v>16</v>
      </c>
      <c r="S8" s="326">
        <v>17</v>
      </c>
      <c r="T8" s="326">
        <v>18</v>
      </c>
      <c r="U8" s="326">
        <v>19</v>
      </c>
      <c r="V8" s="326">
        <v>20</v>
      </c>
      <c r="W8" s="328">
        <v>21</v>
      </c>
    </row>
    <row r="9" spans="1:25" s="336" customFormat="1" ht="26.4" x14ac:dyDescent="0.3">
      <c r="A9" s="329" t="s">
        <v>232</v>
      </c>
      <c r="B9" s="339">
        <v>18666.35687</v>
      </c>
      <c r="C9" s="339">
        <v>448.69803000000002</v>
      </c>
      <c r="D9" s="339">
        <v>-6721.483400000001</v>
      </c>
      <c r="E9" s="339">
        <v>448.69803000000002</v>
      </c>
      <c r="F9" s="339">
        <v>52038.013279999999</v>
      </c>
      <c r="G9" s="253">
        <v>61.305365803845518</v>
      </c>
      <c r="H9" s="339">
        <v>8318</v>
      </c>
      <c r="I9" s="339">
        <v>66.058863704950852</v>
      </c>
      <c r="J9" s="340">
        <v>8318</v>
      </c>
      <c r="K9" s="340">
        <v>0</v>
      </c>
      <c r="L9" s="339">
        <v>58746.022680000002</v>
      </c>
      <c r="M9" s="339">
        <v>62.01007816965523</v>
      </c>
      <c r="N9" s="339">
        <v>7869.3019699999995</v>
      </c>
      <c r="O9" s="339">
        <v>62.495449181213168</v>
      </c>
      <c r="P9" s="339">
        <v>0</v>
      </c>
      <c r="Q9" s="339">
        <v>0</v>
      </c>
      <c r="R9" s="339">
        <v>0</v>
      </c>
      <c r="S9" s="339">
        <v>0</v>
      </c>
      <c r="T9" s="339">
        <v>0</v>
      </c>
      <c r="U9" s="339">
        <v>0</v>
      </c>
      <c r="V9" s="339">
        <v>0</v>
      </c>
      <c r="W9" s="319">
        <v>0</v>
      </c>
    </row>
    <row r="10" spans="1:25" s="336" customFormat="1" ht="52.8" x14ac:dyDescent="0.3">
      <c r="A10" s="329" t="s">
        <v>233</v>
      </c>
      <c r="B10" s="339">
        <v>2927.8337099999999</v>
      </c>
      <c r="C10" s="339">
        <v>101.85433999999999</v>
      </c>
      <c r="D10" s="339">
        <v>-678.2786000000001</v>
      </c>
      <c r="E10" s="339">
        <v>101.85433999999999</v>
      </c>
      <c r="F10" s="339">
        <v>9497.2607499999995</v>
      </c>
      <c r="G10" s="339">
        <v>73.622176356589137</v>
      </c>
      <c r="H10" s="339">
        <v>300</v>
      </c>
      <c r="I10" s="339">
        <v>75</v>
      </c>
      <c r="J10" s="340">
        <v>300</v>
      </c>
      <c r="K10" s="340">
        <v>0</v>
      </c>
      <c r="L10" s="339">
        <v>10175.539349999999</v>
      </c>
      <c r="M10" s="253">
        <v>79.787227110704023</v>
      </c>
      <c r="N10" s="339">
        <v>198.14565999999999</v>
      </c>
      <c r="O10" s="253">
        <v>49.536414999999998</v>
      </c>
      <c r="P10" s="339">
        <v>0</v>
      </c>
      <c r="Q10" s="339">
        <v>0</v>
      </c>
      <c r="R10" s="339">
        <v>0</v>
      </c>
      <c r="S10" s="339">
        <v>0</v>
      </c>
      <c r="T10" s="339">
        <v>0</v>
      </c>
      <c r="U10" s="339">
        <v>0</v>
      </c>
      <c r="V10" s="339">
        <v>0</v>
      </c>
      <c r="W10" s="319">
        <v>0</v>
      </c>
    </row>
    <row r="11" spans="1:25" s="336" customFormat="1" ht="39.6" x14ac:dyDescent="0.3">
      <c r="A11" s="329" t="s">
        <v>234</v>
      </c>
      <c r="B11" s="339">
        <v>50771.879449999993</v>
      </c>
      <c r="C11" s="339">
        <v>43099.770529999994</v>
      </c>
      <c r="D11" s="339">
        <v>37508.301239999993</v>
      </c>
      <c r="E11" s="339">
        <v>30640.976559999996</v>
      </c>
      <c r="F11" s="339">
        <v>325531.39293000003</v>
      </c>
      <c r="G11" s="253">
        <v>81.478270417090158</v>
      </c>
      <c r="H11" s="339">
        <v>281919.73014</v>
      </c>
      <c r="I11" s="253">
        <v>83.623911588350694</v>
      </c>
      <c r="J11" s="340">
        <v>281919.73014</v>
      </c>
      <c r="K11" s="340">
        <v>0</v>
      </c>
      <c r="L11" s="339">
        <v>288023.09168999997</v>
      </c>
      <c r="M11" s="339">
        <v>69.804087576402722</v>
      </c>
      <c r="N11" s="339">
        <v>251278.75358000002</v>
      </c>
      <c r="O11" s="339">
        <v>71.878761958579162</v>
      </c>
      <c r="P11" s="339">
        <v>0</v>
      </c>
      <c r="Q11" s="339">
        <v>0</v>
      </c>
      <c r="R11" s="339">
        <v>0</v>
      </c>
      <c r="S11" s="339">
        <v>0</v>
      </c>
      <c r="T11" s="339">
        <v>92755.448730000004</v>
      </c>
      <c r="U11" s="339">
        <v>1009.4297100000113</v>
      </c>
      <c r="V11" s="339">
        <v>0</v>
      </c>
      <c r="W11" s="319">
        <v>0</v>
      </c>
    </row>
    <row r="12" spans="1:25" s="336" customFormat="1" x14ac:dyDescent="0.3">
      <c r="A12" s="329" t="s">
        <v>235</v>
      </c>
      <c r="B12" s="339">
        <v>1653177.5102999997</v>
      </c>
      <c r="C12" s="339">
        <v>343223.30306000001</v>
      </c>
      <c r="D12" s="339">
        <v>-409406.03034000006</v>
      </c>
      <c r="E12" s="339">
        <v>-93243.392290000047</v>
      </c>
      <c r="F12" s="339">
        <v>13809596.148389999</v>
      </c>
      <c r="G12" s="339">
        <v>69.797313073646649</v>
      </c>
      <c r="H12" s="339">
        <v>2329616.31489</v>
      </c>
      <c r="I12" s="339">
        <v>69.388852741231446</v>
      </c>
      <c r="J12" s="340">
        <v>2329616.31489</v>
      </c>
      <c r="K12" s="340">
        <v>0</v>
      </c>
      <c r="L12" s="339">
        <v>14218521.66416</v>
      </c>
      <c r="M12" s="339">
        <v>65.183445923855075</v>
      </c>
      <c r="N12" s="339">
        <v>2411221.5942399995</v>
      </c>
      <c r="O12" s="339">
        <v>63.318125641259392</v>
      </c>
      <c r="P12" s="339">
        <v>11882.069680000001</v>
      </c>
      <c r="Q12" s="339">
        <v>6180.4535600000008</v>
      </c>
      <c r="R12" s="339">
        <v>375.75099999999998</v>
      </c>
      <c r="S12" s="339">
        <v>-2983.9651199999998</v>
      </c>
      <c r="T12" s="339">
        <v>227005.67466999998</v>
      </c>
      <c r="U12" s="339">
        <v>95387.312449999969</v>
      </c>
      <c r="V12" s="339">
        <v>1397.88778</v>
      </c>
      <c r="W12" s="319">
        <v>1397.88778</v>
      </c>
    </row>
    <row r="13" spans="1:25" s="336" customFormat="1" x14ac:dyDescent="0.3">
      <c r="A13" s="329" t="s">
        <v>236</v>
      </c>
      <c r="B13" s="339">
        <v>85807.456289999987</v>
      </c>
      <c r="C13" s="339">
        <v>62190.877710000001</v>
      </c>
      <c r="D13" s="339">
        <v>52770.143739999992</v>
      </c>
      <c r="E13" s="339">
        <v>33841.017310000003</v>
      </c>
      <c r="F13" s="339">
        <v>690037.32334</v>
      </c>
      <c r="G13" s="339">
        <v>75.604004759517522</v>
      </c>
      <c r="H13" s="339">
        <v>577819.62600000005</v>
      </c>
      <c r="I13" s="339">
        <v>75.939962469742341</v>
      </c>
      <c r="J13" s="340">
        <v>577819.62600000005</v>
      </c>
      <c r="K13" s="340">
        <v>0</v>
      </c>
      <c r="L13" s="339">
        <v>637252.93322999997</v>
      </c>
      <c r="M13" s="339">
        <v>67.382210355390328</v>
      </c>
      <c r="N13" s="339">
        <v>533900.78538000002</v>
      </c>
      <c r="O13" s="339">
        <v>67.647463284600477</v>
      </c>
      <c r="P13" s="339">
        <v>127.45437</v>
      </c>
      <c r="Q13" s="339">
        <v>125.30898999999999</v>
      </c>
      <c r="R13" s="339">
        <v>1.1000000000000001</v>
      </c>
      <c r="S13" s="339">
        <v>-3.1379999999999963E-2</v>
      </c>
      <c r="T13" s="339">
        <v>11630.817529999998</v>
      </c>
      <c r="U13" s="339">
        <v>1139.5364499999978</v>
      </c>
      <c r="V13" s="339">
        <v>22.729990000000001</v>
      </c>
      <c r="W13" s="319">
        <v>22.729990000000001</v>
      </c>
    </row>
    <row r="14" spans="1:25" s="336" customFormat="1" ht="26.4" x14ac:dyDescent="0.3">
      <c r="A14" s="329" t="s">
        <v>237</v>
      </c>
      <c r="B14" s="339">
        <v>102803.77443</v>
      </c>
      <c r="C14" s="339">
        <v>83251.604129999992</v>
      </c>
      <c r="D14" s="339">
        <v>59251.519950000009</v>
      </c>
      <c r="E14" s="339">
        <v>52766.552349999991</v>
      </c>
      <c r="F14" s="339">
        <v>388751.29873000004</v>
      </c>
      <c r="G14" s="339">
        <v>73.092896814072375</v>
      </c>
      <c r="H14" s="339">
        <v>334550.16499999998</v>
      </c>
      <c r="I14" s="339">
        <v>70.785706139702185</v>
      </c>
      <c r="J14" s="340">
        <v>334550.16499999998</v>
      </c>
      <c r="K14" s="340">
        <v>0</v>
      </c>
      <c r="L14" s="339">
        <v>328641.13801</v>
      </c>
      <c r="M14" s="339">
        <v>57.324667155077726</v>
      </c>
      <c r="N14" s="339">
        <v>280924.97187999997</v>
      </c>
      <c r="O14" s="339">
        <v>56.073359274146114</v>
      </c>
      <c r="P14" s="339">
        <v>0</v>
      </c>
      <c r="Q14" s="339">
        <v>0</v>
      </c>
      <c r="R14" s="339">
        <v>0</v>
      </c>
      <c r="S14" s="339">
        <v>0</v>
      </c>
      <c r="T14" s="339">
        <v>0</v>
      </c>
      <c r="U14" s="339">
        <v>0</v>
      </c>
      <c r="V14" s="339">
        <v>0</v>
      </c>
      <c r="W14" s="319">
        <v>0</v>
      </c>
    </row>
    <row r="15" spans="1:25" s="336" customFormat="1" ht="26.4" x14ac:dyDescent="0.3">
      <c r="A15" s="329" t="s">
        <v>238</v>
      </c>
      <c r="B15" s="339">
        <v>252497.87358999997</v>
      </c>
      <c r="C15" s="339">
        <v>229417.65761000002</v>
      </c>
      <c r="D15" s="339">
        <v>183414.03253999996</v>
      </c>
      <c r="E15" s="339">
        <v>178355.80462000001</v>
      </c>
      <c r="F15" s="339">
        <v>3163313.9109599995</v>
      </c>
      <c r="G15" s="339">
        <v>73.682438274821664</v>
      </c>
      <c r="H15" s="339">
        <v>2974578.9421999999</v>
      </c>
      <c r="I15" s="339">
        <v>73.791289765053037</v>
      </c>
      <c r="J15" s="340">
        <v>2981571.0921999998</v>
      </c>
      <c r="K15" s="340">
        <v>6992.1499999999069</v>
      </c>
      <c r="L15" s="339">
        <v>2974092.8907699999</v>
      </c>
      <c r="M15" s="339">
        <v>68.694797484556801</v>
      </c>
      <c r="N15" s="339">
        <v>2790374.2332299999</v>
      </c>
      <c r="O15" s="339">
        <v>68.771260236813447</v>
      </c>
      <c r="P15" s="339">
        <v>6598.0090399999999</v>
      </c>
      <c r="Q15" s="339">
        <v>2485.3638099999998</v>
      </c>
      <c r="R15" s="339">
        <v>584.15180000000009</v>
      </c>
      <c r="S15" s="339">
        <v>274.49715000000009</v>
      </c>
      <c r="T15" s="339">
        <v>1013.13606</v>
      </c>
      <c r="U15" s="339">
        <v>1013.13606</v>
      </c>
      <c r="V15" s="339">
        <v>227.14285000000001</v>
      </c>
      <c r="W15" s="319">
        <v>227.14285000000001</v>
      </c>
    </row>
    <row r="16" spans="1:25" s="336" customFormat="1" ht="26.4" x14ac:dyDescent="0.3">
      <c r="A16" s="329" t="s">
        <v>239</v>
      </c>
      <c r="B16" s="339">
        <v>463.98884000000004</v>
      </c>
      <c r="C16" s="339">
        <v>16.41489</v>
      </c>
      <c r="D16" s="339">
        <v>-130.66731999999996</v>
      </c>
      <c r="E16" s="339">
        <v>16.41489</v>
      </c>
      <c r="F16" s="339">
        <v>3860.5875599999999</v>
      </c>
      <c r="G16" s="253">
        <v>65.249421322337</v>
      </c>
      <c r="H16" s="339">
        <v>460.95</v>
      </c>
      <c r="I16" s="339">
        <v>75</v>
      </c>
      <c r="J16" s="340">
        <v>460.95</v>
      </c>
      <c r="K16" s="340">
        <v>0</v>
      </c>
      <c r="L16" s="339">
        <v>3991.25488</v>
      </c>
      <c r="M16" s="339">
        <v>67.457884900285393</v>
      </c>
      <c r="N16" s="339">
        <v>444.53510999999997</v>
      </c>
      <c r="O16" s="339">
        <v>72.329175073218352</v>
      </c>
      <c r="P16" s="339">
        <v>0</v>
      </c>
      <c r="Q16" s="339">
        <v>0</v>
      </c>
      <c r="R16" s="339">
        <v>0</v>
      </c>
      <c r="S16" s="339">
        <v>0</v>
      </c>
      <c r="T16" s="339">
        <v>0</v>
      </c>
      <c r="U16" s="339">
        <v>0</v>
      </c>
      <c r="V16" s="339">
        <v>0</v>
      </c>
      <c r="W16" s="319">
        <v>0</v>
      </c>
    </row>
    <row r="17" spans="1:23" s="336" customFormat="1" x14ac:dyDescent="0.3">
      <c r="A17" s="329" t="s">
        <v>240</v>
      </c>
      <c r="B17" s="339">
        <v>6433.1004700000003</v>
      </c>
      <c r="C17" s="339">
        <v>6372.0406199999998</v>
      </c>
      <c r="D17" s="339">
        <v>3614.0095300000003</v>
      </c>
      <c r="E17" s="339">
        <v>3631.0731799999999</v>
      </c>
      <c r="F17" s="339">
        <v>71774.555829999998</v>
      </c>
      <c r="G17" s="253">
        <v>84.170614780580422</v>
      </c>
      <c r="H17" s="339">
        <v>67014.024999999994</v>
      </c>
      <c r="I17" s="253">
        <v>84.53606979451942</v>
      </c>
      <c r="J17" s="340">
        <v>67014.024999999994</v>
      </c>
      <c r="K17" s="340">
        <v>0</v>
      </c>
      <c r="L17" s="339">
        <v>68160.546300000002</v>
      </c>
      <c r="M17" s="253">
        <v>77.37445858766192</v>
      </c>
      <c r="N17" s="339">
        <v>63382.951819999995</v>
      </c>
      <c r="O17" s="253">
        <v>77.283401411563545</v>
      </c>
      <c r="P17" s="339">
        <v>0</v>
      </c>
      <c r="Q17" s="339">
        <v>0</v>
      </c>
      <c r="R17" s="339">
        <v>0</v>
      </c>
      <c r="S17" s="339">
        <v>0</v>
      </c>
      <c r="T17" s="339">
        <v>0</v>
      </c>
      <c r="U17" s="339">
        <v>0</v>
      </c>
      <c r="V17" s="339">
        <v>0</v>
      </c>
      <c r="W17" s="319">
        <v>0</v>
      </c>
    </row>
    <row r="18" spans="1:23" s="336" customFormat="1" ht="26.4" x14ac:dyDescent="0.3">
      <c r="A18" s="329" t="s">
        <v>241</v>
      </c>
      <c r="B18" s="339">
        <v>66768.129650000003</v>
      </c>
      <c r="C18" s="339">
        <v>66275.419979999991</v>
      </c>
      <c r="D18" s="339">
        <v>-2698.4320100000041</v>
      </c>
      <c r="E18" s="339">
        <v>-2501.961060000016</v>
      </c>
      <c r="F18" s="339">
        <v>6299.4931100000003</v>
      </c>
      <c r="G18" s="339">
        <v>77.907337276527741</v>
      </c>
      <c r="H18" s="339">
        <v>5345.8140000000003</v>
      </c>
      <c r="I18" s="339">
        <v>74.953226213510561</v>
      </c>
      <c r="J18" s="340">
        <v>5345.8140000000003</v>
      </c>
      <c r="K18" s="340">
        <v>0</v>
      </c>
      <c r="L18" s="339">
        <v>7427.925119999999</v>
      </c>
      <c r="M18" s="253">
        <v>9.775844319721763</v>
      </c>
      <c r="N18" s="339">
        <v>6277.7750599999999</v>
      </c>
      <c r="O18" s="253">
        <v>8.444727522236251</v>
      </c>
      <c r="P18" s="339">
        <v>0</v>
      </c>
      <c r="Q18" s="339">
        <v>0</v>
      </c>
      <c r="R18" s="339">
        <v>0</v>
      </c>
      <c r="S18" s="339">
        <v>0</v>
      </c>
      <c r="T18" s="339">
        <v>0</v>
      </c>
      <c r="U18" s="339">
        <v>0</v>
      </c>
      <c r="V18" s="339">
        <v>0</v>
      </c>
      <c r="W18" s="319">
        <v>0</v>
      </c>
    </row>
    <row r="19" spans="1:23" s="336" customFormat="1" ht="26.4" x14ac:dyDescent="0.3">
      <c r="A19" s="329" t="s">
        <v>242</v>
      </c>
      <c r="B19" s="339">
        <v>229933.55812</v>
      </c>
      <c r="C19" s="339">
        <v>158667.75435999999</v>
      </c>
      <c r="D19" s="339">
        <v>136722.69964000001</v>
      </c>
      <c r="E19" s="339">
        <v>80532.504869999975</v>
      </c>
      <c r="F19" s="339">
        <v>1724578.54575</v>
      </c>
      <c r="G19" s="339">
        <v>76.884511888303095</v>
      </c>
      <c r="H19" s="339">
        <v>1365017.8242299999</v>
      </c>
      <c r="I19" s="339">
        <v>75.893031096025837</v>
      </c>
      <c r="J19" s="340">
        <v>1365007.9431</v>
      </c>
      <c r="K19" s="340">
        <v>-9.881129999877885</v>
      </c>
      <c r="L19" s="339">
        <v>1584920.16924</v>
      </c>
      <c r="M19" s="339">
        <v>67.839260056639588</v>
      </c>
      <c r="N19" s="339">
        <v>1281549.64249</v>
      </c>
      <c r="O19" s="339">
        <v>68.285841274321285</v>
      </c>
      <c r="P19" s="339">
        <v>1528.06528</v>
      </c>
      <c r="Q19" s="339">
        <v>1190.01981</v>
      </c>
      <c r="R19" s="339">
        <v>1246.1610800000001</v>
      </c>
      <c r="S19" s="339">
        <v>1116.2816800000001</v>
      </c>
      <c r="T19" s="339">
        <v>520.38684000000001</v>
      </c>
      <c r="U19" s="339">
        <v>485.38684000000001</v>
      </c>
      <c r="V19" s="339">
        <v>484.18684000000002</v>
      </c>
      <c r="W19" s="319">
        <v>484.18684000000002</v>
      </c>
    </row>
    <row r="20" spans="1:23" s="336" customFormat="1" ht="39.6" x14ac:dyDescent="0.3">
      <c r="A20" s="329" t="s">
        <v>243</v>
      </c>
      <c r="B20" s="339">
        <v>11064.566070000001</v>
      </c>
      <c r="C20" s="339">
        <v>10465.71384</v>
      </c>
      <c r="D20" s="339">
        <v>10823.11917</v>
      </c>
      <c r="E20" s="339">
        <v>10465.71384</v>
      </c>
      <c r="F20" s="339">
        <v>142158.74101</v>
      </c>
      <c r="G20" s="253">
        <v>78.206612857883968</v>
      </c>
      <c r="H20" s="339">
        <v>133867.29999999999</v>
      </c>
      <c r="I20" s="339">
        <v>78.923373156432618</v>
      </c>
      <c r="J20" s="340">
        <v>133867.29999999999</v>
      </c>
      <c r="K20" s="340">
        <v>0</v>
      </c>
      <c r="L20" s="339">
        <v>131335.62184000001</v>
      </c>
      <c r="M20" s="339">
        <v>72.252427523734241</v>
      </c>
      <c r="N20" s="339">
        <v>123401.58616000001</v>
      </c>
      <c r="O20" s="253">
        <v>72.753162516920497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0</v>
      </c>
      <c r="W20" s="319">
        <v>0</v>
      </c>
    </row>
    <row r="21" spans="1:23" s="336" customFormat="1" x14ac:dyDescent="0.3">
      <c r="A21" s="329" t="s">
        <v>244</v>
      </c>
      <c r="B21" s="339">
        <v>36661.832340000001</v>
      </c>
      <c r="C21" s="339">
        <v>26139.670979999999</v>
      </c>
      <c r="D21" s="339">
        <v>10690.42857</v>
      </c>
      <c r="E21" s="339">
        <v>26021.830979999999</v>
      </c>
      <c r="F21" s="339">
        <v>408042.49930999998</v>
      </c>
      <c r="G21" s="339">
        <v>72.996790774535896</v>
      </c>
      <c r="H21" s="339">
        <v>307386.26</v>
      </c>
      <c r="I21" s="339">
        <v>78.38532777318342</v>
      </c>
      <c r="J21" s="340">
        <v>308050.26</v>
      </c>
      <c r="K21" s="340">
        <v>664</v>
      </c>
      <c r="L21" s="339">
        <v>397234.93073999998</v>
      </c>
      <c r="M21" s="339">
        <v>68.149723143583046</v>
      </c>
      <c r="N21" s="339">
        <v>279176.2905</v>
      </c>
      <c r="O21" s="339">
        <v>71.191490389862608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19">
        <v>0</v>
      </c>
    </row>
    <row r="22" spans="1:23" s="336" customFormat="1" ht="26.4" x14ac:dyDescent="0.3">
      <c r="A22" s="329" t="s">
        <v>245</v>
      </c>
      <c r="B22" s="339">
        <v>20810.73776</v>
      </c>
      <c r="C22" s="339">
        <v>19999.56279</v>
      </c>
      <c r="D22" s="339">
        <v>-5098.4210500000008</v>
      </c>
      <c r="E22" s="339">
        <v>-5573.1952900000033</v>
      </c>
      <c r="F22" s="339">
        <v>100005.9973</v>
      </c>
      <c r="G22" s="339">
        <v>70.021574932918199</v>
      </c>
      <c r="H22" s="339">
        <v>97017.198069999999</v>
      </c>
      <c r="I22" s="339">
        <v>73.147386216229094</v>
      </c>
      <c r="J22" s="340">
        <v>97017.198069999999</v>
      </c>
      <c r="K22" s="340">
        <v>0</v>
      </c>
      <c r="L22" s="339">
        <v>96301.071879999989</v>
      </c>
      <c r="M22" s="339">
        <v>64.404078855357113</v>
      </c>
      <c r="N22" s="339">
        <v>93787.046889999998</v>
      </c>
      <c r="O22" s="339">
        <v>67.39963131522515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0</v>
      </c>
      <c r="W22" s="319">
        <v>0</v>
      </c>
    </row>
    <row r="23" spans="1:23" ht="26.4" x14ac:dyDescent="0.3">
      <c r="A23" s="44" t="s">
        <v>311</v>
      </c>
      <c r="B23" s="339"/>
      <c r="C23" s="339"/>
      <c r="D23" s="339"/>
      <c r="E23" s="339"/>
      <c r="F23" s="339"/>
      <c r="G23" s="339"/>
      <c r="H23" s="339">
        <v>0</v>
      </c>
      <c r="I23" s="339">
        <v>0</v>
      </c>
      <c r="J23" s="340"/>
      <c r="K23" s="340">
        <v>0</v>
      </c>
      <c r="L23" s="339"/>
      <c r="M23" s="339"/>
      <c r="N23" s="339"/>
      <c r="O23" s="339"/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19">
        <v>0</v>
      </c>
    </row>
    <row r="24" spans="1:23" s="336" customFormat="1" ht="26.4" x14ac:dyDescent="0.3">
      <c r="A24" s="329" t="s">
        <v>246</v>
      </c>
      <c r="B24" s="339">
        <v>17174.783779999998</v>
      </c>
      <c r="C24" s="339">
        <v>5353.6592499999997</v>
      </c>
      <c r="D24" s="339">
        <v>3721.3172399999985</v>
      </c>
      <c r="E24" s="339">
        <v>4249.5745699999998</v>
      </c>
      <c r="F24" s="339">
        <v>123410.41412</v>
      </c>
      <c r="G24" s="339">
        <v>73.28944698454815</v>
      </c>
      <c r="H24" s="339">
        <v>34991.800000000003</v>
      </c>
      <c r="I24" s="339">
        <v>77.616912917815483</v>
      </c>
      <c r="J24" s="340">
        <v>34991.800000000003</v>
      </c>
      <c r="K24" s="340">
        <v>0</v>
      </c>
      <c r="L24" s="339">
        <v>119688.56436</v>
      </c>
      <c r="M24" s="339">
        <v>70.616366824061117</v>
      </c>
      <c r="N24" s="339">
        <v>30741.692909999998</v>
      </c>
      <c r="O24" s="339">
        <v>66.560267335620935</v>
      </c>
      <c r="P24" s="339">
        <v>0</v>
      </c>
      <c r="Q24" s="339">
        <v>-12.288</v>
      </c>
      <c r="R24" s="339">
        <v>0</v>
      </c>
      <c r="S24" s="339">
        <v>0</v>
      </c>
      <c r="T24" s="339">
        <v>3655.1152700000002</v>
      </c>
      <c r="U24" s="339">
        <v>66.503540000000157</v>
      </c>
      <c r="V24" s="339">
        <v>0</v>
      </c>
      <c r="W24" s="319">
        <v>0</v>
      </c>
    </row>
    <row r="25" spans="1:23" s="336" customFormat="1" ht="27" customHeight="1" x14ac:dyDescent="0.3">
      <c r="A25" s="329" t="s">
        <v>247</v>
      </c>
      <c r="B25" s="339">
        <v>19062.48965</v>
      </c>
      <c r="C25" s="339">
        <v>15039.406000000001</v>
      </c>
      <c r="D25" s="339">
        <v>15327.1921</v>
      </c>
      <c r="E25" s="339">
        <v>15039.406000000001</v>
      </c>
      <c r="F25" s="339">
        <v>184453.55607999998</v>
      </c>
      <c r="G25" s="339">
        <v>74.917688875316856</v>
      </c>
      <c r="H25" s="339">
        <v>124654.2</v>
      </c>
      <c r="I25" s="339">
        <v>74.640015520288941</v>
      </c>
      <c r="J25" s="340">
        <v>124654.2</v>
      </c>
      <c r="K25" s="340">
        <v>0</v>
      </c>
      <c r="L25" s="339">
        <v>169126.36397999999</v>
      </c>
      <c r="M25" s="339">
        <v>68.692393828242828</v>
      </c>
      <c r="N25" s="339">
        <v>109614.79399999999</v>
      </c>
      <c r="O25" s="339">
        <v>65.634771435003998</v>
      </c>
      <c r="P25" s="339">
        <v>0</v>
      </c>
      <c r="Q25" s="339">
        <v>0</v>
      </c>
      <c r="R25" s="339">
        <v>0</v>
      </c>
      <c r="S25" s="339">
        <v>0</v>
      </c>
      <c r="T25" s="339">
        <v>0</v>
      </c>
      <c r="U25" s="339">
        <v>0</v>
      </c>
      <c r="V25" s="339">
        <v>0</v>
      </c>
      <c r="W25" s="319">
        <v>0</v>
      </c>
    </row>
    <row r="26" spans="1:23" s="212" customFormat="1" thickBot="1" x14ac:dyDescent="0.35">
      <c r="A26" s="330" t="s">
        <v>312</v>
      </c>
      <c r="B26" s="258">
        <v>2575025.8713199999</v>
      </c>
      <c r="C26" s="258">
        <v>1070063.40812</v>
      </c>
      <c r="D26" s="258">
        <v>89109.45099999987</v>
      </c>
      <c r="E26" s="258">
        <v>334792.8728999999</v>
      </c>
      <c r="F26" s="258">
        <v>21203349.738450002</v>
      </c>
      <c r="G26" s="258">
        <v>71.485960448147281</v>
      </c>
      <c r="H26" s="258">
        <v>8642858.149530001</v>
      </c>
      <c r="I26" s="258">
        <v>73.467743604496548</v>
      </c>
      <c r="J26" s="331">
        <v>8650504.4184000026</v>
      </c>
      <c r="K26" s="331">
        <v>7646.268870000029</v>
      </c>
      <c r="L26" s="258">
        <v>21093639.728230003</v>
      </c>
      <c r="M26" s="258">
        <v>65.880952536308968</v>
      </c>
      <c r="N26" s="258">
        <v>8264144.1008799979</v>
      </c>
      <c r="O26" s="258">
        <v>66.292343986870151</v>
      </c>
      <c r="P26" s="258">
        <v>20135.59837</v>
      </c>
      <c r="Q26" s="258">
        <v>9968.8581700000013</v>
      </c>
      <c r="R26" s="258">
        <v>2207.1638800000001</v>
      </c>
      <c r="S26" s="258">
        <v>-1593.2176699999995</v>
      </c>
      <c r="T26" s="258">
        <v>336580.57909999997</v>
      </c>
      <c r="U26" s="258">
        <v>99101.305049999995</v>
      </c>
      <c r="V26" s="258">
        <v>2131.9474599999999</v>
      </c>
      <c r="W26" s="229">
        <v>2131.9474599999999</v>
      </c>
    </row>
    <row r="27" spans="1:23" ht="14.4" thickTop="1" x14ac:dyDescent="0.3">
      <c r="N27" s="361"/>
      <c r="V27" s="362"/>
    </row>
  </sheetData>
  <mergeCells count="14">
    <mergeCell ref="B6:C6"/>
    <mergeCell ref="D6:E6"/>
    <mergeCell ref="P6:S6"/>
    <mergeCell ref="T6:W6"/>
    <mergeCell ref="U1:W1"/>
    <mergeCell ref="A3:W3"/>
    <mergeCell ref="V4:W4"/>
    <mergeCell ref="A5:A7"/>
    <mergeCell ref="B5:E5"/>
    <mergeCell ref="F5:I6"/>
    <mergeCell ref="J5:J7"/>
    <mergeCell ref="K5:K7"/>
    <mergeCell ref="L5:O6"/>
    <mergeCell ref="P5:W5"/>
  </mergeCells>
  <conditionalFormatting sqref="B9:W26">
    <cfRule type="cellIs" dxfId="0" priority="1" operator="equal">
      <formula>0</formula>
    </cfRule>
  </conditionalFormatting>
  <pageMargins left="0.39370078740157483" right="0.39370078740157483" top="0.74803149606299213" bottom="0.59055118110236227" header="0.31496062992125984" footer="0.31496062992125984"/>
  <pageSetup paperSize="9" scale="5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B4" sqref="B4:G4"/>
    </sheetView>
  </sheetViews>
  <sheetFormatPr defaultColWidth="8.6640625" defaultRowHeight="13.2" x14ac:dyDescent="0.3"/>
  <cols>
    <col min="1" max="1" width="46.6640625" style="1" customWidth="1"/>
    <col min="2" max="2" width="9.33203125" style="3" customWidth="1"/>
    <col min="3" max="3" width="8.6640625" style="3"/>
    <col min="4" max="4" width="9.44140625" style="3" customWidth="1"/>
    <col min="5" max="5" width="8.6640625" style="3" customWidth="1"/>
    <col min="6" max="6" width="8.44140625" style="3" customWidth="1"/>
    <col min="7" max="7" width="8" style="3" customWidth="1"/>
    <col min="8" max="8" width="8.88671875" style="3" customWidth="1"/>
    <col min="9" max="10" width="9.33203125" style="3" customWidth="1"/>
    <col min="11" max="11" width="8.6640625" style="3" bestFit="1" customWidth="1"/>
    <col min="12" max="13" width="8" style="3" customWidth="1"/>
    <col min="14" max="14" width="10.33203125" style="3" customWidth="1"/>
    <col min="15" max="15" width="8.109375" style="3" customWidth="1"/>
    <col min="16" max="16" width="9.5546875" style="3" customWidth="1"/>
    <col min="17" max="17" width="7.5546875" style="3" customWidth="1"/>
    <col min="18" max="18" width="6.88671875" style="3" customWidth="1"/>
    <col min="19" max="19" width="8.33203125" style="3" bestFit="1" customWidth="1"/>
    <col min="20" max="20" width="10.33203125" style="3" hidden="1" customWidth="1"/>
    <col min="21" max="22" width="8.6640625" style="3" hidden="1" customWidth="1"/>
    <col min="23" max="16384" width="8.6640625" style="3"/>
  </cols>
  <sheetData>
    <row r="1" spans="1:22" ht="15" customHeight="1" x14ac:dyDescent="0.3">
      <c r="Q1" s="397" t="s">
        <v>286</v>
      </c>
      <c r="R1" s="397"/>
      <c r="S1" s="397"/>
    </row>
    <row r="2" spans="1:22" ht="15.45" customHeight="1" x14ac:dyDescent="0.3">
      <c r="A2" s="381" t="s">
        <v>260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</row>
    <row r="3" spans="1:22" ht="13.8" thickBot="1" x14ac:dyDescent="0.35">
      <c r="B3" s="225"/>
      <c r="D3" s="225"/>
      <c r="H3" s="225"/>
      <c r="J3" s="225"/>
    </row>
    <row r="4" spans="1:22" ht="13.95" customHeight="1" thickTop="1" x14ac:dyDescent="0.3">
      <c r="A4" s="382" t="s">
        <v>0</v>
      </c>
      <c r="B4" s="384" t="s">
        <v>261</v>
      </c>
      <c r="C4" s="384"/>
      <c r="D4" s="384"/>
      <c r="E4" s="384"/>
      <c r="F4" s="384"/>
      <c r="G4" s="384"/>
      <c r="H4" s="384" t="s">
        <v>263</v>
      </c>
      <c r="I4" s="384"/>
      <c r="J4" s="384"/>
      <c r="K4" s="384"/>
      <c r="L4" s="384"/>
      <c r="M4" s="384"/>
      <c r="N4" s="384" t="s">
        <v>222</v>
      </c>
      <c r="O4" s="384"/>
      <c r="P4" s="384"/>
      <c r="Q4" s="384"/>
      <c r="R4" s="384"/>
      <c r="S4" s="385"/>
      <c r="U4" s="222"/>
      <c r="V4" s="222"/>
    </row>
    <row r="5" spans="1:22" ht="13.2" customHeight="1" x14ac:dyDescent="0.3">
      <c r="A5" s="383"/>
      <c r="B5" s="380" t="s">
        <v>2</v>
      </c>
      <c r="C5" s="387" t="s">
        <v>4</v>
      </c>
      <c r="D5" s="387"/>
      <c r="E5" s="387"/>
      <c r="F5" s="387"/>
      <c r="G5" s="387"/>
      <c r="H5" s="380" t="s">
        <v>2</v>
      </c>
      <c r="I5" s="387" t="s">
        <v>4</v>
      </c>
      <c r="J5" s="387"/>
      <c r="K5" s="387"/>
      <c r="L5" s="387"/>
      <c r="M5" s="387"/>
      <c r="N5" s="380" t="s">
        <v>2</v>
      </c>
      <c r="O5" s="387" t="s">
        <v>4</v>
      </c>
      <c r="P5" s="387"/>
      <c r="Q5" s="387"/>
      <c r="R5" s="387"/>
      <c r="S5" s="388"/>
      <c r="U5" s="222"/>
      <c r="V5" s="222"/>
    </row>
    <row r="6" spans="1:22" s="222" customFormat="1" ht="13.2" customHeight="1" x14ac:dyDescent="0.3">
      <c r="A6" s="383"/>
      <c r="B6" s="380"/>
      <c r="C6" s="380" t="s">
        <v>6</v>
      </c>
      <c r="D6" s="380" t="s">
        <v>7</v>
      </c>
      <c r="E6" s="387" t="s">
        <v>8</v>
      </c>
      <c r="F6" s="387"/>
      <c r="G6" s="387"/>
      <c r="H6" s="380"/>
      <c r="I6" s="380" t="s">
        <v>6</v>
      </c>
      <c r="J6" s="380" t="s">
        <v>7</v>
      </c>
      <c r="K6" s="387" t="s">
        <v>8</v>
      </c>
      <c r="L6" s="387"/>
      <c r="M6" s="387"/>
      <c r="N6" s="380"/>
      <c r="O6" s="380" t="s">
        <v>6</v>
      </c>
      <c r="P6" s="380" t="s">
        <v>7</v>
      </c>
      <c r="Q6" s="387" t="s">
        <v>8</v>
      </c>
      <c r="R6" s="387"/>
      <c r="S6" s="388"/>
    </row>
    <row r="7" spans="1:22" s="222" customFormat="1" ht="51" customHeight="1" x14ac:dyDescent="0.3">
      <c r="A7" s="383"/>
      <c r="B7" s="380"/>
      <c r="C7" s="380"/>
      <c r="D7" s="380"/>
      <c r="E7" s="311" t="s">
        <v>9</v>
      </c>
      <c r="F7" s="311" t="s">
        <v>10</v>
      </c>
      <c r="G7" s="311" t="s">
        <v>11</v>
      </c>
      <c r="H7" s="380"/>
      <c r="I7" s="380"/>
      <c r="J7" s="380"/>
      <c r="K7" s="311" t="s">
        <v>9</v>
      </c>
      <c r="L7" s="311" t="s">
        <v>10</v>
      </c>
      <c r="M7" s="311" t="s">
        <v>11</v>
      </c>
      <c r="N7" s="380"/>
      <c r="O7" s="380"/>
      <c r="P7" s="380"/>
      <c r="Q7" s="311" t="s">
        <v>9</v>
      </c>
      <c r="R7" s="311" t="s">
        <v>10</v>
      </c>
      <c r="S7" s="312" t="s">
        <v>12</v>
      </c>
    </row>
    <row r="8" spans="1:22" s="222" customFormat="1" ht="12.75" customHeight="1" x14ac:dyDescent="0.3">
      <c r="A8" s="313" t="s">
        <v>13</v>
      </c>
      <c r="B8" s="314" t="s">
        <v>14</v>
      </c>
      <c r="C8" s="314" t="s">
        <v>15</v>
      </c>
      <c r="D8" s="314" t="s">
        <v>16</v>
      </c>
      <c r="E8" s="315">
        <v>4</v>
      </c>
      <c r="F8" s="315">
        <v>5</v>
      </c>
      <c r="G8" s="315">
        <v>6</v>
      </c>
      <c r="H8" s="314" t="s">
        <v>17</v>
      </c>
      <c r="I8" s="314" t="s">
        <v>18</v>
      </c>
      <c r="J8" s="314" t="s">
        <v>19</v>
      </c>
      <c r="K8" s="315">
        <v>10</v>
      </c>
      <c r="L8" s="315">
        <v>11</v>
      </c>
      <c r="M8" s="315">
        <v>12</v>
      </c>
      <c r="N8" s="314" t="s">
        <v>223</v>
      </c>
      <c r="O8" s="314" t="s">
        <v>224</v>
      </c>
      <c r="P8" s="314" t="s">
        <v>225</v>
      </c>
      <c r="Q8" s="315" t="s">
        <v>226</v>
      </c>
      <c r="R8" s="315" t="s">
        <v>227</v>
      </c>
      <c r="S8" s="316" t="s">
        <v>228</v>
      </c>
    </row>
    <row r="9" spans="1:22" s="222" customFormat="1" x14ac:dyDescent="0.3">
      <c r="A9" s="36" t="s">
        <v>28</v>
      </c>
      <c r="B9" s="39">
        <v>42540.187935589995</v>
      </c>
      <c r="C9" s="39">
        <v>33434.990689589999</v>
      </c>
      <c r="D9" s="39">
        <v>9105.2408290000003</v>
      </c>
      <c r="E9" s="39">
        <v>6693.7709380600008</v>
      </c>
      <c r="F9" s="39">
        <v>1536.2736378499999</v>
      </c>
      <c r="G9" s="39">
        <v>875.19625309000003</v>
      </c>
      <c r="H9" s="39">
        <f>'Прил. 1.1 - конс.'!X11</f>
        <v>41292.48964372</v>
      </c>
      <c r="I9" s="39">
        <f>'Прил. 1.1 - конс.'!Y11</f>
        <v>32160.847430409998</v>
      </c>
      <c r="J9" s="39">
        <f>'Прил. 1.1 - конс.'!Z11</f>
        <v>9131.2733422500005</v>
      </c>
      <c r="K9" s="39">
        <f>'Прил. 1.1 - конс.'!AA11</f>
        <v>6687.8635699799997</v>
      </c>
      <c r="L9" s="39">
        <f>'Прил. 1.1 - конс.'!AB11</f>
        <v>1859.37985202</v>
      </c>
      <c r="M9" s="39">
        <f>'Прил. 1.1 - конс.'!AC11</f>
        <v>584.02992025000003</v>
      </c>
      <c r="N9" s="39">
        <f>+H9-B9</f>
        <v>-1247.6982918699941</v>
      </c>
      <c r="O9" s="39">
        <f t="shared" ref="O9:S24" si="0">+I9-C9</f>
        <v>-1274.1432591800003</v>
      </c>
      <c r="P9" s="39">
        <f>+J9-D9</f>
        <v>26.032513250000193</v>
      </c>
      <c r="Q9" s="39">
        <f t="shared" si="0"/>
        <v>-5.9073680800011061</v>
      </c>
      <c r="R9" s="39">
        <f t="shared" si="0"/>
        <v>323.10621417000016</v>
      </c>
      <c r="S9" s="40">
        <f t="shared" si="0"/>
        <v>-291.16633284</v>
      </c>
      <c r="T9" s="182">
        <f>B9/B34%</f>
        <v>74.725202388199676</v>
      </c>
      <c r="U9" s="4">
        <f>H9/H34%</f>
        <v>77.206500323010204</v>
      </c>
      <c r="V9" s="69">
        <f>U9-T9</f>
        <v>2.4812979348105273</v>
      </c>
    </row>
    <row r="10" spans="1:22" s="224" customFormat="1" x14ac:dyDescent="0.3">
      <c r="A10" s="223" t="s">
        <v>29</v>
      </c>
      <c r="B10" s="32">
        <v>11627.455942100001</v>
      </c>
      <c r="C10" s="32">
        <v>11627.455942100001</v>
      </c>
      <c r="D10" s="32">
        <v>0</v>
      </c>
      <c r="E10" s="32">
        <v>0</v>
      </c>
      <c r="F10" s="32">
        <v>0</v>
      </c>
      <c r="G10" s="32">
        <v>0</v>
      </c>
      <c r="H10" s="32">
        <f>'Прил. 1.1 - конс.'!X12</f>
        <v>8653.4476541499989</v>
      </c>
      <c r="I10" s="32">
        <f>'Прил. 1.1 - конс.'!Y12</f>
        <v>8653.4476541499989</v>
      </c>
      <c r="J10" s="32">
        <f>'Прил. 1.1 - конс.'!Z12</f>
        <v>0</v>
      </c>
      <c r="K10" s="32">
        <f>'Прил. 1.1 - конс.'!AA12</f>
        <v>0</v>
      </c>
      <c r="L10" s="32">
        <f>'Прил. 1.1 - конс.'!AB12</f>
        <v>0</v>
      </c>
      <c r="M10" s="32">
        <f>'Прил. 1.1 - конс.'!AC12</f>
        <v>0</v>
      </c>
      <c r="N10" s="32">
        <f t="shared" ref="N10:S34" si="1">+H10-B10</f>
        <v>-2974.0082879500023</v>
      </c>
      <c r="O10" s="32">
        <f t="shared" si="0"/>
        <v>-2974.0082879500023</v>
      </c>
      <c r="P10" s="32">
        <f t="shared" si="0"/>
        <v>0</v>
      </c>
      <c r="Q10" s="32">
        <f t="shared" si="0"/>
        <v>0</v>
      </c>
      <c r="R10" s="32">
        <f t="shared" si="0"/>
        <v>0</v>
      </c>
      <c r="S10" s="34">
        <f t="shared" si="0"/>
        <v>0</v>
      </c>
      <c r="T10" s="182">
        <f>D9/D34%</f>
        <v>38.22187692491427</v>
      </c>
      <c r="U10" s="4">
        <f>J9/J34%</f>
        <v>39.901511813671249</v>
      </c>
      <c r="V10" s="69">
        <f>U10-T10</f>
        <v>1.6796348887569792</v>
      </c>
    </row>
    <row r="11" spans="1:22" x14ac:dyDescent="0.3">
      <c r="A11" s="223" t="s">
        <v>31</v>
      </c>
      <c r="B11" s="32">
        <v>16173.66620147</v>
      </c>
      <c r="C11" s="32">
        <v>10744.014182540001</v>
      </c>
      <c r="D11" s="32">
        <v>5429.6520189299999</v>
      </c>
      <c r="E11" s="32">
        <v>4159.3453757399993</v>
      </c>
      <c r="F11" s="32">
        <v>908.92855901999997</v>
      </c>
      <c r="G11" s="32">
        <v>361.37808417000002</v>
      </c>
      <c r="H11" s="32">
        <f>'Прил. 1.1 - конс.'!X13</f>
        <v>17097.865958729999</v>
      </c>
      <c r="I11" s="32">
        <f>'Прил. 1.1 - конс.'!Y13</f>
        <v>11427.893260299999</v>
      </c>
      <c r="J11" s="32">
        <f>'Прил. 1.1 - конс.'!Z13</f>
        <v>5669.9726984300005</v>
      </c>
      <c r="K11" s="32">
        <f>'Прил. 1.1 - конс.'!AA13</f>
        <v>4315.2705020900003</v>
      </c>
      <c r="L11" s="32">
        <f>'Прил. 1.1 - конс.'!AB13</f>
        <v>1117.44760991</v>
      </c>
      <c r="M11" s="32">
        <f>'Прил. 1.1 - конс.'!AC13</f>
        <v>237.25458643000002</v>
      </c>
      <c r="N11" s="32">
        <f t="shared" si="1"/>
        <v>924.19975725999939</v>
      </c>
      <c r="O11" s="32">
        <f t="shared" si="0"/>
        <v>683.87907775999884</v>
      </c>
      <c r="P11" s="32">
        <f t="shared" si="0"/>
        <v>240.32067950000055</v>
      </c>
      <c r="Q11" s="32">
        <f t="shared" si="0"/>
        <v>155.92512635000094</v>
      </c>
      <c r="R11" s="32">
        <f t="shared" si="0"/>
        <v>208.51905089000002</v>
      </c>
      <c r="S11" s="34">
        <f t="shared" si="0"/>
        <v>-124.12349774</v>
      </c>
    </row>
    <row r="12" spans="1:22" x14ac:dyDescent="0.3">
      <c r="A12" s="223" t="s">
        <v>32</v>
      </c>
      <c r="B12" s="32">
        <v>2695.0639613499998</v>
      </c>
      <c r="C12" s="32">
        <v>2484.0817689299997</v>
      </c>
      <c r="D12" s="32">
        <v>210.98219241999999</v>
      </c>
      <c r="E12" s="32">
        <v>22.95106496</v>
      </c>
      <c r="F12" s="32">
        <v>77.976908519999995</v>
      </c>
      <c r="G12" s="32">
        <v>110.05421894</v>
      </c>
      <c r="H12" s="32">
        <f>'Прил. 1.1 - конс.'!X14</f>
        <v>3492.7583180500001</v>
      </c>
      <c r="I12" s="32">
        <f>'Прил. 1.1 - конс.'!Y14</f>
        <v>3230.9540312899999</v>
      </c>
      <c r="J12" s="32">
        <f>'Прил. 1.1 - конс.'!Z14</f>
        <v>261.80428676000002</v>
      </c>
      <c r="K12" s="32">
        <f>'Прил. 1.1 - конс.'!AA14</f>
        <v>31.933578019999999</v>
      </c>
      <c r="L12" s="32">
        <f>'Прил. 1.1 - конс.'!AB14</f>
        <v>190.71185618000001</v>
      </c>
      <c r="M12" s="32">
        <f>'Прил. 1.1 - конс.'!AC14</f>
        <v>39.15885256</v>
      </c>
      <c r="N12" s="32">
        <f t="shared" si="1"/>
        <v>797.6943567000003</v>
      </c>
      <c r="O12" s="32">
        <f t="shared" si="0"/>
        <v>746.87226236000015</v>
      </c>
      <c r="P12" s="32">
        <f t="shared" si="0"/>
        <v>50.822094340000035</v>
      </c>
      <c r="Q12" s="32">
        <f t="shared" si="0"/>
        <v>8.9825130599999987</v>
      </c>
      <c r="R12" s="32">
        <f t="shared" si="0"/>
        <v>112.73494766000002</v>
      </c>
      <c r="S12" s="34">
        <f t="shared" si="0"/>
        <v>-70.895366379999999</v>
      </c>
    </row>
    <row r="13" spans="1:22" x14ac:dyDescent="0.3">
      <c r="A13" s="223" t="s">
        <v>33</v>
      </c>
      <c r="B13" s="32">
        <v>2639.30207492</v>
      </c>
      <c r="C13" s="32">
        <v>1746.5913095199999</v>
      </c>
      <c r="D13" s="32">
        <v>892.71076540000001</v>
      </c>
      <c r="E13" s="32">
        <v>624.33011286999999</v>
      </c>
      <c r="F13" s="32">
        <v>251.23579128</v>
      </c>
      <c r="G13" s="32">
        <v>17.144861250000002</v>
      </c>
      <c r="H13" s="32">
        <f>'Прил. 1.1 - конс.'!X15</f>
        <v>2723.5569056700001</v>
      </c>
      <c r="I13" s="32">
        <f>'Прил. 1.1 - конс.'!Y15</f>
        <v>1830.85548419</v>
      </c>
      <c r="J13" s="32">
        <f>'Прил. 1.1 - конс.'!Z15</f>
        <v>892.70142148000002</v>
      </c>
      <c r="K13" s="32">
        <f>'Прил. 1.1 - конс.'!AA15</f>
        <v>633.97501710000006</v>
      </c>
      <c r="L13" s="32">
        <f>'Прил. 1.1 - конс.'!AB15</f>
        <v>247.86420716999999</v>
      </c>
      <c r="M13" s="32">
        <f>'Прил. 1.1 - конс.'!AC15</f>
        <v>10.86219721</v>
      </c>
      <c r="N13" s="32">
        <f t="shared" si="1"/>
        <v>84.25483075000011</v>
      </c>
      <c r="O13" s="32">
        <f t="shared" si="0"/>
        <v>84.264174670000102</v>
      </c>
      <c r="P13" s="32">
        <f t="shared" si="0"/>
        <v>-9.3439199999920675E-3</v>
      </c>
      <c r="Q13" s="32">
        <f t="shared" si="0"/>
        <v>9.6449042300000656</v>
      </c>
      <c r="R13" s="32">
        <f t="shared" si="0"/>
        <v>-3.3715841100000148</v>
      </c>
      <c r="S13" s="34">
        <f t="shared" si="0"/>
        <v>-6.282664040000002</v>
      </c>
    </row>
    <row r="14" spans="1:22" x14ac:dyDescent="0.3">
      <c r="A14" s="223" t="s">
        <v>34</v>
      </c>
      <c r="B14" s="32">
        <v>5292.0084630299998</v>
      </c>
      <c r="C14" s="32">
        <v>4701.3304029700003</v>
      </c>
      <c r="D14" s="32">
        <v>590.67806005999989</v>
      </c>
      <c r="E14" s="32">
        <v>421.20919774999999</v>
      </c>
      <c r="F14" s="32">
        <v>1.0525199999999999E-3</v>
      </c>
      <c r="G14" s="32">
        <v>169.46780978999999</v>
      </c>
      <c r="H14" s="32">
        <f>'Прил. 1.1 - конс.'!X16</f>
        <v>4847.7992250699999</v>
      </c>
      <c r="I14" s="32">
        <f>'Прил. 1.1 - конс.'!Y16</f>
        <v>4398.0423061299998</v>
      </c>
      <c r="J14" s="32">
        <f>'Прил. 1.1 - конс.'!Z16</f>
        <v>449.75691893999999</v>
      </c>
      <c r="K14" s="32">
        <f>'Прил. 1.1 - конс.'!AA16</f>
        <v>346.65100937</v>
      </c>
      <c r="L14" s="32">
        <f>'Прил. 1.1 - конс.'!AB16</f>
        <v>0</v>
      </c>
      <c r="M14" s="32">
        <f>'Прил. 1.1 - конс.'!AC16</f>
        <v>103.10590956999999</v>
      </c>
      <c r="N14" s="32">
        <f t="shared" si="1"/>
        <v>-444.20923795999988</v>
      </c>
      <c r="O14" s="32">
        <f t="shared" si="0"/>
        <v>-303.28809684000043</v>
      </c>
      <c r="P14" s="32">
        <f t="shared" si="0"/>
        <v>-140.9211411199999</v>
      </c>
      <c r="Q14" s="32">
        <f t="shared" si="0"/>
        <v>-74.55818837999999</v>
      </c>
      <c r="R14" s="32">
        <f t="shared" si="0"/>
        <v>-1.0525199999999999E-3</v>
      </c>
      <c r="S14" s="34">
        <f t="shared" si="0"/>
        <v>-66.361900219999995</v>
      </c>
    </row>
    <row r="15" spans="1:22" ht="26.4" x14ac:dyDescent="0.3">
      <c r="A15" s="223" t="s">
        <v>35</v>
      </c>
      <c r="B15" s="32">
        <v>1270.1975374900001</v>
      </c>
      <c r="C15" s="32">
        <v>1270.1975374900001</v>
      </c>
      <c r="D15" s="32">
        <v>0</v>
      </c>
      <c r="E15" s="32">
        <v>0</v>
      </c>
      <c r="F15" s="32">
        <v>0</v>
      </c>
      <c r="G15" s="32">
        <v>0</v>
      </c>
      <c r="H15" s="32">
        <f>'Прил. 1.1 - конс.'!X17</f>
        <v>1675.2321551300001</v>
      </c>
      <c r="I15" s="32">
        <f>'Прил. 1.1 - конс.'!Y17</f>
        <v>1675.2321551300001</v>
      </c>
      <c r="J15" s="32">
        <f>'Прил. 1.1 - конс.'!Z17</f>
        <v>0</v>
      </c>
      <c r="K15" s="32">
        <f>'Прил. 1.1 - конс.'!AA17</f>
        <v>0</v>
      </c>
      <c r="L15" s="32">
        <f>'Прил. 1.1 - конс.'!AB17</f>
        <v>0</v>
      </c>
      <c r="M15" s="32">
        <f>'Прил. 1.1 - конс.'!AC17</f>
        <v>0</v>
      </c>
      <c r="N15" s="32">
        <f t="shared" si="1"/>
        <v>405.03461764000008</v>
      </c>
      <c r="O15" s="32">
        <f t="shared" si="0"/>
        <v>405.03461764000008</v>
      </c>
      <c r="P15" s="32">
        <f t="shared" si="0"/>
        <v>0</v>
      </c>
      <c r="Q15" s="32">
        <f t="shared" si="0"/>
        <v>0</v>
      </c>
      <c r="R15" s="32">
        <f t="shared" si="0"/>
        <v>0</v>
      </c>
      <c r="S15" s="34">
        <f t="shared" si="0"/>
        <v>0</v>
      </c>
    </row>
    <row r="16" spans="1:22" x14ac:dyDescent="0.3">
      <c r="A16" s="223" t="s">
        <v>36</v>
      </c>
      <c r="B16" s="32">
        <v>227.85405333</v>
      </c>
      <c r="C16" s="32">
        <v>87.438301180000011</v>
      </c>
      <c r="D16" s="32">
        <v>140.41575214999997</v>
      </c>
      <c r="E16" s="32">
        <v>108.08967906999999</v>
      </c>
      <c r="F16" s="32">
        <v>29.469912069999999</v>
      </c>
      <c r="G16" s="32">
        <v>2.8561610099999997</v>
      </c>
      <c r="H16" s="32">
        <f>'Прил. 1.1 - конс.'!X18</f>
        <v>252.75324752</v>
      </c>
      <c r="I16" s="32">
        <f>'Прил. 1.1 - конс.'!Y18</f>
        <v>109.86740161</v>
      </c>
      <c r="J16" s="32">
        <f>'Прил. 1.1 - конс.'!Z18</f>
        <v>142.88584591</v>
      </c>
      <c r="K16" s="32">
        <f>'Прил. 1.1 - конс.'!AA18</f>
        <v>106.45061772</v>
      </c>
      <c r="L16" s="32">
        <f>'Прил. 1.1 - конс.'!AB18</f>
        <v>34.4628084</v>
      </c>
      <c r="M16" s="32">
        <f>'Прил. 1.1 - конс.'!AC18</f>
        <v>1.97241979</v>
      </c>
      <c r="N16" s="32">
        <f t="shared" si="1"/>
        <v>24.899194190000003</v>
      </c>
      <c r="O16" s="32">
        <f t="shared" si="0"/>
        <v>22.429100429999991</v>
      </c>
      <c r="P16" s="32">
        <f t="shared" si="0"/>
        <v>2.4700937600000259</v>
      </c>
      <c r="Q16" s="32">
        <f t="shared" si="0"/>
        <v>-1.6390613499999915</v>
      </c>
      <c r="R16" s="32">
        <f t="shared" si="0"/>
        <v>4.9928963300000007</v>
      </c>
      <c r="S16" s="34">
        <f t="shared" si="0"/>
        <v>-0.88374121999999966</v>
      </c>
    </row>
    <row r="17" spans="1:22" ht="39.6" x14ac:dyDescent="0.3">
      <c r="A17" s="223" t="s">
        <v>37</v>
      </c>
      <c r="B17" s="32">
        <v>-4.1468129999999999E-2</v>
      </c>
      <c r="C17" s="32">
        <v>2.2316840000000001E-2</v>
      </c>
      <c r="D17" s="32">
        <v>-6.3784969999999996E-2</v>
      </c>
      <c r="E17" s="32">
        <v>-8.5772199999999993E-2</v>
      </c>
      <c r="F17" s="32">
        <v>1.361017E-2</v>
      </c>
      <c r="G17" s="32">
        <v>8.3770599999999987E-3</v>
      </c>
      <c r="H17" s="32">
        <f>'Прил. 1.1 - конс.'!X19</f>
        <v>6.3177440000000001E-2</v>
      </c>
      <c r="I17" s="32">
        <f>'Прил. 1.1 - конс.'!Y19</f>
        <v>3.2417729999999999E-2</v>
      </c>
      <c r="J17" s="32">
        <f>'Прил. 1.1 - конс.'!Z19</f>
        <v>3.0759710000000003E-2</v>
      </c>
      <c r="K17" s="32">
        <f>'Прил. 1.1 - конс.'!AA19</f>
        <v>2.602513E-2</v>
      </c>
      <c r="L17" s="32">
        <f>'Прил. 1.1 - конс.'!AB19</f>
        <v>1.4638800000000001E-3</v>
      </c>
      <c r="M17" s="32">
        <f>'Прил. 1.1 - конс.'!AC19</f>
        <v>3.2706999999999996E-3</v>
      </c>
      <c r="N17" s="32">
        <f t="shared" si="1"/>
        <v>0.10464556999999999</v>
      </c>
      <c r="O17" s="32">
        <f t="shared" si="0"/>
        <v>1.0100889999999998E-2</v>
      </c>
      <c r="P17" s="32">
        <f t="shared" si="0"/>
        <v>9.4544679999999992E-2</v>
      </c>
      <c r="Q17" s="32">
        <f t="shared" si="0"/>
        <v>0.11179733</v>
      </c>
      <c r="R17" s="32">
        <f t="shared" si="0"/>
        <v>-1.2146289999999999E-2</v>
      </c>
      <c r="S17" s="34">
        <f t="shared" si="0"/>
        <v>-5.106359999999999E-3</v>
      </c>
    </row>
    <row r="18" spans="1:22" x14ac:dyDescent="0.3">
      <c r="A18" s="223" t="s">
        <v>38</v>
      </c>
      <c r="B18" s="32">
        <v>906.33240114</v>
      </c>
      <c r="C18" s="32">
        <v>44.235655639999997</v>
      </c>
      <c r="D18" s="32">
        <v>862.0967455</v>
      </c>
      <c r="E18" s="32">
        <v>617.11905691999993</v>
      </c>
      <c r="F18" s="32">
        <v>128.24051751000002</v>
      </c>
      <c r="G18" s="32">
        <v>116.73717106999999</v>
      </c>
      <c r="H18" s="32">
        <f>'Прил. 1.1 - конс.'!X20</f>
        <v>801.59512691999998</v>
      </c>
      <c r="I18" s="32">
        <f>'Прил. 1.1 - конс.'!Y20</f>
        <v>41.571278469999996</v>
      </c>
      <c r="J18" s="32">
        <f>'Прил. 1.1 - конс.'!Z20</f>
        <v>760.02384844999995</v>
      </c>
      <c r="K18" s="32">
        <f>'Прил. 1.1 - конс.'!AA20</f>
        <v>533.32679012000006</v>
      </c>
      <c r="L18" s="32">
        <f>'Прил. 1.1 - конс.'!AB20</f>
        <v>119.66907414000001</v>
      </c>
      <c r="M18" s="32">
        <f>'Прил. 1.1 - конс.'!AC20</f>
        <v>107.02798419</v>
      </c>
      <c r="N18" s="32">
        <f t="shared" si="1"/>
        <v>-104.73727422000002</v>
      </c>
      <c r="O18" s="32">
        <f t="shared" si="0"/>
        <v>-2.6643771700000016</v>
      </c>
      <c r="P18" s="32">
        <f t="shared" si="0"/>
        <v>-102.07289705000005</v>
      </c>
      <c r="Q18" s="32">
        <f t="shared" si="0"/>
        <v>-83.792266799999879</v>
      </c>
      <c r="R18" s="32">
        <f t="shared" si="0"/>
        <v>-8.5714433700000114</v>
      </c>
      <c r="S18" s="34">
        <f t="shared" si="0"/>
        <v>-9.7091868799999901</v>
      </c>
      <c r="T18" s="225"/>
    </row>
    <row r="19" spans="1:22" x14ac:dyDescent="0.3">
      <c r="A19" s="223" t="s">
        <v>39</v>
      </c>
      <c r="B19" s="32">
        <v>419.96948327999996</v>
      </c>
      <c r="C19" s="32">
        <v>324.08297339000001</v>
      </c>
      <c r="D19" s="32">
        <v>95.886509889999999</v>
      </c>
      <c r="E19" s="32">
        <v>64.61415624</v>
      </c>
      <c r="F19" s="32">
        <v>31.272353649999999</v>
      </c>
      <c r="G19" s="32">
        <v>0</v>
      </c>
      <c r="H19" s="32">
        <f>'Прил. 1.1 - конс.'!X21</f>
        <v>652.94850692</v>
      </c>
      <c r="I19" s="32">
        <f>'Прил. 1.1 - конс.'!Y21</f>
        <v>480.04510742000002</v>
      </c>
      <c r="J19" s="32">
        <f>'Прил. 1.1 - конс.'!Z21</f>
        <v>172.90339950000001</v>
      </c>
      <c r="K19" s="32">
        <f>'Прил. 1.1 - конс.'!AA21</f>
        <v>123.09583191</v>
      </c>
      <c r="L19" s="32">
        <f>'Прил. 1.1 - конс.'!AB21</f>
        <v>49.807567590000005</v>
      </c>
      <c r="M19" s="32">
        <f>'Прил. 1.1 - конс.'!AC21</f>
        <v>0</v>
      </c>
      <c r="N19" s="32">
        <f t="shared" si="1"/>
        <v>232.97902364000004</v>
      </c>
      <c r="O19" s="32">
        <f t="shared" si="0"/>
        <v>155.96213403000002</v>
      </c>
      <c r="P19" s="32">
        <f t="shared" si="0"/>
        <v>77.016889610000007</v>
      </c>
      <c r="Q19" s="32">
        <f t="shared" si="0"/>
        <v>58.481675670000001</v>
      </c>
      <c r="R19" s="32">
        <f t="shared" si="0"/>
        <v>18.535213940000006</v>
      </c>
      <c r="S19" s="34">
        <f t="shared" si="0"/>
        <v>0</v>
      </c>
      <c r="T19" s="225"/>
    </row>
    <row r="20" spans="1:22" s="226" customFormat="1" ht="26.4" x14ac:dyDescent="0.3">
      <c r="A20" s="223" t="s">
        <v>40</v>
      </c>
      <c r="B20" s="32">
        <v>116.67718219</v>
      </c>
      <c r="C20" s="32">
        <v>32.96905563</v>
      </c>
      <c r="D20" s="32">
        <v>83.708126559999997</v>
      </c>
      <c r="E20" s="32">
        <v>42.638260819999999</v>
      </c>
      <c r="F20" s="32">
        <v>7.3878609900000001</v>
      </c>
      <c r="G20" s="32">
        <v>33.682004749999997</v>
      </c>
      <c r="H20" s="32">
        <f>'Прил. 1.1 - конс.'!X22</f>
        <v>131.92963997999999</v>
      </c>
      <c r="I20" s="32">
        <f>'Прил. 1.1 - конс.'!Y22</f>
        <v>31.58355122</v>
      </c>
      <c r="J20" s="32">
        <f>'Прил. 1.1 - конс.'!Z22</f>
        <v>100.34608876</v>
      </c>
      <c r="K20" s="32">
        <f>'Прил. 1.1 - конс.'!AA22</f>
        <v>64.05813114</v>
      </c>
      <c r="L20" s="32">
        <f>'Прил. 1.1 - конс.'!AB22</f>
        <v>10.31824647</v>
      </c>
      <c r="M20" s="32">
        <f>'Прил. 1.1 - конс.'!AC22</f>
        <v>25.969711149999998</v>
      </c>
      <c r="N20" s="32">
        <f t="shared" si="1"/>
        <v>15.252457789999994</v>
      </c>
      <c r="O20" s="32">
        <f t="shared" si="0"/>
        <v>-1.3855044099999994</v>
      </c>
      <c r="P20" s="32">
        <f t="shared" si="0"/>
        <v>16.637962200000004</v>
      </c>
      <c r="Q20" s="32">
        <f t="shared" si="0"/>
        <v>21.419870320000001</v>
      </c>
      <c r="R20" s="32">
        <f t="shared" si="0"/>
        <v>2.93038548</v>
      </c>
      <c r="S20" s="34">
        <f t="shared" si="0"/>
        <v>-7.7122935999999989</v>
      </c>
      <c r="T20" s="225"/>
      <c r="U20" s="3"/>
      <c r="V20" s="3"/>
    </row>
    <row r="21" spans="1:22" x14ac:dyDescent="0.3">
      <c r="A21" s="223" t="s">
        <v>41</v>
      </c>
      <c r="B21" s="32">
        <v>658.13437624999995</v>
      </c>
      <c r="C21" s="32">
        <v>0.8488985</v>
      </c>
      <c r="D21" s="32">
        <v>657.28547775000004</v>
      </c>
      <c r="E21" s="32">
        <v>531.90850338999996</v>
      </c>
      <c r="F21" s="32">
        <v>73.817940090000008</v>
      </c>
      <c r="G21" s="32">
        <v>51.559034270000005</v>
      </c>
      <c r="H21" s="32">
        <f>'Прил. 1.1 - конс.'!X23</f>
        <v>523.59169108000003</v>
      </c>
      <c r="I21" s="32">
        <f>'Прил. 1.1 - конс.'!Y23</f>
        <v>1.41426582</v>
      </c>
      <c r="J21" s="32">
        <f>'Прил. 1.1 - конс.'!Z23</f>
        <v>522.17742526000006</v>
      </c>
      <c r="K21" s="32">
        <f>'Прил. 1.1 - конс.'!AA23</f>
        <v>424.85802281999997</v>
      </c>
      <c r="L21" s="32">
        <f>'Прил. 1.1 - конс.'!AB23</f>
        <v>59.644550670000001</v>
      </c>
      <c r="M21" s="32">
        <f>'Прил. 1.1 - конс.'!AC23</f>
        <v>37.674851769999997</v>
      </c>
      <c r="N21" s="32">
        <f t="shared" si="1"/>
        <v>-134.54268516999991</v>
      </c>
      <c r="O21" s="32">
        <f t="shared" si="0"/>
        <v>0.56536732000000001</v>
      </c>
      <c r="P21" s="32">
        <f t="shared" si="0"/>
        <v>-135.10805248999998</v>
      </c>
      <c r="Q21" s="32">
        <f t="shared" si="0"/>
        <v>-107.05048056999999</v>
      </c>
      <c r="R21" s="32">
        <f t="shared" si="0"/>
        <v>-14.173389420000007</v>
      </c>
      <c r="S21" s="34">
        <f t="shared" si="0"/>
        <v>-13.884182500000009</v>
      </c>
      <c r="T21" s="225"/>
    </row>
    <row r="22" spans="1:22" x14ac:dyDescent="0.3">
      <c r="A22" s="223" t="s">
        <v>42</v>
      </c>
      <c r="B22" s="32">
        <v>0.74589178</v>
      </c>
      <c r="C22" s="32">
        <v>0.65840164000000001</v>
      </c>
      <c r="D22" s="32">
        <v>8.7490139999999994E-2</v>
      </c>
      <c r="E22" s="32">
        <v>0</v>
      </c>
      <c r="F22" s="32">
        <v>0</v>
      </c>
      <c r="G22" s="32">
        <v>8.7490139999999994E-2</v>
      </c>
      <c r="H22" s="32">
        <f>'Прил. 1.1 - конс.'!X24</f>
        <v>0.73841747000000002</v>
      </c>
      <c r="I22" s="32">
        <f>'Прил. 1.1 - конс.'!Y24</f>
        <v>0.68079290000000003</v>
      </c>
      <c r="J22" s="32">
        <f>'Прил. 1.1 - конс.'!Z24</f>
        <v>5.762457E-2</v>
      </c>
      <c r="K22" s="32">
        <f>'Прил. 1.1 - конс.'!AA24</f>
        <v>0</v>
      </c>
      <c r="L22" s="32">
        <f>'Прил. 1.1 - конс.'!AB24</f>
        <v>0</v>
      </c>
      <c r="M22" s="32">
        <f>'Прил. 1.1 - конс.'!AC24</f>
        <v>5.762457E-2</v>
      </c>
      <c r="N22" s="32">
        <f t="shared" si="1"/>
        <v>-7.474309999999984E-3</v>
      </c>
      <c r="O22" s="32">
        <f t="shared" si="0"/>
        <v>2.2391260000000024E-2</v>
      </c>
      <c r="P22" s="32">
        <f t="shared" si="0"/>
        <v>-2.9865569999999994E-2</v>
      </c>
      <c r="Q22" s="32">
        <f t="shared" si="0"/>
        <v>0</v>
      </c>
      <c r="R22" s="32">
        <f t="shared" si="0"/>
        <v>0</v>
      </c>
      <c r="S22" s="34">
        <f t="shared" si="0"/>
        <v>-2.9865569999999994E-2</v>
      </c>
      <c r="T22" s="225"/>
    </row>
    <row r="23" spans="1:22" x14ac:dyDescent="0.3">
      <c r="A23" s="223" t="s">
        <v>43</v>
      </c>
      <c r="B23" s="32">
        <v>501.01869832</v>
      </c>
      <c r="C23" s="32">
        <v>370.92865238000002</v>
      </c>
      <c r="D23" s="32">
        <v>130.09004594000001</v>
      </c>
      <c r="E23" s="32">
        <v>94.958639200000007</v>
      </c>
      <c r="F23" s="32">
        <v>27.886153239999999</v>
      </c>
      <c r="G23" s="32">
        <v>7.2452534999999996</v>
      </c>
      <c r="H23" s="32">
        <f>'Прил. 1.1 - конс.'!X25</f>
        <v>416.91223107000002</v>
      </c>
      <c r="I23" s="32">
        <f>'Прил. 1.1 - конс.'!Y25</f>
        <v>279.02528777999999</v>
      </c>
      <c r="J23" s="32">
        <f>'Прил. 1.1 - конс.'!Z25</f>
        <v>137.88694329000003</v>
      </c>
      <c r="K23" s="32">
        <f>'Прил. 1.1 - конс.'!AA25</f>
        <v>94.250128180000004</v>
      </c>
      <c r="L23" s="32">
        <f>'Прил. 1.1 - конс.'!AB25</f>
        <v>29.362034690000002</v>
      </c>
      <c r="M23" s="32">
        <f>'Прил. 1.1 - конс.'!AC25</f>
        <v>14.274780420000001</v>
      </c>
      <c r="N23" s="32">
        <f t="shared" si="1"/>
        <v>-84.10646724999998</v>
      </c>
      <c r="O23" s="32">
        <f t="shared" si="0"/>
        <v>-91.903364600000032</v>
      </c>
      <c r="P23" s="32">
        <f t="shared" si="0"/>
        <v>7.7968973500000232</v>
      </c>
      <c r="Q23" s="32">
        <f t="shared" si="0"/>
        <v>-0.7085110200000031</v>
      </c>
      <c r="R23" s="32">
        <f t="shared" si="0"/>
        <v>1.4758814500000028</v>
      </c>
      <c r="S23" s="34">
        <f t="shared" si="0"/>
        <v>7.0295269200000012</v>
      </c>
      <c r="T23" s="225"/>
    </row>
    <row r="24" spans="1:22" x14ac:dyDescent="0.3">
      <c r="A24" s="223" t="s">
        <v>44</v>
      </c>
      <c r="B24" s="32">
        <v>11.80313707</v>
      </c>
      <c r="C24" s="32">
        <v>0.13529084</v>
      </c>
      <c r="D24" s="32">
        <v>11.71142923</v>
      </c>
      <c r="E24" s="32">
        <v>6.6926632999999995</v>
      </c>
      <c r="F24" s="32">
        <v>4.2978790000000003E-2</v>
      </c>
      <c r="G24" s="32">
        <v>4.9757871399999996</v>
      </c>
      <c r="H24" s="32">
        <f>'Прил. 1.1 - конс.'!X26</f>
        <v>21.297388519999998</v>
      </c>
      <c r="I24" s="32">
        <f>'Прил. 1.1 - конс.'!Y26</f>
        <v>0.20243627</v>
      </c>
      <c r="J24" s="32">
        <f>'Прил. 1.1 - конс.'!Z26</f>
        <v>21.094952249999999</v>
      </c>
      <c r="K24" s="32">
        <f>'Прил. 1.1 - конс.'!AA26</f>
        <v>13.96791638</v>
      </c>
      <c r="L24" s="32">
        <f>'Прил. 1.1 - конс.'!AB26</f>
        <v>9.043292E-2</v>
      </c>
      <c r="M24" s="32">
        <f>'Прил. 1.1 - конс.'!AC26</f>
        <v>7.0366029499999989</v>
      </c>
      <c r="N24" s="32">
        <f t="shared" si="1"/>
        <v>9.4942514499999984</v>
      </c>
      <c r="O24" s="32">
        <f t="shared" si="0"/>
        <v>6.7145430000000006E-2</v>
      </c>
      <c r="P24" s="32">
        <f t="shared" si="0"/>
        <v>9.3835230199999984</v>
      </c>
      <c r="Q24" s="32">
        <f t="shared" si="0"/>
        <v>7.2752530800000006</v>
      </c>
      <c r="R24" s="32">
        <f t="shared" si="0"/>
        <v>4.7454129999999997E-2</v>
      </c>
      <c r="S24" s="34">
        <f t="shared" si="0"/>
        <v>2.0608158099999994</v>
      </c>
      <c r="T24" s="4"/>
      <c r="U24" s="4"/>
      <c r="V24" s="225"/>
    </row>
    <row r="25" spans="1:22" ht="26.4" x14ac:dyDescent="0.3">
      <c r="A25" s="223" t="s">
        <v>46</v>
      </c>
      <c r="B25" s="32"/>
      <c r="C25" s="32"/>
      <c r="D25" s="32"/>
      <c r="E25" s="32"/>
      <c r="F25" s="32"/>
      <c r="G25" s="32"/>
      <c r="H25" s="32">
        <f>'Прил. 1.1 - конс.'!X28</f>
        <v>0</v>
      </c>
      <c r="I25" s="32">
        <f>'Прил. 1.1 - конс.'!Y28</f>
        <v>0</v>
      </c>
      <c r="J25" s="32">
        <f>'Прил. 1.1 - конс.'!Z28</f>
        <v>-0.36887105999999997</v>
      </c>
      <c r="K25" s="32">
        <f>'Прил. 1.1 - конс.'!AA28</f>
        <v>0</v>
      </c>
      <c r="L25" s="32">
        <f>'Прил. 1.1 - конс.'!AB28</f>
        <v>0</v>
      </c>
      <c r="M25" s="32">
        <f>'Прил. 1.1 - конс.'!AC28</f>
        <v>-0.36887105999999997</v>
      </c>
      <c r="N25" s="32">
        <f t="shared" ref="N25" si="2">+H25-B25</f>
        <v>0</v>
      </c>
      <c r="O25" s="32">
        <f t="shared" ref="O25" si="3">+I25-C25</f>
        <v>0</v>
      </c>
      <c r="P25" s="32">
        <f t="shared" ref="P25" si="4">+J25-D25</f>
        <v>-0.36887105999999997</v>
      </c>
      <c r="Q25" s="32">
        <f t="shared" ref="Q25" si="5">+K25-E25</f>
        <v>0</v>
      </c>
      <c r="R25" s="32">
        <f t="shared" ref="R25" si="6">+L25-F25</f>
        <v>0</v>
      </c>
      <c r="S25" s="34">
        <f t="shared" ref="S25" si="7">+M25-G25</f>
        <v>-0.36887105999999997</v>
      </c>
      <c r="T25" s="4"/>
      <c r="U25" s="4"/>
      <c r="V25" s="225"/>
    </row>
    <row r="26" spans="1:22" x14ac:dyDescent="0.3">
      <c r="A26" s="36" t="s">
        <v>47</v>
      </c>
      <c r="B26" s="39">
        <v>14388.64808762</v>
      </c>
      <c r="C26" s="39">
        <v>14607.330076959999</v>
      </c>
      <c r="D26" s="39">
        <v>14716.82538425</v>
      </c>
      <c r="E26" s="39">
        <v>6035.48262522</v>
      </c>
      <c r="F26" s="39">
        <v>8790.9751965300002</v>
      </c>
      <c r="G26" s="39">
        <v>1420.95894748</v>
      </c>
      <c r="H26" s="39">
        <f>'Прил. 1.1 - конс.'!X29</f>
        <v>12190.687900870002</v>
      </c>
      <c r="I26" s="39">
        <f>'Прил. 1.1 - конс.'!Y29</f>
        <v>13059.062180590001</v>
      </c>
      <c r="J26" s="39">
        <f>'Прил. 1.1 - конс.'!Z29</f>
        <v>13753.256409129999</v>
      </c>
      <c r="K26" s="39">
        <f>'Прил. 1.1 - конс.'!AA29</f>
        <v>6383.9004146699999</v>
      </c>
      <c r="L26" s="39">
        <f>'Прил. 1.1 - конс.'!AB29</f>
        <v>7972.3454257200001</v>
      </c>
      <c r="M26" s="39">
        <f>'Прил. 1.1 - конс.'!AC29</f>
        <v>604.87511667000001</v>
      </c>
      <c r="N26" s="39">
        <f t="shared" si="1"/>
        <v>-2197.9601867499987</v>
      </c>
      <c r="O26" s="39">
        <f t="shared" si="1"/>
        <v>-1548.2678963699982</v>
      </c>
      <c r="P26" s="39">
        <f>+J26-D26</f>
        <v>-963.56897512000069</v>
      </c>
      <c r="Q26" s="39">
        <f t="shared" si="1"/>
        <v>348.41778944999987</v>
      </c>
      <c r="R26" s="39">
        <f t="shared" si="1"/>
        <v>-818.62977081000008</v>
      </c>
      <c r="S26" s="40">
        <f t="shared" si="1"/>
        <v>-816.08383080999999</v>
      </c>
    </row>
    <row r="27" spans="1:22" s="226" customFormat="1" x14ac:dyDescent="0.3">
      <c r="A27" s="223" t="s">
        <v>48</v>
      </c>
      <c r="B27" s="32">
        <v>13593.65862002</v>
      </c>
      <c r="C27" s="32">
        <v>13593.65577408</v>
      </c>
      <c r="D27" s="32">
        <v>14935.510219530001</v>
      </c>
      <c r="E27" s="32">
        <v>6219.8773795400002</v>
      </c>
      <c r="F27" s="32">
        <v>8793.0207580499991</v>
      </c>
      <c r="G27" s="32">
        <v>1453.20346692</v>
      </c>
      <c r="H27" s="32">
        <f>'Прил. 1.1 - конс.'!X30</f>
        <v>11228.941256489999</v>
      </c>
      <c r="I27" s="32">
        <f>'Прил. 1.1 - конс.'!Y30</f>
        <v>11228.941256489999</v>
      </c>
      <c r="J27" s="32">
        <f>'Прил. 1.1 - конс.'!Z30</f>
        <v>14621.26181779</v>
      </c>
      <c r="K27" s="32">
        <f>'Прил. 1.1 - конс.'!AA30</f>
        <v>6611.6561881000007</v>
      </c>
      <c r="L27" s="32">
        <f>'Прил. 1.1 - конс.'!AB30</f>
        <v>8081.1103461499997</v>
      </c>
      <c r="M27" s="32">
        <f>'Прил. 1.1 - конс.'!AC30</f>
        <v>1136.35983147</v>
      </c>
      <c r="N27" s="32">
        <f t="shared" si="1"/>
        <v>-2364.7173635300005</v>
      </c>
      <c r="O27" s="32">
        <f t="shared" si="1"/>
        <v>-2364.7145175900005</v>
      </c>
      <c r="P27" s="32">
        <f t="shared" si="1"/>
        <v>-314.24840174000019</v>
      </c>
      <c r="Q27" s="32">
        <f t="shared" si="1"/>
        <v>391.77880856000047</v>
      </c>
      <c r="R27" s="32">
        <f t="shared" si="1"/>
        <v>-711.91041189999942</v>
      </c>
      <c r="S27" s="34">
        <f t="shared" si="1"/>
        <v>-316.84363544999997</v>
      </c>
      <c r="U27" s="43"/>
      <c r="V27" s="43"/>
    </row>
    <row r="28" spans="1:22" s="226" customFormat="1" ht="26.4" x14ac:dyDescent="0.3">
      <c r="A28" s="223" t="s">
        <v>49</v>
      </c>
      <c r="B28" s="32">
        <v>1028.2727218099999</v>
      </c>
      <c r="C28" s="32">
        <v>1028.2727218099999</v>
      </c>
      <c r="D28" s="32">
        <v>0</v>
      </c>
      <c r="E28" s="32">
        <v>0</v>
      </c>
      <c r="F28" s="32">
        <v>0</v>
      </c>
      <c r="G28" s="32">
        <v>0</v>
      </c>
      <c r="H28" s="32">
        <f>'Прил. 1.1 - конс.'!X31</f>
        <v>899.71794552999995</v>
      </c>
      <c r="I28" s="32">
        <f>'Прил. 1.1 - конс.'!Y31</f>
        <v>899.70731552999996</v>
      </c>
      <c r="J28" s="32">
        <f>'Прил. 1.1 - конс.'!Z31</f>
        <v>1.0630000000000001E-2</v>
      </c>
      <c r="K28" s="32">
        <f>'Прил. 1.1 - конс.'!AA31</f>
        <v>0</v>
      </c>
      <c r="L28" s="32">
        <f>'Прил. 1.1 - конс.'!AB31</f>
        <v>0</v>
      </c>
      <c r="M28" s="32">
        <f>'Прил. 1.1 - конс.'!AC31</f>
        <v>1.0630000000000001E-2</v>
      </c>
      <c r="N28" s="32">
        <f t="shared" si="1"/>
        <v>-128.55477627999994</v>
      </c>
      <c r="O28" s="32">
        <f t="shared" si="1"/>
        <v>-128.56540627999993</v>
      </c>
      <c r="P28" s="32">
        <f t="shared" si="1"/>
        <v>1.0630000000000001E-2</v>
      </c>
      <c r="Q28" s="32">
        <f t="shared" si="1"/>
        <v>0</v>
      </c>
      <c r="R28" s="32">
        <f t="shared" si="1"/>
        <v>0</v>
      </c>
      <c r="S28" s="34">
        <f t="shared" si="1"/>
        <v>1.0630000000000001E-2</v>
      </c>
      <c r="U28" s="43"/>
      <c r="V28" s="43"/>
    </row>
    <row r="29" spans="1:22" s="224" customFormat="1" ht="26.4" x14ac:dyDescent="0.3">
      <c r="A29" s="223" t="s">
        <v>50</v>
      </c>
      <c r="B29" s="317">
        <v>0.69484900000000005</v>
      </c>
      <c r="C29" s="317">
        <v>0</v>
      </c>
      <c r="D29" s="317">
        <v>0.69484900000000005</v>
      </c>
      <c r="E29" s="317">
        <v>0</v>
      </c>
      <c r="F29" s="317">
        <v>0.57584900000000006</v>
      </c>
      <c r="G29" s="317">
        <v>0.11899999999999999</v>
      </c>
      <c r="H29" s="32">
        <f>'Прил. 1.1 - конс.'!X32</f>
        <v>1.641078</v>
      </c>
      <c r="I29" s="32">
        <f>'Прил. 1.1 - конс.'!Y32</f>
        <v>0</v>
      </c>
      <c r="J29" s="32">
        <f>'Прил. 1.1 - конс.'!Z32</f>
        <v>1.641078</v>
      </c>
      <c r="K29" s="32">
        <f>'Прил. 1.1 - конс.'!AA32</f>
        <v>0</v>
      </c>
      <c r="L29" s="32">
        <f>'Прил. 1.1 - конс.'!AB32</f>
        <v>1.641078</v>
      </c>
      <c r="M29" s="32">
        <f>'Прил. 1.1 - конс.'!AC32</f>
        <v>0</v>
      </c>
      <c r="N29" s="32">
        <f t="shared" si="1"/>
        <v>0.94622899999999999</v>
      </c>
      <c r="O29" s="32">
        <f t="shared" si="1"/>
        <v>0</v>
      </c>
      <c r="P29" s="32">
        <f t="shared" si="1"/>
        <v>0.94622899999999999</v>
      </c>
      <c r="Q29" s="32">
        <f t="shared" si="1"/>
        <v>0</v>
      </c>
      <c r="R29" s="32">
        <f t="shared" si="1"/>
        <v>1.065229</v>
      </c>
      <c r="S29" s="34">
        <f t="shared" si="1"/>
        <v>-0.11899999999999999</v>
      </c>
      <c r="U29" s="3"/>
      <c r="V29" s="3"/>
    </row>
    <row r="30" spans="1:22" x14ac:dyDescent="0.3">
      <c r="A30" s="223" t="s">
        <v>51</v>
      </c>
      <c r="B30" s="32">
        <v>21.060189350000002</v>
      </c>
      <c r="C30" s="32">
        <v>6.3145221999999999</v>
      </c>
      <c r="D30" s="32">
        <v>14.745667149999999</v>
      </c>
      <c r="E30" s="32">
        <v>0.86</v>
      </c>
      <c r="F30" s="32">
        <v>6.7688770999999992</v>
      </c>
      <c r="G30" s="32">
        <v>7.1167900499999996</v>
      </c>
      <c r="H30" s="32">
        <f>'Прил. 1.1 - конс.'!X33</f>
        <v>57.213050869999996</v>
      </c>
      <c r="I30" s="32">
        <f>'Прил. 1.1 - конс.'!Y33</f>
        <v>29.94666848</v>
      </c>
      <c r="J30" s="32">
        <f>'Прил. 1.1 - конс.'!Z33</f>
        <v>27.26638239</v>
      </c>
      <c r="K30" s="32">
        <f>'Прил. 1.1 - конс.'!AA33</f>
        <v>9.0009854000000011</v>
      </c>
      <c r="L30" s="32">
        <f>'Прил. 1.1 - конс.'!AB33</f>
        <v>9.916808060000001</v>
      </c>
      <c r="M30" s="32">
        <f>'Прил. 1.1 - конс.'!AC33</f>
        <v>8.34858893</v>
      </c>
      <c r="N30" s="32">
        <f t="shared" si="1"/>
        <v>36.152861519999995</v>
      </c>
      <c r="O30" s="32">
        <f t="shared" si="1"/>
        <v>23.632146280000001</v>
      </c>
      <c r="P30" s="32">
        <f t="shared" si="1"/>
        <v>12.520715240000001</v>
      </c>
      <c r="Q30" s="32">
        <f t="shared" si="1"/>
        <v>8.1409854000000017</v>
      </c>
      <c r="R30" s="32">
        <f t="shared" si="1"/>
        <v>3.1479309600000018</v>
      </c>
      <c r="S30" s="34">
        <f t="shared" si="1"/>
        <v>1.2317988800000004</v>
      </c>
    </row>
    <row r="31" spans="1:22" ht="92.4" x14ac:dyDescent="0.3">
      <c r="A31" s="223" t="s">
        <v>52</v>
      </c>
      <c r="B31" s="32">
        <v>-74.003118999999998</v>
      </c>
      <c r="C31" s="32">
        <v>-74.003118999999998</v>
      </c>
      <c r="D31" s="32">
        <v>0</v>
      </c>
      <c r="E31" s="32">
        <v>0</v>
      </c>
      <c r="F31" s="32">
        <v>0</v>
      </c>
      <c r="G31" s="32">
        <v>0</v>
      </c>
      <c r="H31" s="32"/>
      <c r="I31" s="32"/>
      <c r="J31" s="32"/>
      <c r="K31" s="32"/>
      <c r="L31" s="32"/>
      <c r="M31" s="32"/>
      <c r="N31" s="58" t="s">
        <v>30</v>
      </c>
      <c r="O31" s="58" t="s">
        <v>30</v>
      </c>
      <c r="P31" s="58" t="s">
        <v>30</v>
      </c>
      <c r="Q31" s="58" t="s">
        <v>30</v>
      </c>
      <c r="R31" s="58" t="s">
        <v>30</v>
      </c>
      <c r="S31" s="53" t="s">
        <v>30</v>
      </c>
    </row>
    <row r="32" spans="1:22" ht="13.2" customHeight="1" x14ac:dyDescent="0.3">
      <c r="A32" s="223" t="s">
        <v>274</v>
      </c>
      <c r="B32" s="32">
        <v>22.02148145</v>
      </c>
      <c r="C32" s="32">
        <v>256.14683287999998</v>
      </c>
      <c r="D32" s="32">
        <v>6.6582870499999967</v>
      </c>
      <c r="E32" s="32">
        <v>5.8661187400000001</v>
      </c>
      <c r="F32" s="32">
        <v>40.272477799999997</v>
      </c>
      <c r="G32" s="32">
        <v>0.42039831999999999</v>
      </c>
      <c r="H32" s="32">
        <f>'Прил. 1.1 - конс.'!X35</f>
        <v>60.659943509999998</v>
      </c>
      <c r="I32" s="32">
        <f>'Прил. 1.1 - конс.'!Y35</f>
        <v>957.95231362000004</v>
      </c>
      <c r="J32" s="32">
        <f>'Прил. 1.1 - конс.'!Z35</f>
        <v>26.071856260000022</v>
      </c>
      <c r="K32" s="32">
        <f>'Прил. 1.1 - конс.'!AA35</f>
        <v>3.2714952300000002</v>
      </c>
      <c r="L32" s="32">
        <f>'Прил. 1.1 - конс.'!AB35</f>
        <v>562.64429475999998</v>
      </c>
      <c r="M32" s="32">
        <f>'Прил. 1.1 - конс.'!AC35</f>
        <v>21.291501520000001</v>
      </c>
      <c r="N32" s="32">
        <f t="shared" si="1"/>
        <v>38.638462059999995</v>
      </c>
      <c r="O32" s="32">
        <f t="shared" si="1"/>
        <v>701.80548074000012</v>
      </c>
      <c r="P32" s="32">
        <f t="shared" si="1"/>
        <v>19.413569210000027</v>
      </c>
      <c r="Q32" s="32">
        <f t="shared" si="1"/>
        <v>-2.5946235099999999</v>
      </c>
      <c r="R32" s="32">
        <f t="shared" si="1"/>
        <v>522.37181695999993</v>
      </c>
      <c r="S32" s="34">
        <f t="shared" si="1"/>
        <v>20.8711032</v>
      </c>
      <c r="U32" s="227"/>
      <c r="V32" s="227"/>
    </row>
    <row r="33" spans="1:22" s="228" customFormat="1" ht="13.8" x14ac:dyDescent="0.3">
      <c r="A33" s="223" t="s">
        <v>275</v>
      </c>
      <c r="B33" s="32">
        <v>-203.05665500999999</v>
      </c>
      <c r="C33" s="32">
        <v>-203.05665500999999</v>
      </c>
      <c r="D33" s="32">
        <v>-240.78363848000001</v>
      </c>
      <c r="E33" s="32">
        <v>-191.12087306000001</v>
      </c>
      <c r="F33" s="32">
        <v>-49.662765419999999</v>
      </c>
      <c r="G33" s="32">
        <v>-39.90070781</v>
      </c>
      <c r="H33" s="32">
        <f>'Прил. 1.1 - конс.'!X36</f>
        <v>-57.485373530000004</v>
      </c>
      <c r="I33" s="32">
        <f>'Прил. 1.1 - конс.'!Y36</f>
        <v>-57.485373530000004</v>
      </c>
      <c r="J33" s="32">
        <f>'Прил. 1.1 - конс.'!Z36</f>
        <v>-922.99535530999992</v>
      </c>
      <c r="K33" s="32">
        <f>'Прил. 1.1 - конс.'!AA36</f>
        <v>-240.02825405999999</v>
      </c>
      <c r="L33" s="32">
        <f>'Прил. 1.1 - конс.'!AB36</f>
        <v>-682.96710125000004</v>
      </c>
      <c r="M33" s="32">
        <f>'Прил. 1.1 - конс.'!AC36</f>
        <v>-561.13543525</v>
      </c>
      <c r="N33" s="32">
        <f t="shared" si="1"/>
        <v>145.57128147999998</v>
      </c>
      <c r="O33" s="32">
        <f t="shared" si="1"/>
        <v>145.57128147999998</v>
      </c>
      <c r="P33" s="32">
        <f t="shared" si="1"/>
        <v>-682.21171682999989</v>
      </c>
      <c r="Q33" s="32">
        <f t="shared" si="1"/>
        <v>-48.907380999999987</v>
      </c>
      <c r="R33" s="32">
        <f t="shared" si="1"/>
        <v>-633.30433583000001</v>
      </c>
      <c r="S33" s="34">
        <f t="shared" si="1"/>
        <v>-521.23472744000003</v>
      </c>
      <c r="U33" s="3"/>
      <c r="V33" s="3"/>
    </row>
    <row r="34" spans="1:22" ht="14.4" customHeight="1" thickBot="1" x14ac:dyDescent="0.35">
      <c r="A34" s="230" t="s">
        <v>53</v>
      </c>
      <c r="B34" s="231">
        <v>56928.836023210002</v>
      </c>
      <c r="C34" s="231">
        <v>48042.320766550001</v>
      </c>
      <c r="D34" s="231">
        <v>23822.06621325</v>
      </c>
      <c r="E34" s="231">
        <v>12729.253563279999</v>
      </c>
      <c r="F34" s="231">
        <v>10327.248834380001</v>
      </c>
      <c r="G34" s="231">
        <v>2296.1552005699996</v>
      </c>
      <c r="H34" s="231">
        <f>'Прил. 1.1 - конс.'!X37</f>
        <v>53483.177544589998</v>
      </c>
      <c r="I34" s="231">
        <f>'Прил. 1.1 - конс.'!Y37</f>
        <v>45219.909611000003</v>
      </c>
      <c r="J34" s="231">
        <f>'Прил. 1.1 - конс.'!Z37</f>
        <v>22884.529751379996</v>
      </c>
      <c r="K34" s="231">
        <f>'Прил. 1.1 - конс.'!AA37</f>
        <v>13071.763984650002</v>
      </c>
      <c r="L34" s="231">
        <f>'Прил. 1.1 - конс.'!AB37</f>
        <v>9831.7252777400008</v>
      </c>
      <c r="M34" s="231">
        <f>'Прил. 1.1 - конс.'!AC37</f>
        <v>1188.9050369200002</v>
      </c>
      <c r="N34" s="232">
        <f t="shared" si="1"/>
        <v>-3445.6584786200037</v>
      </c>
      <c r="O34" s="232">
        <f t="shared" si="1"/>
        <v>-2822.4111555499985</v>
      </c>
      <c r="P34" s="232">
        <f t="shared" si="1"/>
        <v>-937.53646187000413</v>
      </c>
      <c r="Q34" s="232">
        <f t="shared" si="1"/>
        <v>342.51042137000331</v>
      </c>
      <c r="R34" s="232">
        <f t="shared" si="1"/>
        <v>-495.52355664000061</v>
      </c>
      <c r="S34" s="233">
        <f t="shared" si="1"/>
        <v>-1107.2501636499994</v>
      </c>
    </row>
    <row r="35" spans="1:22" ht="13.8" thickTop="1" x14ac:dyDescent="0.3"/>
  </sheetData>
  <mergeCells count="21">
    <mergeCell ref="Q1:S1"/>
    <mergeCell ref="A2:S2"/>
    <mergeCell ref="A4:A7"/>
    <mergeCell ref="B4:G4"/>
    <mergeCell ref="H4:M4"/>
    <mergeCell ref="N4:S4"/>
    <mergeCell ref="B5:B7"/>
    <mergeCell ref="C5:G5"/>
    <mergeCell ref="H5:H7"/>
    <mergeCell ref="I5:M5"/>
    <mergeCell ref="N5:N7"/>
    <mergeCell ref="O5:S5"/>
    <mergeCell ref="C6:C7"/>
    <mergeCell ref="D6:D7"/>
    <mergeCell ref="E6:G6"/>
    <mergeCell ref="I6:I7"/>
    <mergeCell ref="J6:J7"/>
    <mergeCell ref="K6:M6"/>
    <mergeCell ref="O6:O7"/>
    <mergeCell ref="P6:P7"/>
    <mergeCell ref="Q6:S6"/>
  </mergeCells>
  <printOptions horizontalCentered="1"/>
  <pageMargins left="0" right="0" top="0.94488188976377963" bottom="0.74803149606299213" header="0.70866141732283472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zoomScaleNormal="100" workbookViewId="0">
      <pane xSplit="1" ySplit="9" topLeftCell="J10" activePane="bottomRight" state="frozen"/>
      <selection pane="topRight" activeCell="B1" sqref="B1"/>
      <selection pane="bottomLeft" activeCell="A10" sqref="A10"/>
      <selection pane="bottomRight" activeCell="S54" sqref="S54"/>
    </sheetView>
  </sheetViews>
  <sheetFormatPr defaultColWidth="9.109375" defaultRowHeight="13.2" x14ac:dyDescent="0.3"/>
  <cols>
    <col min="1" max="1" width="56.6640625" style="188" customWidth="1"/>
    <col min="2" max="4" width="9.109375" style="211"/>
    <col min="5" max="6" width="8.6640625" style="211" bestFit="1" customWidth="1"/>
    <col min="7" max="7" width="7.88671875" style="211" customWidth="1"/>
    <col min="8" max="8" width="9.109375" style="211" customWidth="1"/>
    <col min="9" max="9" width="9" style="211" customWidth="1"/>
    <col min="10" max="10" width="9.33203125" style="211" customWidth="1"/>
    <col min="11" max="11" width="8.6640625" style="211" bestFit="1" customWidth="1"/>
    <col min="12" max="12" width="7.6640625" style="211" customWidth="1"/>
    <col min="13" max="13" width="7.88671875" style="211" customWidth="1"/>
    <col min="14" max="14" width="9.109375" style="211"/>
    <col min="15" max="15" width="8.5546875" style="211" customWidth="1"/>
    <col min="16" max="16" width="9.109375" style="211"/>
    <col min="17" max="17" width="7.109375" style="211" customWidth="1"/>
    <col min="18" max="18" width="6.88671875" style="211" customWidth="1"/>
    <col min="19" max="19" width="7.21875" style="211" customWidth="1"/>
    <col min="20" max="22" width="0" style="211" hidden="1" customWidth="1"/>
    <col min="23" max="16384" width="9.109375" style="211"/>
  </cols>
  <sheetData>
    <row r="1" spans="1:21" s="188" customFormat="1" x14ac:dyDescent="0.3">
      <c r="P1" s="399" t="s">
        <v>336</v>
      </c>
      <c r="Q1" s="399"/>
      <c r="R1" s="399"/>
      <c r="S1" s="399"/>
    </row>
    <row r="2" spans="1:21" s="188" customFormat="1" ht="15.75" customHeight="1" x14ac:dyDescent="0.3">
      <c r="A2" s="398" t="s">
        <v>262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</row>
    <row r="3" spans="1:21" s="188" customFormat="1" ht="13.8" thickBot="1" x14ac:dyDescent="0.35"/>
    <row r="4" spans="1:21" s="188" customFormat="1" ht="13.5" customHeight="1" thickTop="1" x14ac:dyDescent="0.3">
      <c r="A4" s="382" t="s">
        <v>0</v>
      </c>
      <c r="B4" s="384" t="s">
        <v>261</v>
      </c>
      <c r="C4" s="384"/>
      <c r="D4" s="384"/>
      <c r="E4" s="384"/>
      <c r="F4" s="384"/>
      <c r="G4" s="384"/>
      <c r="H4" s="384" t="s">
        <v>263</v>
      </c>
      <c r="I4" s="384"/>
      <c r="J4" s="384"/>
      <c r="K4" s="384"/>
      <c r="L4" s="384"/>
      <c r="M4" s="384"/>
      <c r="N4" s="384" t="s">
        <v>222</v>
      </c>
      <c r="O4" s="384"/>
      <c r="P4" s="384"/>
      <c r="Q4" s="384"/>
      <c r="R4" s="384"/>
      <c r="S4" s="385"/>
    </row>
    <row r="5" spans="1:21" s="188" customFormat="1" ht="12.75" customHeight="1" x14ac:dyDescent="0.3">
      <c r="A5" s="383"/>
      <c r="B5" s="380" t="s">
        <v>2</v>
      </c>
      <c r="C5" s="387" t="s">
        <v>4</v>
      </c>
      <c r="D5" s="387"/>
      <c r="E5" s="387"/>
      <c r="F5" s="387"/>
      <c r="G5" s="387"/>
      <c r="H5" s="380" t="s">
        <v>2</v>
      </c>
      <c r="I5" s="387" t="s">
        <v>4</v>
      </c>
      <c r="J5" s="387"/>
      <c r="K5" s="387"/>
      <c r="L5" s="387"/>
      <c r="M5" s="387"/>
      <c r="N5" s="380" t="s">
        <v>2</v>
      </c>
      <c r="O5" s="387" t="s">
        <v>4</v>
      </c>
      <c r="P5" s="387"/>
      <c r="Q5" s="387"/>
      <c r="R5" s="387"/>
      <c r="S5" s="388"/>
    </row>
    <row r="6" spans="1:21" s="188" customFormat="1" ht="12.75" customHeight="1" x14ac:dyDescent="0.3">
      <c r="A6" s="383"/>
      <c r="B6" s="380"/>
      <c r="C6" s="380" t="s">
        <v>6</v>
      </c>
      <c r="D6" s="380" t="s">
        <v>7</v>
      </c>
      <c r="E6" s="387" t="s">
        <v>8</v>
      </c>
      <c r="F6" s="387"/>
      <c r="G6" s="387"/>
      <c r="H6" s="380"/>
      <c r="I6" s="380" t="s">
        <v>6</v>
      </c>
      <c r="J6" s="380" t="s">
        <v>7</v>
      </c>
      <c r="K6" s="387" t="s">
        <v>8</v>
      </c>
      <c r="L6" s="387"/>
      <c r="M6" s="387"/>
      <c r="N6" s="380"/>
      <c r="O6" s="391" t="s">
        <v>6</v>
      </c>
      <c r="P6" s="391" t="s">
        <v>7</v>
      </c>
      <c r="Q6" s="400" t="s">
        <v>8</v>
      </c>
      <c r="R6" s="400"/>
      <c r="S6" s="401"/>
    </row>
    <row r="7" spans="1:21" s="188" customFormat="1" ht="54.75" customHeight="1" x14ac:dyDescent="0.3">
      <c r="A7" s="383"/>
      <c r="B7" s="380"/>
      <c r="C7" s="380"/>
      <c r="D7" s="380"/>
      <c r="E7" s="236" t="s">
        <v>9</v>
      </c>
      <c r="F7" s="236" t="s">
        <v>10</v>
      </c>
      <c r="G7" s="236" t="s">
        <v>11</v>
      </c>
      <c r="H7" s="380"/>
      <c r="I7" s="380"/>
      <c r="J7" s="380"/>
      <c r="K7" s="236" t="s">
        <v>9</v>
      </c>
      <c r="L7" s="236" t="s">
        <v>10</v>
      </c>
      <c r="M7" s="236" t="s">
        <v>11</v>
      </c>
      <c r="N7" s="380"/>
      <c r="O7" s="391"/>
      <c r="P7" s="391"/>
      <c r="Q7" s="237" t="s">
        <v>9</v>
      </c>
      <c r="R7" s="237" t="s">
        <v>10</v>
      </c>
      <c r="S7" s="238" t="s">
        <v>12</v>
      </c>
    </row>
    <row r="8" spans="1:21" s="246" customFormat="1" ht="10.199999999999999" x14ac:dyDescent="0.3">
      <c r="A8" s="247" t="s">
        <v>13</v>
      </c>
      <c r="B8" s="248" t="s">
        <v>17</v>
      </c>
      <c r="C8" s="248" t="s">
        <v>18</v>
      </c>
      <c r="D8" s="248" t="s">
        <v>19</v>
      </c>
      <c r="E8" s="249">
        <v>10</v>
      </c>
      <c r="F8" s="249">
        <v>11</v>
      </c>
      <c r="G8" s="249">
        <v>12</v>
      </c>
      <c r="H8" s="248" t="s">
        <v>14</v>
      </c>
      <c r="I8" s="248" t="s">
        <v>15</v>
      </c>
      <c r="J8" s="248" t="s">
        <v>16</v>
      </c>
      <c r="K8" s="249">
        <v>4</v>
      </c>
      <c r="L8" s="249">
        <v>5</v>
      </c>
      <c r="M8" s="249">
        <v>6</v>
      </c>
      <c r="N8" s="248" t="s">
        <v>223</v>
      </c>
      <c r="O8" s="248" t="s">
        <v>224</v>
      </c>
      <c r="P8" s="248" t="s">
        <v>225</v>
      </c>
      <c r="Q8" s="249" t="s">
        <v>226</v>
      </c>
      <c r="R8" s="249" t="s">
        <v>227</v>
      </c>
      <c r="S8" s="250" t="s">
        <v>228</v>
      </c>
    </row>
    <row r="9" spans="1:21" s="188" customFormat="1" x14ac:dyDescent="0.3">
      <c r="A9" s="99" t="s">
        <v>58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2"/>
    </row>
    <row r="10" spans="1:21" s="212" customFormat="1" x14ac:dyDescent="0.3">
      <c r="A10" s="99" t="s">
        <v>60</v>
      </c>
      <c r="B10" s="253">
        <v>3703.82678859</v>
      </c>
      <c r="C10" s="253">
        <v>1519.23565983</v>
      </c>
      <c r="D10" s="253">
        <v>2249.9358179299998</v>
      </c>
      <c r="E10" s="253">
        <v>993.13537752000002</v>
      </c>
      <c r="F10" s="253">
        <v>773.27473899999995</v>
      </c>
      <c r="G10" s="253">
        <v>533.86659333</v>
      </c>
      <c r="H10" s="253">
        <f>'Прил. 1.1 - конс.'!X50</f>
        <v>3680.0814854499999</v>
      </c>
      <c r="I10" s="253">
        <f>'Прил. 1.1 - конс.'!Y50</f>
        <v>1529.7506977999999</v>
      </c>
      <c r="J10" s="253">
        <f>'Прил. 1.1 - конс.'!Z50</f>
        <v>2229.88183123</v>
      </c>
      <c r="K10" s="253">
        <f>'Прил. 1.1 - конс.'!AA50</f>
        <v>976.27007159000004</v>
      </c>
      <c r="L10" s="253">
        <f>'Прил. 1.1 - конс.'!AB50</f>
        <v>832.36045086000001</v>
      </c>
      <c r="M10" s="253">
        <f>'Прил. 1.1 - конс.'!AC50</f>
        <v>462.47849654000004</v>
      </c>
      <c r="N10" s="253">
        <f>H10-B10</f>
        <v>-23.745303140000033</v>
      </c>
      <c r="O10" s="253">
        <f t="shared" ref="O10:S10" si="0">I10-C10</f>
        <v>10.515037969999867</v>
      </c>
      <c r="P10" s="253">
        <f t="shared" si="0"/>
        <v>-20.053986699999768</v>
      </c>
      <c r="Q10" s="253">
        <f t="shared" si="0"/>
        <v>-16.865305929999977</v>
      </c>
      <c r="R10" s="253">
        <f t="shared" si="0"/>
        <v>59.08571186000006</v>
      </c>
      <c r="S10" s="254">
        <f t="shared" si="0"/>
        <v>-71.388096789999963</v>
      </c>
      <c r="T10" s="212">
        <f>H10/$H$52%</f>
        <v>6.2754046431532879</v>
      </c>
      <c r="U10" s="212">
        <f>J10/$J$52%</f>
        <v>9.2861966676995831</v>
      </c>
    </row>
    <row r="11" spans="1:21" s="212" customFormat="1" x14ac:dyDescent="0.3">
      <c r="A11" s="99" t="s">
        <v>62</v>
      </c>
      <c r="B11" s="253">
        <v>19.476929920000003</v>
      </c>
      <c r="C11" s="253">
        <v>24.00853425</v>
      </c>
      <c r="D11" s="253">
        <v>19.476929920000003</v>
      </c>
      <c r="E11" s="253">
        <v>3.78966446</v>
      </c>
      <c r="F11" s="253">
        <v>20.184971999999998</v>
      </c>
      <c r="G11" s="253">
        <v>15.681265460000001</v>
      </c>
      <c r="H11" s="253">
        <f>'Прил. 1.1 - конс.'!X52</f>
        <v>20.922734649999999</v>
      </c>
      <c r="I11" s="253">
        <f>'Прил. 1.1 - конс.'!Y52</f>
        <v>24.100813500000001</v>
      </c>
      <c r="J11" s="253">
        <f>'Прил. 1.1 - конс.'!Z52</f>
        <v>20.922734650000002</v>
      </c>
      <c r="K11" s="253">
        <f>'Прил. 1.1 - конс.'!AA52</f>
        <v>4.0983419799999998</v>
      </c>
      <c r="L11" s="253">
        <f>'Прил. 1.1 - конс.'!AB52</f>
        <v>20.00247152</v>
      </c>
      <c r="M11" s="253">
        <f>'Прил. 1.1 - конс.'!AC52</f>
        <v>16.824392670000002</v>
      </c>
      <c r="N11" s="253">
        <f t="shared" ref="N11:N50" si="1">H11-B11</f>
        <v>1.4458047299999954</v>
      </c>
      <c r="O11" s="253">
        <f t="shared" ref="O11:O51" si="2">I11-C11</f>
        <v>9.2279250000000701E-2</v>
      </c>
      <c r="P11" s="253">
        <f t="shared" ref="P11:P50" si="3">J11-D11</f>
        <v>1.445804729999999</v>
      </c>
      <c r="Q11" s="253">
        <f t="shared" ref="Q11:Q51" si="4">K11-E11</f>
        <v>0.30867751999999982</v>
      </c>
      <c r="R11" s="253">
        <f t="shared" ref="R11:R51" si="5">L11-F11</f>
        <v>-0.18250047999999808</v>
      </c>
      <c r="S11" s="254">
        <f t="shared" ref="S11:S51" si="6">M11-G11</f>
        <v>1.1431272100000012</v>
      </c>
      <c r="T11" s="212">
        <f>H11/$H$52%</f>
        <v>3.5678184488357599E-2</v>
      </c>
      <c r="U11" s="212">
        <f>J11/$J$52%</f>
        <v>8.7131356498304252E-2</v>
      </c>
    </row>
    <row r="12" spans="1:21" s="212" customFormat="1" ht="26.4" x14ac:dyDescent="0.3">
      <c r="A12" s="99" t="s">
        <v>63</v>
      </c>
      <c r="B12" s="253">
        <v>891.89669655</v>
      </c>
      <c r="C12" s="253">
        <v>780.44413859000008</v>
      </c>
      <c r="D12" s="253">
        <v>111.68255796000001</v>
      </c>
      <c r="E12" s="253">
        <v>89.223157870000009</v>
      </c>
      <c r="F12" s="253">
        <v>9.2446148299999997</v>
      </c>
      <c r="G12" s="253">
        <v>16.38774386</v>
      </c>
      <c r="H12" s="253">
        <f>'Прил. 1.1 - конс.'!X54</f>
        <v>900.71921529999997</v>
      </c>
      <c r="I12" s="253">
        <f>'Прил. 1.1 - конс.'!Y54</f>
        <v>789.48179663999997</v>
      </c>
      <c r="J12" s="253">
        <f>'Прил. 1.1 - конс.'!Z54</f>
        <v>117.53461465999999</v>
      </c>
      <c r="K12" s="253">
        <f>'Прил. 1.1 - конс.'!AA54</f>
        <v>92.384980749999997</v>
      </c>
      <c r="L12" s="253">
        <f>'Прил. 1.1 - конс.'!AB54</f>
        <v>15.26657808</v>
      </c>
      <c r="M12" s="253">
        <f>'Прил. 1.1 - конс.'!AC54</f>
        <v>13.297113980000001</v>
      </c>
      <c r="N12" s="253">
        <f t="shared" si="1"/>
        <v>8.822518749999972</v>
      </c>
      <c r="O12" s="253">
        <f t="shared" si="2"/>
        <v>9.0376580499998909</v>
      </c>
      <c r="P12" s="253">
        <f t="shared" si="3"/>
        <v>5.8520566999999772</v>
      </c>
      <c r="Q12" s="253">
        <f t="shared" si="4"/>
        <v>3.1618228799999883</v>
      </c>
      <c r="R12" s="253">
        <f t="shared" si="5"/>
        <v>6.0219632500000007</v>
      </c>
      <c r="S12" s="254">
        <f t="shared" si="6"/>
        <v>-3.0906298799999998</v>
      </c>
      <c r="T12" s="212">
        <f>H12/$H$52%</f>
        <v>1.5359381492553648</v>
      </c>
      <c r="U12" s="212">
        <f>J12/$J$52%</f>
        <v>0.48946519573775099</v>
      </c>
    </row>
    <row r="13" spans="1:21" s="212" customFormat="1" x14ac:dyDescent="0.3">
      <c r="A13" s="99" t="s">
        <v>64</v>
      </c>
      <c r="B13" s="253">
        <v>6739.3316746800001</v>
      </c>
      <c r="C13" s="253">
        <v>5507.4652965699997</v>
      </c>
      <c r="D13" s="253">
        <v>1473.90153433</v>
      </c>
      <c r="E13" s="253">
        <v>1178.1914745899999</v>
      </c>
      <c r="F13" s="253">
        <v>151.13614763999999</v>
      </c>
      <c r="G13" s="253">
        <v>206.305939</v>
      </c>
      <c r="H13" s="253">
        <f>'Прил. 1.1 - конс.'!X56</f>
        <v>7986.70340201</v>
      </c>
      <c r="I13" s="253">
        <f>'Прил. 1.1 - конс.'!Y56</f>
        <v>6882.12060363</v>
      </c>
      <c r="J13" s="253">
        <f>'Прил. 1.1 - конс.'!Z56</f>
        <v>1555.10478362</v>
      </c>
      <c r="K13" s="253">
        <f>'Прил. 1.1 - конс.'!AA56</f>
        <v>1217.9981241500002</v>
      </c>
      <c r="L13" s="253">
        <f>'Прил. 1.1 - конс.'!AB56</f>
        <v>262.05419560000001</v>
      </c>
      <c r="M13" s="253">
        <f>'Прил. 1.1 - конс.'!AC56</f>
        <v>188.07843444</v>
      </c>
      <c r="N13" s="253">
        <f t="shared" si="1"/>
        <v>1247.3717273299999</v>
      </c>
      <c r="O13" s="253">
        <f t="shared" si="2"/>
        <v>1374.6553070600003</v>
      </c>
      <c r="P13" s="253">
        <f t="shared" si="3"/>
        <v>81.203249290000031</v>
      </c>
      <c r="Q13" s="253">
        <f t="shared" si="4"/>
        <v>39.806649560000324</v>
      </c>
      <c r="R13" s="253">
        <f t="shared" si="5"/>
        <v>110.91804796000002</v>
      </c>
      <c r="S13" s="254">
        <f t="shared" si="6"/>
        <v>-18.22750456</v>
      </c>
      <c r="T13" s="212">
        <f>H13/$H$52%</f>
        <v>13.619208110097887</v>
      </c>
      <c r="U13" s="212">
        <f>J13/$J$52%</f>
        <v>6.4761318996038835</v>
      </c>
    </row>
    <row r="14" spans="1:21" s="286" customFormat="1" hidden="1" x14ac:dyDescent="0.3">
      <c r="A14" s="103" t="s">
        <v>65</v>
      </c>
      <c r="B14" s="284">
        <v>396.56382610000003</v>
      </c>
      <c r="C14" s="284">
        <v>396.45864073000001</v>
      </c>
      <c r="D14" s="284">
        <v>0.10518537</v>
      </c>
      <c r="E14" s="284">
        <v>0</v>
      </c>
      <c r="F14" s="284">
        <v>0.05</v>
      </c>
      <c r="G14" s="284">
        <v>5.5185370000000004E-2</v>
      </c>
      <c r="H14" s="284">
        <f>'Прил. 1.1 - конс.'!X58</f>
        <v>395.40833282</v>
      </c>
      <c r="I14" s="284">
        <f>'Прил. 1.1 - конс.'!Y58</f>
        <v>395.32245358</v>
      </c>
      <c r="J14" s="284">
        <f>'Прил. 1.1 - конс.'!Z58</f>
        <v>8.5879239999999996E-2</v>
      </c>
      <c r="K14" s="284">
        <f>'Прил. 1.1 - конс.'!AA58</f>
        <v>0</v>
      </c>
      <c r="L14" s="284">
        <f>'Прил. 1.1 - конс.'!AB58</f>
        <v>0.05</v>
      </c>
      <c r="M14" s="284">
        <f>'Прил. 1.1 - конс.'!AC58</f>
        <v>3.587924E-2</v>
      </c>
      <c r="N14" s="284">
        <f t="shared" ref="N14:N22" si="7">H14-B14</f>
        <v>-1.1554932800000302</v>
      </c>
      <c r="O14" s="284">
        <f t="shared" ref="O14:O22" si="8">I14-C14</f>
        <v>-1.136187150000012</v>
      </c>
      <c r="P14" s="284">
        <f t="shared" ref="P14:P22" si="9">J14-D14</f>
        <v>-1.9306130000000005E-2</v>
      </c>
      <c r="Q14" s="284">
        <f t="shared" ref="Q14:Q22" si="10">K14-E14</f>
        <v>0</v>
      </c>
      <c r="R14" s="284">
        <f t="shared" ref="R14:R22" si="11">L14-F14</f>
        <v>0</v>
      </c>
      <c r="S14" s="285">
        <f t="shared" ref="S14:S22" si="12">M14-G14</f>
        <v>-1.9306130000000005E-2</v>
      </c>
    </row>
    <row r="15" spans="1:21" s="286" customFormat="1" hidden="1" x14ac:dyDescent="0.3">
      <c r="A15" s="103" t="s">
        <v>66</v>
      </c>
      <c r="B15" s="284">
        <v>42.839511359999996</v>
      </c>
      <c r="C15" s="284">
        <v>45.418944570000001</v>
      </c>
      <c r="D15" s="284">
        <v>2.2970887900000001</v>
      </c>
      <c r="E15" s="284">
        <v>1.08067303</v>
      </c>
      <c r="F15" s="284">
        <v>0.1</v>
      </c>
      <c r="G15" s="284">
        <v>1.11641576</v>
      </c>
      <c r="H15" s="284">
        <f>'Прил. 1.1 - конс.'!X59</f>
        <v>45.043943799999994</v>
      </c>
      <c r="I15" s="284">
        <f>'Прил. 1.1 - конс.'!Y59</f>
        <v>41.617313709999998</v>
      </c>
      <c r="J15" s="284">
        <f>'Прил. 1.1 - конс.'!Z59</f>
        <v>3.4266300899999997</v>
      </c>
      <c r="K15" s="284">
        <f>'Прил. 1.1 - конс.'!AA59</f>
        <v>0.52710000000000001</v>
      </c>
      <c r="L15" s="284">
        <f>'Прил. 1.1 - конс.'!AB59</f>
        <v>2.5752870200000002</v>
      </c>
      <c r="M15" s="284">
        <f>'Прил. 1.1 - конс.'!AC59</f>
        <v>0.32424307000000002</v>
      </c>
      <c r="N15" s="284">
        <f t="shared" si="7"/>
        <v>2.2044324399999979</v>
      </c>
      <c r="O15" s="284">
        <f t="shared" si="8"/>
        <v>-3.8016308600000031</v>
      </c>
      <c r="P15" s="284">
        <f t="shared" si="9"/>
        <v>1.1295412999999996</v>
      </c>
      <c r="Q15" s="284">
        <f t="shared" si="10"/>
        <v>-0.55357303000000002</v>
      </c>
      <c r="R15" s="284">
        <f t="shared" si="11"/>
        <v>2.4752870200000001</v>
      </c>
      <c r="S15" s="285">
        <f t="shared" si="12"/>
        <v>-0.7921726899999999</v>
      </c>
    </row>
    <row r="16" spans="1:21" s="286" customFormat="1" hidden="1" x14ac:dyDescent="0.3">
      <c r="A16" s="103" t="s">
        <v>68</v>
      </c>
      <c r="B16" s="284">
        <v>886.96239463999996</v>
      </c>
      <c r="C16" s="284">
        <v>879.71353497000007</v>
      </c>
      <c r="D16" s="284">
        <v>7.4442596700000001</v>
      </c>
      <c r="E16" s="284">
        <v>0</v>
      </c>
      <c r="F16" s="284">
        <v>7.4442596700000001</v>
      </c>
      <c r="G16" s="284">
        <v>0</v>
      </c>
      <c r="H16" s="284">
        <f>'Прил. 1.1 - конс.'!X61</f>
        <v>905.87698286</v>
      </c>
      <c r="I16" s="284">
        <f>'Прил. 1.1 - конс.'!Y61</f>
        <v>897.24219157000005</v>
      </c>
      <c r="J16" s="284">
        <f>'Прил. 1.1 - конс.'!Z61</f>
        <v>8.634791289999999</v>
      </c>
      <c r="K16" s="284">
        <f>'Прил. 1.1 - конс.'!AA61</f>
        <v>0</v>
      </c>
      <c r="L16" s="284">
        <f>'Прил. 1.1 - конс.'!AB61</f>
        <v>8.6057912899999991</v>
      </c>
      <c r="M16" s="284">
        <f>'Прил. 1.1 - конс.'!AC61</f>
        <v>2.9000000000000001E-2</v>
      </c>
      <c r="N16" s="284">
        <f t="shared" si="7"/>
        <v>18.914588220000041</v>
      </c>
      <c r="O16" s="284">
        <f t="shared" si="8"/>
        <v>17.528656599999977</v>
      </c>
      <c r="P16" s="284">
        <f t="shared" si="9"/>
        <v>1.1905316199999989</v>
      </c>
      <c r="Q16" s="284">
        <f t="shared" si="10"/>
        <v>0</v>
      </c>
      <c r="R16" s="284">
        <f t="shared" si="11"/>
        <v>1.161531619999999</v>
      </c>
      <c r="S16" s="285">
        <f t="shared" si="12"/>
        <v>2.9000000000000001E-2</v>
      </c>
    </row>
    <row r="17" spans="1:21" s="286" customFormat="1" hidden="1" x14ac:dyDescent="0.3">
      <c r="A17" s="103" t="s">
        <v>69</v>
      </c>
      <c r="B17" s="284">
        <v>28.765642420000002</v>
      </c>
      <c r="C17" s="284">
        <v>22.178126129999999</v>
      </c>
      <c r="D17" s="284">
        <v>9.6715162899999996</v>
      </c>
      <c r="E17" s="284">
        <v>0</v>
      </c>
      <c r="F17" s="284">
        <v>9.6515162899999982</v>
      </c>
      <c r="G17" s="284">
        <v>9.6714380000000002</v>
      </c>
      <c r="H17" s="284">
        <f>'Прил. 1.1 - конс.'!X63</f>
        <v>4.2527792699999996</v>
      </c>
      <c r="I17" s="284">
        <f>'Прил. 1.1 - конс.'!Y63</f>
        <v>1.42639323</v>
      </c>
      <c r="J17" s="284">
        <f>'Прил. 1.1 - конс.'!Z63</f>
        <v>2.82638604</v>
      </c>
      <c r="K17" s="284">
        <f>'Прил. 1.1 - конс.'!AA63</f>
        <v>0</v>
      </c>
      <c r="L17" s="284">
        <f>'Прил. 1.1 - конс.'!AB63</f>
        <v>4.6386040000000003E-2</v>
      </c>
      <c r="M17" s="284">
        <f>'Прил. 1.1 - конс.'!AC63</f>
        <v>2.78</v>
      </c>
      <c r="N17" s="284">
        <f t="shared" si="7"/>
        <v>-24.512863150000001</v>
      </c>
      <c r="O17" s="284">
        <f t="shared" si="8"/>
        <v>-20.7517329</v>
      </c>
      <c r="P17" s="284">
        <f t="shared" si="9"/>
        <v>-6.8451302499999995</v>
      </c>
      <c r="Q17" s="284">
        <f t="shared" si="10"/>
        <v>0</v>
      </c>
      <c r="R17" s="284">
        <f t="shared" si="11"/>
        <v>-9.6051302499999984</v>
      </c>
      <c r="S17" s="285">
        <f t="shared" si="12"/>
        <v>-6.8914380000000008</v>
      </c>
    </row>
    <row r="18" spans="1:21" s="286" customFormat="1" hidden="1" x14ac:dyDescent="0.3">
      <c r="A18" s="103" t="s">
        <v>70</v>
      </c>
      <c r="B18" s="284">
        <v>574.93624784999997</v>
      </c>
      <c r="C18" s="284">
        <v>574.73624785000004</v>
      </c>
      <c r="D18" s="284">
        <v>0.2</v>
      </c>
      <c r="E18" s="284">
        <v>0</v>
      </c>
      <c r="F18" s="284">
        <v>0</v>
      </c>
      <c r="G18" s="284">
        <v>0.2</v>
      </c>
      <c r="H18" s="284">
        <f>'Прил. 1.1 - конс.'!X65</f>
        <v>619.17615732000002</v>
      </c>
      <c r="I18" s="284">
        <f>'Прил. 1.1 - конс.'!Y65</f>
        <v>619.17615732000002</v>
      </c>
      <c r="J18" s="284">
        <f>'Прил. 1.1 - конс.'!Z65</f>
        <v>0</v>
      </c>
      <c r="K18" s="284">
        <f>'Прил. 1.1 - конс.'!AA65</f>
        <v>0</v>
      </c>
      <c r="L18" s="284">
        <f>'Прил. 1.1 - конс.'!AB65</f>
        <v>0</v>
      </c>
      <c r="M18" s="284">
        <f>'Прил. 1.1 - конс.'!AC65</f>
        <v>0</v>
      </c>
      <c r="N18" s="284">
        <f t="shared" si="7"/>
        <v>44.239909470000043</v>
      </c>
      <c r="O18" s="284">
        <f t="shared" si="8"/>
        <v>44.439909469999975</v>
      </c>
      <c r="P18" s="284">
        <f t="shared" si="9"/>
        <v>-0.2</v>
      </c>
      <c r="Q18" s="284">
        <f t="shared" si="10"/>
        <v>0</v>
      </c>
      <c r="R18" s="284">
        <f t="shared" si="11"/>
        <v>0</v>
      </c>
      <c r="S18" s="285">
        <f t="shared" si="12"/>
        <v>-0.2</v>
      </c>
    </row>
    <row r="19" spans="1:21" s="286" customFormat="1" x14ac:dyDescent="0.3">
      <c r="A19" s="103" t="s">
        <v>71</v>
      </c>
      <c r="B19" s="284">
        <v>411.91377087000001</v>
      </c>
      <c r="C19" s="284">
        <v>248.82309766999998</v>
      </c>
      <c r="D19" s="284">
        <v>165.65629827999999</v>
      </c>
      <c r="E19" s="284">
        <v>127.40419334000001</v>
      </c>
      <c r="F19" s="284">
        <v>34.111169029999999</v>
      </c>
      <c r="G19" s="284">
        <v>6.22440091</v>
      </c>
      <c r="H19" s="284">
        <f>'Прил. 1.1 - конс.'!X67</f>
        <v>494.23580773000003</v>
      </c>
      <c r="I19" s="284">
        <f>'Прил. 1.1 - конс.'!Y67</f>
        <v>381.14353117000002</v>
      </c>
      <c r="J19" s="284">
        <f>'Прил. 1.1 - конс.'!Z67</f>
        <v>116.44559256000002</v>
      </c>
      <c r="K19" s="284">
        <f>'Прил. 1.1 - конс.'!AA67</f>
        <v>72.754575279999997</v>
      </c>
      <c r="L19" s="284">
        <f>'Прил. 1.1 - конс.'!AB67</f>
        <v>39.781143460000003</v>
      </c>
      <c r="M19" s="284">
        <f>'Прил. 1.1 - конс.'!AC67</f>
        <v>5.0388309099999997</v>
      </c>
      <c r="N19" s="284">
        <f t="shared" si="7"/>
        <v>82.322036860000026</v>
      </c>
      <c r="O19" s="284">
        <f t="shared" si="8"/>
        <v>132.32043350000004</v>
      </c>
      <c r="P19" s="284">
        <f t="shared" si="9"/>
        <v>-49.210705719999964</v>
      </c>
      <c r="Q19" s="284">
        <f t="shared" si="10"/>
        <v>-54.649618060000009</v>
      </c>
      <c r="R19" s="284">
        <f t="shared" si="11"/>
        <v>5.6699744300000035</v>
      </c>
      <c r="S19" s="285">
        <f t="shared" si="12"/>
        <v>-1.1855700000000002</v>
      </c>
    </row>
    <row r="20" spans="1:21" s="286" customFormat="1" x14ac:dyDescent="0.3">
      <c r="A20" s="103" t="s">
        <v>72</v>
      </c>
      <c r="B20" s="284">
        <v>4134.7655271599997</v>
      </c>
      <c r="C20" s="284">
        <v>3159.8875167900001</v>
      </c>
      <c r="D20" s="284">
        <v>1194.31392714</v>
      </c>
      <c r="E20" s="284">
        <v>989.89855097999998</v>
      </c>
      <c r="F20" s="284">
        <v>74.843268359999996</v>
      </c>
      <c r="G20" s="284">
        <v>172.21622453000001</v>
      </c>
      <c r="H20" s="284">
        <f>'Прил. 1.1 - конс.'!X69</f>
        <v>5280.0146013100002</v>
      </c>
      <c r="I20" s="284">
        <f>'Прил. 1.1 - конс.'!Y69</f>
        <v>4377.6803732799999</v>
      </c>
      <c r="J20" s="284">
        <f>'Прил. 1.1 - конс.'!Z69</f>
        <v>1345.3199201899997</v>
      </c>
      <c r="K20" s="284">
        <f>'Прил. 1.1 - конс.'!AA69</f>
        <v>1094.2759495299999</v>
      </c>
      <c r="L20" s="284">
        <f>'Прил. 1.1 - конс.'!AB69</f>
        <v>185.9855637</v>
      </c>
      <c r="M20" s="284">
        <f>'Прил. 1.1 - конс.'!AC69</f>
        <v>172.98195986000002</v>
      </c>
      <c r="N20" s="284">
        <f t="shared" si="7"/>
        <v>1145.2490741500005</v>
      </c>
      <c r="O20" s="284">
        <f t="shared" si="8"/>
        <v>1217.7928564899998</v>
      </c>
      <c r="P20" s="284">
        <f t="shared" si="9"/>
        <v>151.00599304999969</v>
      </c>
      <c r="Q20" s="284">
        <f t="shared" si="10"/>
        <v>104.37739854999995</v>
      </c>
      <c r="R20" s="284">
        <f t="shared" si="11"/>
        <v>111.14229534</v>
      </c>
      <c r="S20" s="285">
        <f t="shared" si="12"/>
        <v>0.76573533000001248</v>
      </c>
    </row>
    <row r="21" spans="1:21" s="286" customFormat="1" hidden="1" x14ac:dyDescent="0.3">
      <c r="A21" s="103" t="s">
        <v>73</v>
      </c>
      <c r="B21" s="284">
        <v>0</v>
      </c>
      <c r="C21" s="284">
        <v>0</v>
      </c>
      <c r="D21" s="284">
        <v>0</v>
      </c>
      <c r="E21" s="284">
        <v>0</v>
      </c>
      <c r="F21" s="284">
        <v>0</v>
      </c>
      <c r="G21" s="284">
        <v>0</v>
      </c>
      <c r="H21" s="284">
        <f>'Прил. 1.1 - конс.'!X71</f>
        <v>13.33195752</v>
      </c>
      <c r="I21" s="284">
        <f>'Прил. 1.1 - конс.'!Y71</f>
        <v>11.60559752</v>
      </c>
      <c r="J21" s="284">
        <f>'Прил. 1.1 - конс.'!Z71</f>
        <v>1.7263599999999999</v>
      </c>
      <c r="K21" s="284">
        <f>'Прил. 1.1 - конс.'!AA71</f>
        <v>1.7263599999999999</v>
      </c>
      <c r="L21" s="284">
        <f>'Прил. 1.1 - конс.'!AB71</f>
        <v>0</v>
      </c>
      <c r="M21" s="284">
        <f>'Прил. 1.1 - конс.'!AC71</f>
        <v>0</v>
      </c>
      <c r="N21" s="284">
        <f t="shared" si="7"/>
        <v>13.33195752</v>
      </c>
      <c r="O21" s="284">
        <f t="shared" si="8"/>
        <v>11.60559752</v>
      </c>
      <c r="P21" s="284">
        <f t="shared" si="9"/>
        <v>1.7263599999999999</v>
      </c>
      <c r="Q21" s="284">
        <f t="shared" si="10"/>
        <v>1.7263599999999999</v>
      </c>
      <c r="R21" s="284">
        <f t="shared" si="11"/>
        <v>0</v>
      </c>
      <c r="S21" s="285">
        <f t="shared" si="12"/>
        <v>0</v>
      </c>
    </row>
    <row r="22" spans="1:21" s="286" customFormat="1" ht="26.4" hidden="1" x14ac:dyDescent="0.3">
      <c r="A22" s="103" t="s">
        <v>74</v>
      </c>
      <c r="B22" s="284">
        <v>254.55499828000001</v>
      </c>
      <c r="C22" s="284">
        <v>173.94579186000001</v>
      </c>
      <c r="D22" s="284">
        <v>92.469802790000003</v>
      </c>
      <c r="E22" s="284">
        <v>58.081697240000004</v>
      </c>
      <c r="F22" s="284">
        <v>24.91883829</v>
      </c>
      <c r="G22" s="284">
        <v>16.805178429999998</v>
      </c>
      <c r="H22" s="284">
        <f>'Прил. 1.1 - конс.'!X73</f>
        <v>229.36283938</v>
      </c>
      <c r="I22" s="284">
        <f>'Прил. 1.1 - конс.'!Y73</f>
        <v>156.90659224999999</v>
      </c>
      <c r="J22" s="284">
        <f>'Прил. 1.1 - конс.'!Z73</f>
        <v>76.639224210000009</v>
      </c>
      <c r="K22" s="284">
        <f>'Прил. 1.1 - конс.'!AA73</f>
        <v>48.714139340000003</v>
      </c>
      <c r="L22" s="284">
        <f>'Прил. 1.1 - конс.'!AB73</f>
        <v>25.010024089999998</v>
      </c>
      <c r="M22" s="284">
        <f>'Прил. 1.1 - конс.'!AC73</f>
        <v>6.8885213599999995</v>
      </c>
      <c r="N22" s="284">
        <f t="shared" si="7"/>
        <v>-25.19215890000001</v>
      </c>
      <c r="O22" s="284">
        <f t="shared" si="8"/>
        <v>-17.039199610000026</v>
      </c>
      <c r="P22" s="284">
        <f t="shared" si="9"/>
        <v>-15.830578579999994</v>
      </c>
      <c r="Q22" s="284">
        <f t="shared" si="10"/>
        <v>-9.3675579000000013</v>
      </c>
      <c r="R22" s="284">
        <f t="shared" si="11"/>
        <v>9.1185799999998096E-2</v>
      </c>
      <c r="S22" s="285">
        <f t="shared" si="12"/>
        <v>-9.9166570699999994</v>
      </c>
    </row>
    <row r="23" spans="1:21" s="212" customFormat="1" x14ac:dyDescent="0.3">
      <c r="A23" s="36" t="s">
        <v>75</v>
      </c>
      <c r="B23" s="253">
        <v>4688.0736960300001</v>
      </c>
      <c r="C23" s="253">
        <v>3585.3162831199998</v>
      </c>
      <c r="D23" s="253">
        <v>2520.71597101</v>
      </c>
      <c r="E23" s="253">
        <v>1365.46068786</v>
      </c>
      <c r="F23" s="253">
        <v>869.29859249000003</v>
      </c>
      <c r="G23" s="253">
        <v>1102.34037521</v>
      </c>
      <c r="H23" s="253">
        <f>'Прил. 1.1 - конс.'!X75</f>
        <v>5562.8109091199995</v>
      </c>
      <c r="I23" s="253">
        <f>'Прил. 1.1 - конс.'!Y75</f>
        <v>4237.1958522300001</v>
      </c>
      <c r="J23" s="253">
        <f>'Прил. 1.1 - конс.'!Z75</f>
        <v>2250.7830144299996</v>
      </c>
      <c r="K23" s="253">
        <f>'Прил. 1.1 - конс.'!AA75</f>
        <v>1240.7684930299999</v>
      </c>
      <c r="L23" s="253">
        <f>'Прил. 1.1 - конс.'!AB75</f>
        <v>675.26323761000003</v>
      </c>
      <c r="M23" s="253">
        <f>'Прил. 1.1 - конс.'!AC75</f>
        <v>904.80246270999999</v>
      </c>
      <c r="N23" s="253">
        <f t="shared" ref="N23:S24" si="13">H23-B23</f>
        <v>874.73721308999939</v>
      </c>
      <c r="O23" s="253">
        <f t="shared" si="13"/>
        <v>651.87956911000038</v>
      </c>
      <c r="P23" s="253">
        <f t="shared" si="13"/>
        <v>-269.93295658000034</v>
      </c>
      <c r="Q23" s="253">
        <f t="shared" si="13"/>
        <v>-124.69219483000006</v>
      </c>
      <c r="R23" s="253">
        <f t="shared" si="13"/>
        <v>-194.03535488</v>
      </c>
      <c r="S23" s="254">
        <f t="shared" si="13"/>
        <v>-197.53791250000006</v>
      </c>
      <c r="T23" s="212">
        <f>H23/$H$52%</f>
        <v>9.4859012079203335</v>
      </c>
      <c r="U23" s="212">
        <f>J23/$J$52%</f>
        <v>9.37323827459754</v>
      </c>
    </row>
    <row r="24" spans="1:21" s="286" customFormat="1" x14ac:dyDescent="0.3">
      <c r="A24" s="287" t="s">
        <v>76</v>
      </c>
      <c r="B24" s="284">
        <v>1601.17708573</v>
      </c>
      <c r="C24" s="284">
        <v>1412.5838113499999</v>
      </c>
      <c r="D24" s="284">
        <v>1538.76752212</v>
      </c>
      <c r="E24" s="284">
        <v>705.74187717999996</v>
      </c>
      <c r="F24" s="284">
        <v>746.74676842999997</v>
      </c>
      <c r="G24" s="284">
        <v>829.82898565999994</v>
      </c>
      <c r="H24" s="284">
        <f>'Прил. 1.1 - конс.'!X77</f>
        <v>2080.46710957</v>
      </c>
      <c r="I24" s="284">
        <f>'Прил. 1.1 - конс.'!Y77</f>
        <v>1477.94012744</v>
      </c>
      <c r="J24" s="284">
        <f>'Прил. 1.1 - конс.'!Z77</f>
        <v>1267.5322445800005</v>
      </c>
      <c r="K24" s="284">
        <f>'Прил. 1.1 - конс.'!AA77</f>
        <v>702.04499825999994</v>
      </c>
      <c r="L24" s="284">
        <f>'Прил. 1.1 - конс.'!AB77</f>
        <v>381.85322116000003</v>
      </c>
      <c r="M24" s="284">
        <f>'Прил. 1.1 - конс.'!AC77</f>
        <v>514.77776750999999</v>
      </c>
      <c r="N24" s="284">
        <f t="shared" si="13"/>
        <v>479.29002384</v>
      </c>
      <c r="O24" s="284">
        <f t="shared" si="13"/>
        <v>65.356316090000064</v>
      </c>
      <c r="P24" s="284">
        <f t="shared" si="13"/>
        <v>-271.23527753999952</v>
      </c>
      <c r="Q24" s="284">
        <f t="shared" si="13"/>
        <v>-3.6968789200000174</v>
      </c>
      <c r="R24" s="284">
        <f t="shared" si="13"/>
        <v>-364.89354726999994</v>
      </c>
      <c r="S24" s="285">
        <f t="shared" si="13"/>
        <v>-315.05121814999995</v>
      </c>
    </row>
    <row r="25" spans="1:21" s="286" customFormat="1" x14ac:dyDescent="0.3">
      <c r="A25" s="103" t="s">
        <v>77</v>
      </c>
      <c r="B25" s="284">
        <v>2379.6534282500002</v>
      </c>
      <c r="C25" s="284">
        <v>2137.3424592800002</v>
      </c>
      <c r="D25" s="284">
        <v>306.29614175</v>
      </c>
      <c r="E25" s="284">
        <v>133.92840833</v>
      </c>
      <c r="F25" s="284">
        <v>105.9432599</v>
      </c>
      <c r="G25" s="284">
        <v>134.00763043999999</v>
      </c>
      <c r="H25" s="284">
        <f>'Прил. 1.1 - конс.'!X79</f>
        <v>2827.9216530500003</v>
      </c>
      <c r="I25" s="284">
        <f>'Прил. 1.1 - конс.'!Y79</f>
        <v>2708.6049124699998</v>
      </c>
      <c r="J25" s="284">
        <f>'Прил. 1.1 - конс.'!Z79</f>
        <v>363.93571499000001</v>
      </c>
      <c r="K25" s="284">
        <f>'Прил. 1.1 - конс.'!AA79</f>
        <v>53.807835990000001</v>
      </c>
      <c r="L25" s="284">
        <f>'Прил. 1.1 - конс.'!AB79</f>
        <v>275.99748976000001</v>
      </c>
      <c r="M25" s="284">
        <f>'Прил. 1.1 - конс.'!AC79</f>
        <v>266.72544536999999</v>
      </c>
      <c r="N25" s="284">
        <f t="shared" ref="N25:N27" si="14">H25-B25</f>
        <v>448.2682248000001</v>
      </c>
      <c r="O25" s="284">
        <f t="shared" ref="O25:O27" si="15">I25-C25</f>
        <v>571.26245318999963</v>
      </c>
      <c r="P25" s="284">
        <f t="shared" ref="P25:P27" si="16">J25-D25</f>
        <v>57.639573240000004</v>
      </c>
      <c r="Q25" s="284">
        <f t="shared" ref="Q25:Q27" si="17">K25-E25</f>
        <v>-80.120572339999995</v>
      </c>
      <c r="R25" s="284">
        <f t="shared" ref="R25:R27" si="18">L25-F25</f>
        <v>170.05422986000002</v>
      </c>
      <c r="S25" s="285">
        <f t="shared" ref="S25:S27" si="19">M25-G25</f>
        <v>132.71781493</v>
      </c>
    </row>
    <row r="26" spans="1:21" s="286" customFormat="1" hidden="1" x14ac:dyDescent="0.3">
      <c r="A26" s="103" t="s">
        <v>78</v>
      </c>
      <c r="B26" s="284">
        <v>493.09000276</v>
      </c>
      <c r="C26" s="284">
        <v>3.7673975799999999</v>
      </c>
      <c r="D26" s="284">
        <v>493.09000276</v>
      </c>
      <c r="E26" s="284">
        <v>368.66838298000005</v>
      </c>
      <c r="F26" s="284">
        <v>5.7122344800000002</v>
      </c>
      <c r="G26" s="284">
        <v>123.61646378</v>
      </c>
      <c r="H26" s="284">
        <f>'Прил. 1.1 - конс.'!X81</f>
        <v>462.00154882999999</v>
      </c>
      <c r="I26" s="284">
        <f>'Прил. 1.1 - конс.'!Y81</f>
        <v>14.143720679999999</v>
      </c>
      <c r="J26" s="284">
        <f>'Прил. 1.1 - конс.'!Z81</f>
        <v>462.00154882999993</v>
      </c>
      <c r="K26" s="284">
        <f>'Прил. 1.1 - конс.'!AA81</f>
        <v>350.18571114999997</v>
      </c>
      <c r="L26" s="284">
        <f>'Прил. 1.1 - конс.'!AB81</f>
        <v>7.7984542499999998</v>
      </c>
      <c r="M26" s="284">
        <f>'Прил. 1.1 - конс.'!AC81</f>
        <v>109.36664340999999</v>
      </c>
      <c r="N26" s="284">
        <f t="shared" si="14"/>
        <v>-31.088453930000014</v>
      </c>
      <c r="O26" s="284">
        <f t="shared" si="15"/>
        <v>10.3763231</v>
      </c>
      <c r="P26" s="284">
        <f t="shared" si="16"/>
        <v>-31.088453930000071</v>
      </c>
      <c r="Q26" s="284">
        <f t="shared" si="17"/>
        <v>-18.482671830000072</v>
      </c>
      <c r="R26" s="284">
        <f t="shared" si="18"/>
        <v>2.0862197699999996</v>
      </c>
      <c r="S26" s="285">
        <f t="shared" si="19"/>
        <v>-14.249820370000009</v>
      </c>
    </row>
    <row r="27" spans="1:21" s="286" customFormat="1" ht="26.4" hidden="1" x14ac:dyDescent="0.3">
      <c r="A27" s="103" t="s">
        <v>79</v>
      </c>
      <c r="B27" s="284">
        <v>214.15317929</v>
      </c>
      <c r="C27" s="284">
        <v>31.622614909999999</v>
      </c>
      <c r="D27" s="284">
        <v>182.56230438000003</v>
      </c>
      <c r="E27" s="284">
        <v>157.12201937</v>
      </c>
      <c r="F27" s="284">
        <v>10.896329679999999</v>
      </c>
      <c r="G27" s="284">
        <v>14.887295330000001</v>
      </c>
      <c r="H27" s="284">
        <f>'Прил. 1.1 - конс.'!X83</f>
        <v>192.42059766999998</v>
      </c>
      <c r="I27" s="284">
        <f>'Прил. 1.1 - конс.'!Y83</f>
        <v>36.507091639999999</v>
      </c>
      <c r="J27" s="284">
        <f>'Прил. 1.1 - конс.'!Z83</f>
        <v>157.31350603000001</v>
      </c>
      <c r="K27" s="284">
        <f>'Прил. 1.1 - конс.'!AA83</f>
        <v>134.72994763</v>
      </c>
      <c r="L27" s="284">
        <f>'Прил. 1.1 - конс.'!AB83</f>
        <v>9.6140724399999993</v>
      </c>
      <c r="M27" s="284">
        <f>'Прил. 1.1 - конс.'!AC83</f>
        <v>13.932606419999999</v>
      </c>
      <c r="N27" s="284">
        <f t="shared" si="14"/>
        <v>-21.732581620000019</v>
      </c>
      <c r="O27" s="284">
        <f t="shared" si="15"/>
        <v>4.8844767299999994</v>
      </c>
      <c r="P27" s="284">
        <f t="shared" si="16"/>
        <v>-25.248798350000015</v>
      </c>
      <c r="Q27" s="284">
        <f t="shared" si="17"/>
        <v>-22.392071740000006</v>
      </c>
      <c r="R27" s="284">
        <f t="shared" si="18"/>
        <v>-1.2822572399999999</v>
      </c>
      <c r="S27" s="285">
        <f t="shared" si="19"/>
        <v>-0.95468891000000156</v>
      </c>
    </row>
    <row r="28" spans="1:21" s="212" customFormat="1" x14ac:dyDescent="0.3">
      <c r="A28" s="99" t="s">
        <v>80</v>
      </c>
      <c r="B28" s="253">
        <v>39.594301139999999</v>
      </c>
      <c r="C28" s="253">
        <v>37.545327130000004</v>
      </c>
      <c r="D28" s="253">
        <v>2.0489740099999998</v>
      </c>
      <c r="E28" s="253">
        <v>1.7097855100000001</v>
      </c>
      <c r="F28" s="253">
        <v>0.3391885</v>
      </c>
      <c r="G28" s="253">
        <v>0</v>
      </c>
      <c r="H28" s="253">
        <f>'Прил. 1.1 - конс.'!X85</f>
        <v>39.687535259999997</v>
      </c>
      <c r="I28" s="253">
        <f>'Прил. 1.1 - конс.'!Y85</f>
        <v>37.793473859999999</v>
      </c>
      <c r="J28" s="253">
        <f>'Прил. 1.1 - конс.'!Z85</f>
        <v>1.8940614000000002</v>
      </c>
      <c r="K28" s="253">
        <f>'Прил. 1.1 - конс.'!AA85</f>
        <v>1.4996176000000001</v>
      </c>
      <c r="L28" s="253">
        <f>'Прил. 1.1 - конс.'!AB85</f>
        <v>0.39444380000000001</v>
      </c>
      <c r="M28" s="253">
        <f>'Прил. 1.1 - конс.'!AC85</f>
        <v>0</v>
      </c>
      <c r="N28" s="253">
        <f t="shared" si="1"/>
        <v>9.32341199999982E-2</v>
      </c>
      <c r="O28" s="253">
        <f t="shared" si="2"/>
        <v>0.24814672999999488</v>
      </c>
      <c r="P28" s="253">
        <f t="shared" si="3"/>
        <v>-0.15491260999999956</v>
      </c>
      <c r="Q28" s="253">
        <f t="shared" si="4"/>
        <v>-0.21016791000000001</v>
      </c>
      <c r="R28" s="253">
        <f t="shared" si="5"/>
        <v>5.5255300000000007E-2</v>
      </c>
      <c r="S28" s="254">
        <f t="shared" si="6"/>
        <v>0</v>
      </c>
      <c r="T28" s="212">
        <f>H28/$H$52%</f>
        <v>6.7676583801366388E-2</v>
      </c>
      <c r="U28" s="212">
        <f>J28/$J$52%</f>
        <v>7.8876945023569015E-3</v>
      </c>
    </row>
    <row r="29" spans="1:21" s="212" customFormat="1" x14ac:dyDescent="0.3">
      <c r="A29" s="99" t="s">
        <v>294</v>
      </c>
      <c r="B29" s="253">
        <v>18337.884924030001</v>
      </c>
      <c r="C29" s="253">
        <v>13334.97213586</v>
      </c>
      <c r="D29" s="253">
        <v>14918.72393342</v>
      </c>
      <c r="E29" s="253">
        <v>7981.0291987399996</v>
      </c>
      <c r="F29" s="253">
        <v>6936.6976494999999</v>
      </c>
      <c r="G29" s="253">
        <v>1.24708518</v>
      </c>
      <c r="H29" s="253">
        <f>'Прил. 1.1 - конс.'!X87</f>
        <v>18108.895637289999</v>
      </c>
      <c r="I29" s="253">
        <f>'Прил. 1.1 - конс.'!Y87</f>
        <v>12960.03016117</v>
      </c>
      <c r="J29" s="253">
        <f>'Прил. 1.1 - конс.'!Z87</f>
        <v>14622.14369223</v>
      </c>
      <c r="K29" s="253">
        <f>'Прил. 1.1 - конс.'!AA87</f>
        <v>7764.8504186700002</v>
      </c>
      <c r="L29" s="253">
        <f>'Прил. 1.1 - конс.'!AB87</f>
        <v>6856.5346649100002</v>
      </c>
      <c r="M29" s="253">
        <f>'Прил. 1.1 - конс.'!AC87</f>
        <v>1.3276086499999999</v>
      </c>
      <c r="N29" s="253">
        <f t="shared" si="1"/>
        <v>-228.98928674000126</v>
      </c>
      <c r="O29" s="253">
        <f t="shared" si="2"/>
        <v>-374.94197469000028</v>
      </c>
      <c r="P29" s="253">
        <f t="shared" si="3"/>
        <v>-296.58024119000038</v>
      </c>
      <c r="Q29" s="253">
        <f t="shared" si="4"/>
        <v>-216.17878006999945</v>
      </c>
      <c r="R29" s="253">
        <f t="shared" si="5"/>
        <v>-80.162984589999724</v>
      </c>
      <c r="S29" s="254">
        <f t="shared" si="6"/>
        <v>8.052346999999993E-2</v>
      </c>
      <c r="T29" s="212">
        <f>H29/$H$52%</f>
        <v>30.879927038010145</v>
      </c>
      <c r="U29" s="212">
        <f>J29/$J$52%</f>
        <v>60.892958598847535</v>
      </c>
    </row>
    <row r="30" spans="1:21" s="286" customFormat="1" x14ac:dyDescent="0.3">
      <c r="A30" s="103" t="s">
        <v>287</v>
      </c>
      <c r="B30" s="284">
        <v>5388.7376186199999</v>
      </c>
      <c r="C30" s="284">
        <v>526.56368568999994</v>
      </c>
      <c r="D30" s="284">
        <v>5348.7376186199999</v>
      </c>
      <c r="E30" s="284">
        <v>3367.5992564099997</v>
      </c>
      <c r="F30" s="284">
        <v>1981.13836221</v>
      </c>
      <c r="G30" s="284">
        <v>0</v>
      </c>
      <c r="H30" s="284">
        <f>'Прил. 1.1 - конс.'!X89</f>
        <v>5110.3186073799998</v>
      </c>
      <c r="I30" s="284">
        <f>'Прил. 1.1 - конс.'!Y89</f>
        <v>176.96558125999999</v>
      </c>
      <c r="J30" s="284">
        <f>'Прил. 1.1 - конс.'!Z89</f>
        <v>5110.3186073799998</v>
      </c>
      <c r="K30" s="284">
        <f>'Прил. 1.1 - конс.'!AA89</f>
        <v>3317.7759264699998</v>
      </c>
      <c r="L30" s="284">
        <f>'Прил. 1.1 - конс.'!AB89</f>
        <v>1792.5426809100002</v>
      </c>
      <c r="M30" s="284">
        <f>'Прил. 1.1 - конс.'!AC89</f>
        <v>0</v>
      </c>
      <c r="N30" s="284">
        <f t="shared" ref="N30" si="20">H30-B30</f>
        <v>-278.41901124000015</v>
      </c>
      <c r="O30" s="284">
        <f t="shared" ref="O30" si="21">I30-C30</f>
        <v>-349.59810442999992</v>
      </c>
      <c r="P30" s="284">
        <f t="shared" ref="P30" si="22">J30-D30</f>
        <v>-238.41901124000015</v>
      </c>
      <c r="Q30" s="284">
        <f t="shared" ref="Q30" si="23">K30-E30</f>
        <v>-49.823329939999894</v>
      </c>
      <c r="R30" s="284">
        <f t="shared" ref="R30" si="24">L30-F30</f>
        <v>-188.5956812999998</v>
      </c>
      <c r="S30" s="285">
        <f t="shared" ref="S30" si="25">M30-G30</f>
        <v>0</v>
      </c>
      <c r="T30" s="318">
        <f t="shared" ref="T30:T34" si="26">H30/$H$52%</f>
        <v>8.7142953881695533</v>
      </c>
      <c r="U30" s="318">
        <f t="shared" ref="U30:U34" si="27">J30/$J$52%</f>
        <v>21.281586745141102</v>
      </c>
    </row>
    <row r="31" spans="1:21" s="286" customFormat="1" x14ac:dyDescent="0.3">
      <c r="A31" s="103" t="s">
        <v>288</v>
      </c>
      <c r="B31" s="284">
        <v>10179.100226100001</v>
      </c>
      <c r="C31" s="284">
        <v>10151.835065990001</v>
      </c>
      <c r="D31" s="284">
        <v>8921.2820150999996</v>
      </c>
      <c r="E31" s="284">
        <v>4189.2077730399997</v>
      </c>
      <c r="F31" s="284">
        <v>4732.0681420600004</v>
      </c>
      <c r="G31" s="284">
        <v>6.1000000000000004E-3</v>
      </c>
      <c r="H31" s="284">
        <f>'Прил. 1.1 - конс.'!X91</f>
        <v>10192.314686829999</v>
      </c>
      <c r="I31" s="284">
        <f>'Прил. 1.1 - конс.'!Y91</f>
        <v>10088.906415760001</v>
      </c>
      <c r="J31" s="284">
        <f>'Прил. 1.1 - конс.'!Z91</f>
        <v>8888.8406676600007</v>
      </c>
      <c r="K31" s="284">
        <f>'Прил. 1.1 - конс.'!AA91</f>
        <v>4043.5862732699998</v>
      </c>
      <c r="L31" s="284">
        <f>'Прил. 1.1 - конс.'!AB91</f>
        <v>4845.25439439</v>
      </c>
      <c r="M31" s="284">
        <f>'Прил. 1.1 - конс.'!AC91</f>
        <v>0</v>
      </c>
      <c r="N31" s="284">
        <f t="shared" ref="N31:N36" si="28">H31-B31</f>
        <v>13.214460729997882</v>
      </c>
      <c r="O31" s="284">
        <f t="shared" ref="O31:O36" si="29">I31-C31</f>
        <v>-62.92865023000013</v>
      </c>
      <c r="P31" s="284">
        <f t="shared" ref="P31:P36" si="30">J31-D31</f>
        <v>-32.441347439998935</v>
      </c>
      <c r="Q31" s="284">
        <f t="shared" ref="Q31:Q36" si="31">K31-E31</f>
        <v>-145.6214997699999</v>
      </c>
      <c r="R31" s="284">
        <f t="shared" ref="R31:R36" si="32">L31-F31</f>
        <v>113.18625232999966</v>
      </c>
      <c r="S31" s="285">
        <f t="shared" ref="S31:S36" si="33">M31-G31</f>
        <v>-6.1000000000000004E-3</v>
      </c>
      <c r="T31" s="318">
        <f t="shared" si="26"/>
        <v>17.380294203564706</v>
      </c>
      <c r="U31" s="318">
        <f t="shared" si="27"/>
        <v>37.01699409883345</v>
      </c>
    </row>
    <row r="32" spans="1:21" s="286" customFormat="1" hidden="1" x14ac:dyDescent="0.3">
      <c r="A32" s="103" t="s">
        <v>289</v>
      </c>
      <c r="B32" s="284">
        <v>1608.8187180999998</v>
      </c>
      <c r="C32" s="284">
        <v>1608.8187180999998</v>
      </c>
      <c r="D32" s="284">
        <v>0</v>
      </c>
      <c r="E32" s="284">
        <v>0</v>
      </c>
      <c r="F32" s="284">
        <v>0</v>
      </c>
      <c r="G32" s="284">
        <v>0</v>
      </c>
      <c r="H32" s="284">
        <f>'Прил. 1.1 - конс.'!X93</f>
        <v>1616.4867979400001</v>
      </c>
      <c r="I32" s="284">
        <f>'Прил. 1.1 - конс.'!Y93</f>
        <v>1616.4867979400001</v>
      </c>
      <c r="J32" s="284">
        <f>'Прил. 1.1 - конс.'!Z93</f>
        <v>0</v>
      </c>
      <c r="K32" s="284">
        <f>'Прил. 1.1 - конс.'!AA93</f>
        <v>0</v>
      </c>
      <c r="L32" s="284">
        <f>'Прил. 1.1 - конс.'!AB93</f>
        <v>0</v>
      </c>
      <c r="M32" s="284">
        <f>'Прил. 1.1 - конс.'!AC93</f>
        <v>0</v>
      </c>
      <c r="N32" s="284">
        <f t="shared" si="28"/>
        <v>7.6680798400002459</v>
      </c>
      <c r="O32" s="284">
        <f t="shared" si="29"/>
        <v>7.6680798400002459</v>
      </c>
      <c r="P32" s="284">
        <f t="shared" si="30"/>
        <v>0</v>
      </c>
      <c r="Q32" s="284">
        <f t="shared" si="31"/>
        <v>0</v>
      </c>
      <c r="R32" s="284">
        <f t="shared" si="32"/>
        <v>0</v>
      </c>
      <c r="S32" s="285">
        <f t="shared" si="33"/>
        <v>0</v>
      </c>
      <c r="T32" s="318">
        <f t="shared" si="26"/>
        <v>2.7564902563966589</v>
      </c>
      <c r="U32" s="318">
        <f t="shared" si="27"/>
        <v>0</v>
      </c>
    </row>
    <row r="33" spans="1:21" s="286" customFormat="1" ht="26.4" hidden="1" x14ac:dyDescent="0.3">
      <c r="A33" s="103" t="s">
        <v>290</v>
      </c>
      <c r="B33" s="284">
        <v>86.982753150000008</v>
      </c>
      <c r="C33" s="284">
        <v>84.911529000000002</v>
      </c>
      <c r="D33" s="284">
        <v>2.0712241499999999</v>
      </c>
      <c r="E33" s="284">
        <v>0</v>
      </c>
      <c r="F33" s="284">
        <v>2.0712241499999999</v>
      </c>
      <c r="G33" s="284">
        <v>0</v>
      </c>
      <c r="H33" s="284">
        <f>'Прил. 1.1 - конс.'!X95</f>
        <v>85.217957470000002</v>
      </c>
      <c r="I33" s="284">
        <f>'Прил. 1.1 - конс.'!Y95</f>
        <v>83.108900000000006</v>
      </c>
      <c r="J33" s="284">
        <f>'Прил. 1.1 - конс.'!Z95</f>
        <v>2.1090574700000002</v>
      </c>
      <c r="K33" s="284">
        <f>'Прил. 1.1 - конс.'!AA95</f>
        <v>0</v>
      </c>
      <c r="L33" s="284">
        <f>'Прил. 1.1 - конс.'!AB95</f>
        <v>2.1090574700000002</v>
      </c>
      <c r="M33" s="284">
        <f>'Прил. 1.1 - конс.'!AC95</f>
        <v>0</v>
      </c>
      <c r="N33" s="284">
        <f t="shared" si="28"/>
        <v>-1.764795680000006</v>
      </c>
      <c r="O33" s="284">
        <f t="shared" si="29"/>
        <v>-1.802628999999996</v>
      </c>
      <c r="P33" s="284">
        <f t="shared" si="30"/>
        <v>3.7833320000000281E-2</v>
      </c>
      <c r="Q33" s="284">
        <f t="shared" si="31"/>
        <v>0</v>
      </c>
      <c r="R33" s="284">
        <f t="shared" si="32"/>
        <v>3.7833320000000281E-2</v>
      </c>
      <c r="S33" s="285">
        <f t="shared" si="33"/>
        <v>0</v>
      </c>
      <c r="T33" s="318">
        <f t="shared" si="26"/>
        <v>0.14531666434605725</v>
      </c>
      <c r="U33" s="318">
        <f t="shared" si="27"/>
        <v>8.783031538087285E-3</v>
      </c>
    </row>
    <row r="34" spans="1:21" s="286" customFormat="1" x14ac:dyDescent="0.3">
      <c r="A34" s="103" t="s">
        <v>293</v>
      </c>
      <c r="B34" s="284">
        <v>507.13194967000004</v>
      </c>
      <c r="C34" s="284">
        <v>451.57437376999997</v>
      </c>
      <c r="D34" s="284">
        <v>281.23088047000005</v>
      </c>
      <c r="E34" s="284">
        <v>189.92942331</v>
      </c>
      <c r="F34" s="284">
        <v>90.341771980000004</v>
      </c>
      <c r="G34" s="284">
        <v>1.2096851799999999</v>
      </c>
      <c r="H34" s="284">
        <f>'Прил. 1.1 - конс.'!X97</f>
        <v>553.81858789</v>
      </c>
      <c r="I34" s="284">
        <f>'Прил. 1.1 - конс.'!Y97</f>
        <v>468.25383916000004</v>
      </c>
      <c r="J34" s="284">
        <f>'Прил. 1.1 - конс.'!Z97</f>
        <v>266.20802362000006</v>
      </c>
      <c r="K34" s="284">
        <f>'Прил. 1.1 - конс.'!AA97</f>
        <v>179.52695924</v>
      </c>
      <c r="L34" s="284">
        <f>'Прил. 1.1 - конс.'!AB97</f>
        <v>85.982855729999997</v>
      </c>
      <c r="M34" s="284">
        <f>'Прил. 1.1 - конс.'!AC97</f>
        <v>1.2672086499999999</v>
      </c>
      <c r="N34" s="284">
        <f t="shared" si="28"/>
        <v>46.686638219999963</v>
      </c>
      <c r="O34" s="284">
        <f t="shared" si="29"/>
        <v>16.679465390000075</v>
      </c>
      <c r="P34" s="284">
        <f t="shared" si="30"/>
        <v>-15.022856849999982</v>
      </c>
      <c r="Q34" s="284">
        <f t="shared" si="31"/>
        <v>-10.402464070000008</v>
      </c>
      <c r="R34" s="284">
        <f t="shared" si="32"/>
        <v>-4.3589162500000072</v>
      </c>
      <c r="S34" s="285">
        <f t="shared" si="33"/>
        <v>5.7523470000000021E-2</v>
      </c>
      <c r="T34" s="318">
        <f t="shared" si="26"/>
        <v>0.94439097385489756</v>
      </c>
      <c r="U34" s="318">
        <f t="shared" si="27"/>
        <v>1.1086058584958072</v>
      </c>
    </row>
    <row r="35" spans="1:21" s="286" customFormat="1" ht="26.4" hidden="1" x14ac:dyDescent="0.3">
      <c r="A35" s="103" t="s">
        <v>291</v>
      </c>
      <c r="B35" s="284">
        <v>4.1901192599999995</v>
      </c>
      <c r="C35" s="284">
        <v>4.1901192599999995</v>
      </c>
      <c r="D35" s="284">
        <v>0</v>
      </c>
      <c r="E35" s="284">
        <v>0</v>
      </c>
      <c r="F35" s="284">
        <v>0</v>
      </c>
      <c r="G35" s="284">
        <v>0</v>
      </c>
      <c r="H35" s="284">
        <f>'Прил. 1.1 - конс.'!X99</f>
        <v>3.3577129999999999</v>
      </c>
      <c r="I35" s="284">
        <f>'Прил. 1.1 - конс.'!Y99</f>
        <v>3.3577129999999999</v>
      </c>
      <c r="J35" s="284">
        <f>'Прил. 1.1 - конс.'!Z99</f>
        <v>0</v>
      </c>
      <c r="K35" s="284">
        <f>'Прил. 1.1 - конс.'!AA99</f>
        <v>0</v>
      </c>
      <c r="L35" s="284">
        <f>'Прил. 1.1 - конс.'!AB99</f>
        <v>0</v>
      </c>
      <c r="M35" s="284">
        <f>'Прил. 1.1 - конс.'!AC99</f>
        <v>0</v>
      </c>
      <c r="N35" s="284">
        <f t="shared" si="28"/>
        <v>-0.83240625999999951</v>
      </c>
      <c r="O35" s="284">
        <f t="shared" si="29"/>
        <v>-0.83240625999999951</v>
      </c>
      <c r="P35" s="284">
        <f t="shared" si="30"/>
        <v>0</v>
      </c>
      <c r="Q35" s="284">
        <f t="shared" si="31"/>
        <v>0</v>
      </c>
      <c r="R35" s="284">
        <f t="shared" si="32"/>
        <v>0</v>
      </c>
      <c r="S35" s="285">
        <f t="shared" si="33"/>
        <v>0</v>
      </c>
    </row>
    <row r="36" spans="1:21" s="286" customFormat="1" hidden="1" x14ac:dyDescent="0.3">
      <c r="A36" s="103" t="s">
        <v>292</v>
      </c>
      <c r="B36" s="284">
        <v>562.92353912999999</v>
      </c>
      <c r="C36" s="284">
        <v>507.07864405000004</v>
      </c>
      <c r="D36" s="284">
        <v>365.40219507999996</v>
      </c>
      <c r="E36" s="284">
        <v>234.29274597999998</v>
      </c>
      <c r="F36" s="284">
        <v>131.07814909999999</v>
      </c>
      <c r="G36" s="284">
        <v>3.1300000000000001E-2</v>
      </c>
      <c r="H36" s="284">
        <f>'Прил. 1.1 - конс.'!X101</f>
        <v>547.38128677999998</v>
      </c>
      <c r="I36" s="284">
        <f>'Прил. 1.1 - конс.'!Y101</f>
        <v>522.95091405000005</v>
      </c>
      <c r="J36" s="284">
        <f>'Прил. 1.1 - конс.'!Z101</f>
        <v>354.6673361</v>
      </c>
      <c r="K36" s="284">
        <f>'Прил. 1.1 - конс.'!AA101</f>
        <v>223.96125968999999</v>
      </c>
      <c r="L36" s="284">
        <f>'Прил. 1.1 - конс.'!AB101</f>
        <v>130.64567640999999</v>
      </c>
      <c r="M36" s="284">
        <f>'Прил. 1.1 - конс.'!AC101</f>
        <v>6.0400000000000002E-2</v>
      </c>
      <c r="N36" s="284">
        <f t="shared" si="28"/>
        <v>-15.542252350000012</v>
      </c>
      <c r="O36" s="284">
        <f t="shared" si="29"/>
        <v>15.872270000000015</v>
      </c>
      <c r="P36" s="284">
        <f t="shared" si="30"/>
        <v>-10.734858979999956</v>
      </c>
      <c r="Q36" s="284">
        <f t="shared" si="31"/>
        <v>-10.331486289999987</v>
      </c>
      <c r="R36" s="284">
        <f t="shared" si="32"/>
        <v>-0.43247268999999733</v>
      </c>
      <c r="S36" s="285">
        <f t="shared" si="33"/>
        <v>2.9100000000000001E-2</v>
      </c>
    </row>
    <row r="37" spans="1:21" s="212" customFormat="1" x14ac:dyDescent="0.3">
      <c r="A37" s="99" t="s">
        <v>81</v>
      </c>
      <c r="B37" s="253">
        <v>1790.10535658</v>
      </c>
      <c r="C37" s="253">
        <v>521.58506097999998</v>
      </c>
      <c r="D37" s="253">
        <v>1281.1629366</v>
      </c>
      <c r="E37" s="253">
        <v>528.17844207999997</v>
      </c>
      <c r="F37" s="253">
        <v>475.63257750999998</v>
      </c>
      <c r="G37" s="253">
        <v>350.08259343000003</v>
      </c>
      <c r="H37" s="253">
        <f>'Прил. 1.1 - конс.'!X103</f>
        <v>1870.9905397499999</v>
      </c>
      <c r="I37" s="253">
        <f>'Прил. 1.1 - конс.'!Y103</f>
        <v>605.36726745999999</v>
      </c>
      <c r="J37" s="253">
        <f>'Прил. 1.1 - конс.'!Z103</f>
        <v>1281.10303316</v>
      </c>
      <c r="K37" s="253">
        <f>'Прил. 1.1 - конс.'!AA103</f>
        <v>526.00927833000003</v>
      </c>
      <c r="L37" s="253">
        <f>'Прил. 1.1 - конс.'!AB103</f>
        <v>557.85624757000005</v>
      </c>
      <c r="M37" s="253">
        <f>'Прил. 1.1 - конс.'!AC103</f>
        <v>262.56213532999999</v>
      </c>
      <c r="N37" s="253">
        <f t="shared" si="1"/>
        <v>80.885183169999891</v>
      </c>
      <c r="O37" s="253">
        <f t="shared" si="2"/>
        <v>83.782206480000013</v>
      </c>
      <c r="P37" s="253">
        <f t="shared" si="3"/>
        <v>-5.9903439999970942E-2</v>
      </c>
      <c r="Q37" s="253">
        <f t="shared" si="4"/>
        <v>-2.1691637499999388</v>
      </c>
      <c r="R37" s="253">
        <f t="shared" si="5"/>
        <v>82.223670060000074</v>
      </c>
      <c r="S37" s="254">
        <f t="shared" si="6"/>
        <v>-87.520458100000042</v>
      </c>
      <c r="T37" s="212">
        <f>H37/$H$52%</f>
        <v>3.1904790062025787</v>
      </c>
      <c r="U37" s="212">
        <f>J37/$J$52%</f>
        <v>5.3350695767354122</v>
      </c>
    </row>
    <row r="38" spans="1:21" s="212" customFormat="1" x14ac:dyDescent="0.3">
      <c r="A38" s="99" t="s">
        <v>82</v>
      </c>
      <c r="B38" s="253">
        <v>8926.4379130899997</v>
      </c>
      <c r="C38" s="253">
        <v>8925.9757010899993</v>
      </c>
      <c r="D38" s="253">
        <v>0.46221200000000001</v>
      </c>
      <c r="E38" s="253">
        <v>9.7212000000000007E-2</v>
      </c>
      <c r="F38" s="253">
        <v>0.36499999999999999</v>
      </c>
      <c r="G38" s="253">
        <v>0</v>
      </c>
      <c r="H38" s="253">
        <f>'Прил. 1.1 - конс.'!X105</f>
        <v>9180.5367597900004</v>
      </c>
      <c r="I38" s="253">
        <f>'Прил. 1.1 - конс.'!Y105</f>
        <v>9180.4441130800005</v>
      </c>
      <c r="J38" s="253">
        <f>'Прил. 1.1 - конс.'!Z105</f>
        <v>9.2646709999999993E-2</v>
      </c>
      <c r="K38" s="253">
        <f>'Прил. 1.1 - конс.'!AA105</f>
        <v>3.5146709999999998E-2</v>
      </c>
      <c r="L38" s="253">
        <f>'Прил. 1.1 - конс.'!AB105</f>
        <v>5.7500000000000002E-2</v>
      </c>
      <c r="M38" s="253">
        <f>'Прил. 1.1 - конс.'!AC105</f>
        <v>0</v>
      </c>
      <c r="N38" s="253">
        <f t="shared" si="1"/>
        <v>254.09884670000065</v>
      </c>
      <c r="O38" s="253">
        <f t="shared" si="2"/>
        <v>254.46841199000119</v>
      </c>
      <c r="P38" s="253">
        <f t="shared" si="3"/>
        <v>-0.36956529000000005</v>
      </c>
      <c r="Q38" s="253">
        <f t="shared" si="4"/>
        <v>-6.2065290000000009E-2</v>
      </c>
      <c r="R38" s="253">
        <f t="shared" si="5"/>
        <v>-0.3075</v>
      </c>
      <c r="S38" s="254">
        <f t="shared" si="6"/>
        <v>0</v>
      </c>
      <c r="T38" s="212">
        <f>H38/$H$52%</f>
        <v>15.65497482509708</v>
      </c>
      <c r="U38" s="212">
        <f>J38/$J$52%</f>
        <v>3.8582114873807893E-4</v>
      </c>
    </row>
    <row r="39" spans="1:21" s="286" customFormat="1" x14ac:dyDescent="0.3">
      <c r="A39" s="103" t="s">
        <v>83</v>
      </c>
      <c r="B39" s="284">
        <v>1530.5270779699999</v>
      </c>
      <c r="C39" s="284">
        <v>1530.5270779699999</v>
      </c>
      <c r="D39" s="284">
        <v>0</v>
      </c>
      <c r="E39" s="284">
        <v>0</v>
      </c>
      <c r="F39" s="284">
        <v>0</v>
      </c>
      <c r="G39" s="284">
        <v>0</v>
      </c>
      <c r="H39" s="284">
        <f>'Прил. 1.1 - конс.'!X107</f>
        <v>1562.6860380000001</v>
      </c>
      <c r="I39" s="284">
        <f>'Прил. 1.1 - конс.'!Y107</f>
        <v>1562.6860380000001</v>
      </c>
      <c r="J39" s="284">
        <f>'Прил. 1.1 - конс.'!Z107</f>
        <v>0</v>
      </c>
      <c r="K39" s="284">
        <f>'Прил. 1.1 - конс.'!AA107</f>
        <v>0</v>
      </c>
      <c r="L39" s="284">
        <f>'Прил. 1.1 - конс.'!AB107</f>
        <v>0</v>
      </c>
      <c r="M39" s="284">
        <f>'Прил. 1.1 - конс.'!AC107</f>
        <v>0</v>
      </c>
      <c r="N39" s="284">
        <f t="shared" si="1"/>
        <v>32.158960030000117</v>
      </c>
      <c r="O39" s="284">
        <f t="shared" ref="O39" si="34">I39-C39</f>
        <v>32.158960030000117</v>
      </c>
      <c r="P39" s="284">
        <f t="shared" ref="P39" si="35">J39-D39</f>
        <v>0</v>
      </c>
      <c r="Q39" s="284">
        <f t="shared" ref="Q39" si="36">K39-E39</f>
        <v>0</v>
      </c>
      <c r="R39" s="284">
        <f t="shared" ref="R39" si="37">L39-F39</f>
        <v>0</v>
      </c>
      <c r="S39" s="285">
        <f t="shared" ref="S39" si="38">M39-G39</f>
        <v>0</v>
      </c>
    </row>
    <row r="40" spans="1:21" s="286" customFormat="1" x14ac:dyDescent="0.3">
      <c r="A40" s="103" t="s">
        <v>84</v>
      </c>
      <c r="B40" s="284">
        <v>119.69085800000001</v>
      </c>
      <c r="C40" s="284">
        <v>119.69085800000001</v>
      </c>
      <c r="D40" s="284">
        <v>0</v>
      </c>
      <c r="E40" s="284">
        <v>0</v>
      </c>
      <c r="F40" s="284">
        <v>0</v>
      </c>
      <c r="G40" s="284">
        <v>0</v>
      </c>
      <c r="H40" s="284">
        <f>'Прил. 1.1 - конс.'!X108</f>
        <v>954.77595267999993</v>
      </c>
      <c r="I40" s="284">
        <f>'Прил. 1.1 - конс.'!Y108</f>
        <v>954.77595267999993</v>
      </c>
      <c r="J40" s="284">
        <f>'Прил. 1.1 - конс.'!Z108</f>
        <v>0</v>
      </c>
      <c r="K40" s="284">
        <f>'Прил. 1.1 - конс.'!AA108</f>
        <v>0</v>
      </c>
      <c r="L40" s="284">
        <f>'Прил. 1.1 - конс.'!AB108</f>
        <v>0</v>
      </c>
      <c r="M40" s="284">
        <f>'Прил. 1.1 - конс.'!AC108</f>
        <v>0</v>
      </c>
      <c r="N40" s="284">
        <f t="shared" si="1"/>
        <v>835.08509467999988</v>
      </c>
      <c r="O40" s="284">
        <f t="shared" ref="O40:O41" si="39">I40-C40</f>
        <v>835.08509467999988</v>
      </c>
      <c r="P40" s="284">
        <f t="shared" ref="P40:P41" si="40">J40-D40</f>
        <v>0</v>
      </c>
      <c r="Q40" s="284">
        <f t="shared" ref="Q40:Q41" si="41">K40-E40</f>
        <v>0</v>
      </c>
      <c r="R40" s="284">
        <f t="shared" ref="R40:R41" si="42">L40-F40</f>
        <v>0</v>
      </c>
      <c r="S40" s="285">
        <f t="shared" ref="S40:S41" si="43">M40-G40</f>
        <v>0</v>
      </c>
    </row>
    <row r="41" spans="1:21" s="286" customFormat="1" x14ac:dyDescent="0.3">
      <c r="A41" s="103" t="s">
        <v>85</v>
      </c>
      <c r="B41" s="284">
        <v>7078.1341171200002</v>
      </c>
      <c r="C41" s="284">
        <v>7077.6719051199998</v>
      </c>
      <c r="D41" s="284">
        <v>0.46221200000000001</v>
      </c>
      <c r="E41" s="284">
        <v>9.7212000000000007E-2</v>
      </c>
      <c r="F41" s="284">
        <v>0.36499999999999999</v>
      </c>
      <c r="G41" s="284">
        <v>0</v>
      </c>
      <c r="H41" s="284">
        <f>'Прил. 1.1 - конс.'!X109</f>
        <v>6414.1570691099996</v>
      </c>
      <c r="I41" s="284">
        <f>'Прил. 1.1 - конс.'!Y109</f>
        <v>6414.0644223999998</v>
      </c>
      <c r="J41" s="284">
        <f>'Прил. 1.1 - конс.'!Z109</f>
        <v>9.2646709999999993E-2</v>
      </c>
      <c r="K41" s="284">
        <f>'Прил. 1.1 - конс.'!AA109</f>
        <v>3.5146709999999998E-2</v>
      </c>
      <c r="L41" s="284">
        <f>'Прил. 1.1 - конс.'!AB109</f>
        <v>5.7500000000000002E-2</v>
      </c>
      <c r="M41" s="284">
        <f>'Прил. 1.1 - конс.'!AC109</f>
        <v>0</v>
      </c>
      <c r="N41" s="284">
        <f t="shared" si="1"/>
        <v>-663.97704801000054</v>
      </c>
      <c r="O41" s="284">
        <f t="shared" si="39"/>
        <v>-663.60748272000001</v>
      </c>
      <c r="P41" s="284">
        <f t="shared" si="40"/>
        <v>-0.36956529000000005</v>
      </c>
      <c r="Q41" s="284">
        <f t="shared" si="41"/>
        <v>-6.2065290000000009E-2</v>
      </c>
      <c r="R41" s="284">
        <f t="shared" si="42"/>
        <v>-0.3075</v>
      </c>
      <c r="S41" s="285">
        <f t="shared" si="43"/>
        <v>0</v>
      </c>
    </row>
    <row r="42" spans="1:21" s="212" customFormat="1" x14ac:dyDescent="0.3">
      <c r="A42" s="99" t="s">
        <v>279</v>
      </c>
      <c r="B42" s="253">
        <v>8911.4406151299991</v>
      </c>
      <c r="C42" s="253">
        <v>8363.2509473099999</v>
      </c>
      <c r="D42" s="253">
        <v>1293.4250198299999</v>
      </c>
      <c r="E42" s="253">
        <v>976.70103584000003</v>
      </c>
      <c r="F42" s="253">
        <v>316.52400275999997</v>
      </c>
      <c r="G42" s="253">
        <v>78.857489920000006</v>
      </c>
      <c r="H42" s="253">
        <f>'Прил. 1.1 - конс.'!X111</f>
        <v>9683.7122241899997</v>
      </c>
      <c r="I42" s="253">
        <f>'Прил. 1.1 - конс.'!Y111</f>
        <v>9191.7736739500015</v>
      </c>
      <c r="J42" s="253">
        <f>'Прил. 1.1 - конс.'!Z111</f>
        <v>1546.6320129400001</v>
      </c>
      <c r="K42" s="253">
        <f>'Прил. 1.1 - конс.'!AA111</f>
        <v>1203.84292544</v>
      </c>
      <c r="L42" s="253">
        <f>'Прил. 1.1 - конс.'!AB111</f>
        <v>337.89873799999998</v>
      </c>
      <c r="M42" s="253">
        <f>'Прил. 1.1 - конс.'!AC111</f>
        <v>10.7499635</v>
      </c>
      <c r="N42" s="253">
        <f t="shared" si="1"/>
        <v>772.27160906000063</v>
      </c>
      <c r="O42" s="253">
        <f t="shared" si="2"/>
        <v>828.52272664000157</v>
      </c>
      <c r="P42" s="253">
        <f t="shared" si="3"/>
        <v>253.20699311000021</v>
      </c>
      <c r="Q42" s="253">
        <f t="shared" si="4"/>
        <v>227.14188960000001</v>
      </c>
      <c r="R42" s="253">
        <f t="shared" si="5"/>
        <v>21.374735240000007</v>
      </c>
      <c r="S42" s="254">
        <f t="shared" si="6"/>
        <v>-68.107526419999999</v>
      </c>
      <c r="T42" s="212">
        <f>H42/$H$52%</f>
        <v>16.513007360001794</v>
      </c>
      <c r="U42" s="212">
        <f>J42/$J$52%</f>
        <v>6.4408476016859986</v>
      </c>
    </row>
    <row r="43" spans="1:21" s="286" customFormat="1" x14ac:dyDescent="0.3">
      <c r="A43" s="103" t="s">
        <v>281</v>
      </c>
      <c r="B43" s="284">
        <v>88.152411790000002</v>
      </c>
      <c r="C43" s="284">
        <v>32.492804319999998</v>
      </c>
      <c r="D43" s="284">
        <v>55.659607469999997</v>
      </c>
      <c r="E43" s="284">
        <v>32.97417145</v>
      </c>
      <c r="F43" s="284">
        <v>19.38383791</v>
      </c>
      <c r="G43" s="284">
        <v>3.30159811</v>
      </c>
      <c r="H43" s="284">
        <f>'Прил. 1.1 - конс.'!X113</f>
        <v>102.98418340000001</v>
      </c>
      <c r="I43" s="284">
        <f>'Прил. 1.1 - конс.'!Y113</f>
        <v>40.380779830000002</v>
      </c>
      <c r="J43" s="284">
        <f>'Прил. 1.1 - конс.'!Z113</f>
        <v>62.603403569999998</v>
      </c>
      <c r="K43" s="284">
        <f>'Прил. 1.1 - конс.'!AA113</f>
        <v>39.243145670000004</v>
      </c>
      <c r="L43" s="284">
        <f>'Прил. 1.1 - конс.'!AB113</f>
        <v>19.953719710000001</v>
      </c>
      <c r="M43" s="284">
        <f>'Прил. 1.1 - конс.'!AC113</f>
        <v>3.40653819</v>
      </c>
      <c r="N43" s="284">
        <f t="shared" ref="N43" si="44">H43-B43</f>
        <v>14.831771610000004</v>
      </c>
      <c r="O43" s="284">
        <f t="shared" ref="O43" si="45">I43-C43</f>
        <v>7.887975510000004</v>
      </c>
      <c r="P43" s="284">
        <f t="shared" ref="P43" si="46">J43-D43</f>
        <v>6.9437961000000001</v>
      </c>
      <c r="Q43" s="284">
        <f t="shared" ref="Q43" si="47">K43-E43</f>
        <v>6.268974220000004</v>
      </c>
      <c r="R43" s="284">
        <f t="shared" ref="R43" si="48">L43-F43</f>
        <v>0.56988180000000099</v>
      </c>
      <c r="S43" s="285">
        <f t="shared" ref="S43" si="49">M43-G43</f>
        <v>0.10494007999999999</v>
      </c>
    </row>
    <row r="44" spans="1:21" s="286" customFormat="1" x14ac:dyDescent="0.3">
      <c r="A44" s="103" t="s">
        <v>280</v>
      </c>
      <c r="B44" s="284">
        <v>1549.91196709</v>
      </c>
      <c r="C44" s="284">
        <v>1469.8579275</v>
      </c>
      <c r="D44" s="284">
        <v>80.054039590000002</v>
      </c>
      <c r="E44" s="284">
        <v>80.040539590000009</v>
      </c>
      <c r="F44" s="284">
        <v>1.0999999999999999E-2</v>
      </c>
      <c r="G44" s="284">
        <v>2.5000000000000001E-3</v>
      </c>
      <c r="H44" s="284">
        <f>'Прил. 1.1 - конс.'!X115</f>
        <v>1537.46156021</v>
      </c>
      <c r="I44" s="284">
        <f>'Прил. 1.1 - конс.'!Y115</f>
        <v>1537.38356021</v>
      </c>
      <c r="J44" s="284">
        <f>'Прил. 1.1 - конс.'!Z115</f>
        <v>7.8E-2</v>
      </c>
      <c r="K44" s="284">
        <f>'Прил. 1.1 - конс.'!AA115</f>
        <v>0</v>
      </c>
      <c r="L44" s="284">
        <f>'Прил. 1.1 - конс.'!AB115</f>
        <v>7.8E-2</v>
      </c>
      <c r="M44" s="284">
        <f>'Прил. 1.1 - конс.'!AC115</f>
        <v>0</v>
      </c>
      <c r="N44" s="284">
        <f t="shared" ref="N44:N47" si="50">H44-B44</f>
        <v>-12.450406879999946</v>
      </c>
      <c r="O44" s="284">
        <f t="shared" ref="O44:O47" si="51">I44-C44</f>
        <v>67.525632710000082</v>
      </c>
      <c r="P44" s="284">
        <f t="shared" ref="P44:P47" si="52">J44-D44</f>
        <v>-79.976039589999999</v>
      </c>
      <c r="Q44" s="284">
        <f t="shared" ref="Q44:Q47" si="53">K44-E44</f>
        <v>-80.040539590000009</v>
      </c>
      <c r="R44" s="284">
        <f t="shared" ref="R44:R47" si="54">L44-F44</f>
        <v>6.7000000000000004E-2</v>
      </c>
      <c r="S44" s="285">
        <f t="shared" ref="S44:S47" si="55">M44-G44</f>
        <v>-2.5000000000000001E-3</v>
      </c>
    </row>
    <row r="45" spans="1:21" s="286" customFormat="1" x14ac:dyDescent="0.3">
      <c r="A45" s="103" t="s">
        <v>282</v>
      </c>
      <c r="B45" s="284">
        <v>6429.9351297600006</v>
      </c>
      <c r="C45" s="284">
        <v>6072.2370915399997</v>
      </c>
      <c r="D45" s="284">
        <v>654.68271297000001</v>
      </c>
      <c r="E45" s="284">
        <v>546.82830690999992</v>
      </c>
      <c r="F45" s="284">
        <v>104.44049432999999</v>
      </c>
      <c r="G45" s="284">
        <v>3.97048573</v>
      </c>
      <c r="H45" s="284">
        <f>'Прил. 1.1 - конс.'!X117</f>
        <v>5960.1139137600003</v>
      </c>
      <c r="I45" s="284">
        <f>'Прил. 1.1 - конс.'!Y117</f>
        <v>5580.7600286099996</v>
      </c>
      <c r="J45" s="284">
        <f>'Прил. 1.1 - конс.'!Z117</f>
        <v>920.40843325000014</v>
      </c>
      <c r="K45" s="284">
        <f>'Прил. 1.1 - конс.'!AA117</f>
        <v>803.89485253999999</v>
      </c>
      <c r="L45" s="284">
        <f>'Прил. 1.1 - конс.'!AB117</f>
        <v>115.34097193000001</v>
      </c>
      <c r="M45" s="284">
        <f>'Прил. 1.1 - конс.'!AC117</f>
        <v>1.80866178</v>
      </c>
      <c r="N45" s="284">
        <f t="shared" si="50"/>
        <v>-469.82121600000028</v>
      </c>
      <c r="O45" s="284">
        <f t="shared" si="51"/>
        <v>-491.4770629300001</v>
      </c>
      <c r="P45" s="284">
        <f t="shared" si="52"/>
        <v>265.72572028000013</v>
      </c>
      <c r="Q45" s="284">
        <f t="shared" si="53"/>
        <v>257.06654563000006</v>
      </c>
      <c r="R45" s="284">
        <f t="shared" si="54"/>
        <v>10.900477600000016</v>
      </c>
      <c r="S45" s="285">
        <f t="shared" si="55"/>
        <v>-2.16182395</v>
      </c>
    </row>
    <row r="46" spans="1:21" s="286" customFormat="1" x14ac:dyDescent="0.3">
      <c r="A46" s="103" t="s">
        <v>283</v>
      </c>
      <c r="B46" s="284">
        <v>670.86204508000003</v>
      </c>
      <c r="C46" s="284">
        <v>662.85644510999998</v>
      </c>
      <c r="D46" s="284">
        <v>352.95098471999995</v>
      </c>
      <c r="E46" s="284">
        <v>201.41337307000001</v>
      </c>
      <c r="F46" s="284">
        <v>158.57593346000002</v>
      </c>
      <c r="G46" s="284">
        <v>70.85661288</v>
      </c>
      <c r="H46" s="284">
        <f>'Прил. 1.1 - конс.'!X119</f>
        <v>1920.0773383000001</v>
      </c>
      <c r="I46" s="284">
        <f>'Прил. 1.1 - конс.'!Y119</f>
        <v>1911.8367719400001</v>
      </c>
      <c r="J46" s="284">
        <f>'Прил. 1.1 - конс.'!Z119</f>
        <v>421.00838673999999</v>
      </c>
      <c r="K46" s="284">
        <f>'Прил. 1.1 - конс.'!AA119</f>
        <v>250.90013456</v>
      </c>
      <c r="L46" s="284">
        <f>'Прил. 1.1 - конс.'!AB119</f>
        <v>170.10825217999999</v>
      </c>
      <c r="M46" s="284">
        <f>'Прил. 1.1 - конс.'!AC119</f>
        <v>5.1829609999999997</v>
      </c>
      <c r="N46" s="284">
        <f t="shared" si="50"/>
        <v>1249.2152932200001</v>
      </c>
      <c r="O46" s="284">
        <f t="shared" si="51"/>
        <v>1248.9803268300002</v>
      </c>
      <c r="P46" s="284">
        <f t="shared" si="52"/>
        <v>68.05740202000004</v>
      </c>
      <c r="Q46" s="284">
        <f t="shared" si="53"/>
        <v>49.486761489999992</v>
      </c>
      <c r="R46" s="284">
        <f t="shared" si="54"/>
        <v>11.532318719999978</v>
      </c>
      <c r="S46" s="285">
        <f t="shared" si="55"/>
        <v>-65.673651879999994</v>
      </c>
    </row>
    <row r="47" spans="1:21" s="286" customFormat="1" x14ac:dyDescent="0.3">
      <c r="A47" s="103" t="s">
        <v>284</v>
      </c>
      <c r="B47" s="284">
        <v>172.57906141000001</v>
      </c>
      <c r="C47" s="284">
        <v>125.80667884</v>
      </c>
      <c r="D47" s="284">
        <v>150.09367508</v>
      </c>
      <c r="E47" s="284">
        <v>115.44464481999999</v>
      </c>
      <c r="F47" s="284">
        <v>34.112737060000001</v>
      </c>
      <c r="G47" s="284">
        <v>0.72629319999999997</v>
      </c>
      <c r="H47" s="284">
        <f>'Прил. 1.1 - конс.'!X121</f>
        <v>163.07522852000002</v>
      </c>
      <c r="I47" s="284">
        <f>'Прил. 1.1 - конс.'!Y121</f>
        <v>121.41253336</v>
      </c>
      <c r="J47" s="284">
        <f>'Прил. 1.1 - конс.'!Z121</f>
        <v>142.53378938</v>
      </c>
      <c r="K47" s="284">
        <f>'Прил. 1.1 - конс.'!AA121</f>
        <v>109.80479267</v>
      </c>
      <c r="L47" s="284">
        <f>'Прил. 1.1 - конс.'!AB121</f>
        <v>32.417794180000001</v>
      </c>
      <c r="M47" s="284">
        <f>'Прил. 1.1 - конс.'!AC121</f>
        <v>0.35180253</v>
      </c>
      <c r="N47" s="284">
        <f t="shared" si="50"/>
        <v>-9.503832889999984</v>
      </c>
      <c r="O47" s="284">
        <f t="shared" si="51"/>
        <v>-4.3941454800000059</v>
      </c>
      <c r="P47" s="284">
        <f t="shared" si="52"/>
        <v>-7.5598856999999953</v>
      </c>
      <c r="Q47" s="284">
        <f t="shared" si="53"/>
        <v>-5.6398521499999958</v>
      </c>
      <c r="R47" s="284">
        <f t="shared" si="54"/>
        <v>-1.6949428799999993</v>
      </c>
      <c r="S47" s="285">
        <f t="shared" si="55"/>
        <v>-0.37449066999999997</v>
      </c>
    </row>
    <row r="48" spans="1:21" s="212" customFormat="1" x14ac:dyDescent="0.3">
      <c r="A48" s="99" t="s">
        <v>86</v>
      </c>
      <c r="B48" s="253">
        <v>536.20079773999998</v>
      </c>
      <c r="C48" s="253">
        <v>441.94311245</v>
      </c>
      <c r="D48" s="253">
        <v>220.08136587999999</v>
      </c>
      <c r="E48" s="253">
        <v>196.63038362999998</v>
      </c>
      <c r="F48" s="253">
        <v>19.337665250000001</v>
      </c>
      <c r="G48" s="253">
        <v>9.3983576400000004</v>
      </c>
      <c r="H48" s="253">
        <f>'Прил. 1.1 - конс.'!X123</f>
        <v>481.89857093000001</v>
      </c>
      <c r="I48" s="253">
        <f>'Прил. 1.1 - конс.'!Y123</f>
        <v>408.31453719000001</v>
      </c>
      <c r="J48" s="253">
        <f>'Прил. 1.1 - конс.'!Z123</f>
        <v>121.90039899000001</v>
      </c>
      <c r="K48" s="253">
        <f>'Прил. 1.1 - конс.'!AA123</f>
        <v>102.35526412</v>
      </c>
      <c r="L48" s="253">
        <f>'Прил. 1.1 - конс.'!AB123</f>
        <v>17.537139530000001</v>
      </c>
      <c r="M48" s="253">
        <f>'Прил. 1.1 - конс.'!AC123</f>
        <v>5.39833009</v>
      </c>
      <c r="N48" s="253">
        <f t="shared" si="1"/>
        <v>-54.302226809999979</v>
      </c>
      <c r="O48" s="253">
        <f t="shared" si="2"/>
        <v>-33.628575259999991</v>
      </c>
      <c r="P48" s="253">
        <f t="shared" si="3"/>
        <v>-98.180966889999979</v>
      </c>
      <c r="Q48" s="253">
        <f t="shared" si="4"/>
        <v>-94.275119509999982</v>
      </c>
      <c r="R48" s="253">
        <f t="shared" si="5"/>
        <v>-1.8005257199999996</v>
      </c>
      <c r="S48" s="254">
        <f t="shared" si="6"/>
        <v>-4.0000275500000004</v>
      </c>
      <c r="T48" s="212">
        <f>H48/$H$52%</f>
        <v>0.82175042631515771</v>
      </c>
      <c r="U48" s="212">
        <f>J48/$J$52%</f>
        <v>0.50764621830556056</v>
      </c>
    </row>
    <row r="49" spans="1:22" s="212" customFormat="1" x14ac:dyDescent="0.3">
      <c r="A49" s="99" t="s">
        <v>87</v>
      </c>
      <c r="B49" s="253">
        <v>80.52345351000001</v>
      </c>
      <c r="C49" s="253">
        <v>59.662899719999999</v>
      </c>
      <c r="D49" s="253">
        <v>20.860553790000001</v>
      </c>
      <c r="E49" s="253">
        <v>20.848673789999999</v>
      </c>
      <c r="F49" s="253">
        <v>0</v>
      </c>
      <c r="G49" s="253">
        <v>1.188E-2</v>
      </c>
      <c r="H49" s="253">
        <f>'Прил. 1.1 - конс.'!X125</f>
        <v>74.542946479999998</v>
      </c>
      <c r="I49" s="253">
        <f>'Прил. 1.1 - конс.'!Y125</f>
        <v>59.827536630000004</v>
      </c>
      <c r="J49" s="253">
        <f>'Прил. 1.1 - конс.'!Z125</f>
        <v>14.71540985</v>
      </c>
      <c r="K49" s="253">
        <f>'Прил. 1.1 - конс.'!AA125</f>
        <v>14.707425000000001</v>
      </c>
      <c r="L49" s="253">
        <f>'Прил. 1.1 - конс.'!AB125</f>
        <v>0</v>
      </c>
      <c r="M49" s="253">
        <f>'Прил. 1.1 - конс.'!AC125</f>
        <v>0</v>
      </c>
      <c r="N49" s="253">
        <f t="shared" si="1"/>
        <v>-5.9805070300000125</v>
      </c>
      <c r="O49" s="253">
        <f t="shared" si="2"/>
        <v>0.1646369100000058</v>
      </c>
      <c r="P49" s="253">
        <f t="shared" si="3"/>
        <v>-6.1451439400000005</v>
      </c>
      <c r="Q49" s="253">
        <f t="shared" si="4"/>
        <v>-6.1412487899999988</v>
      </c>
      <c r="R49" s="253">
        <f t="shared" si="5"/>
        <v>0</v>
      </c>
      <c r="S49" s="254">
        <f t="shared" si="6"/>
        <v>-1.188E-2</v>
      </c>
      <c r="T49" s="212">
        <f>H49/$H$52%</f>
        <v>0.12711325939504789</v>
      </c>
      <c r="U49" s="212">
        <f>J49/$J$52%</f>
        <v>6.1281359397205172E-2</v>
      </c>
    </row>
    <row r="50" spans="1:22" s="212" customFormat="1" x14ac:dyDescent="0.3">
      <c r="A50" s="99" t="s">
        <v>88</v>
      </c>
      <c r="B50" s="253">
        <v>1290.4272151700002</v>
      </c>
      <c r="C50" s="253">
        <v>1059.4749786299999</v>
      </c>
      <c r="D50" s="253">
        <v>230.95223654</v>
      </c>
      <c r="E50" s="253">
        <v>208.08031672999999</v>
      </c>
      <c r="F50" s="253">
        <v>22.00439132</v>
      </c>
      <c r="G50" s="253">
        <v>0.86752848999999999</v>
      </c>
      <c r="H50" s="253">
        <f>'Прил. 1.1 - конс.'!X126</f>
        <v>1051.4333517699999</v>
      </c>
      <c r="I50" s="253">
        <f>'Прил. 1.1 - конс.'!Y126</f>
        <v>801.27699720999999</v>
      </c>
      <c r="J50" s="253">
        <f>'Прил. 1.1 - конс.'!Z126</f>
        <v>250.15635456000001</v>
      </c>
      <c r="K50" s="253">
        <f>'Прил. 1.1 - конс.'!AA126</f>
        <v>220.17636069</v>
      </c>
      <c r="L50" s="253">
        <f>'Прил. 1.1 - конс.'!AB126</f>
        <v>27.70725994</v>
      </c>
      <c r="M50" s="253">
        <f>'Прил. 1.1 - конс.'!AC126</f>
        <v>2.2727339300000002</v>
      </c>
      <c r="N50" s="253">
        <f t="shared" si="1"/>
        <v>-238.99386340000024</v>
      </c>
      <c r="O50" s="253">
        <f t="shared" si="2"/>
        <v>-258.19798141999991</v>
      </c>
      <c r="P50" s="253">
        <f t="shared" si="3"/>
        <v>19.20411802000001</v>
      </c>
      <c r="Q50" s="253">
        <f t="shared" si="4"/>
        <v>12.096043960000003</v>
      </c>
      <c r="R50" s="253">
        <f t="shared" si="5"/>
        <v>5.7028686200000003</v>
      </c>
      <c r="S50" s="254">
        <f t="shared" si="6"/>
        <v>1.4052054400000002</v>
      </c>
      <c r="T50" s="212">
        <f>H50/$H$52%</f>
        <v>1.7929412062615941</v>
      </c>
      <c r="U50" s="212">
        <f>J50/$J$52%</f>
        <v>1.0417597352401329</v>
      </c>
    </row>
    <row r="51" spans="1:22" s="212" customFormat="1" x14ac:dyDescent="0.3">
      <c r="A51" s="99" t="s">
        <v>89</v>
      </c>
      <c r="B51" s="253">
        <v>0</v>
      </c>
      <c r="C51" s="253">
        <v>2386.4612000000002</v>
      </c>
      <c r="D51" s="253">
        <v>0</v>
      </c>
      <c r="E51" s="253">
        <v>0</v>
      </c>
      <c r="F51" s="253">
        <v>421.47837526000001</v>
      </c>
      <c r="G51" s="253">
        <v>0.38124999999999998</v>
      </c>
      <c r="H51" s="253">
        <f>'Прил. 1.1 - конс.'!X127</f>
        <v>0</v>
      </c>
      <c r="I51" s="253">
        <f>'Прил. 1.1 - конс.'!Y127</f>
        <v>2543.8550169999999</v>
      </c>
      <c r="J51" s="253">
        <f>'Прил. 1.1 - конс.'!Z127</f>
        <v>0</v>
      </c>
      <c r="K51" s="253">
        <f>'Прил. 1.1 - конс.'!AA127</f>
        <v>0</v>
      </c>
      <c r="L51" s="253">
        <f>'Прил. 1.1 - конс.'!AB127</f>
        <v>385.00010419</v>
      </c>
      <c r="M51" s="253">
        <f>'Прил. 1.1 - конс.'!AC127</f>
        <v>0</v>
      </c>
      <c r="N51" s="253"/>
      <c r="O51" s="253">
        <f t="shared" si="2"/>
        <v>157.39381699999967</v>
      </c>
      <c r="P51" s="253"/>
      <c r="Q51" s="253">
        <f t="shared" si="4"/>
        <v>0</v>
      </c>
      <c r="R51" s="253">
        <f t="shared" si="5"/>
        <v>-36.478271070000005</v>
      </c>
      <c r="S51" s="254">
        <f t="shared" si="6"/>
        <v>-0.38124999999999998</v>
      </c>
      <c r="T51" s="212">
        <f>H51/$H$52%</f>
        <v>0</v>
      </c>
      <c r="U51" s="212">
        <f>J51/$J$52%</f>
        <v>0</v>
      </c>
    </row>
    <row r="52" spans="1:22" s="212" customFormat="1" x14ac:dyDescent="0.3">
      <c r="A52" s="123" t="s">
        <v>93</v>
      </c>
      <c r="B52" s="255">
        <v>55955.220362159998</v>
      </c>
      <c r="C52" s="255">
        <v>46547.341275529994</v>
      </c>
      <c r="D52" s="255">
        <v>24343.430043220003</v>
      </c>
      <c r="E52" s="255">
        <v>13543.075410619998</v>
      </c>
      <c r="F52" s="255">
        <v>10015.51791606</v>
      </c>
      <c r="G52" s="255">
        <v>2315.4281015199999</v>
      </c>
      <c r="H52" s="255">
        <f>'Прил. 1.1 - конс.'!X131</f>
        <v>58642.935311990004</v>
      </c>
      <c r="I52" s="255">
        <f>'Прил. 1.1 - конс.'!Y131</f>
        <v>49251.332541350006</v>
      </c>
      <c r="J52" s="255">
        <f>'Прил. 1.1 - конс.'!Z131</f>
        <v>24012.864588429999</v>
      </c>
      <c r="K52" s="255">
        <f>'Прил. 1.1 - конс.'!AA131</f>
        <v>13364.996448060001</v>
      </c>
      <c r="L52" s="255">
        <f>'Прил. 1.1 - конс.'!AB131</f>
        <v>9987.9330316100004</v>
      </c>
      <c r="M52" s="255">
        <f>'Прил. 1.1 - конс.'!AC131</f>
        <v>1867.7996566899999</v>
      </c>
      <c r="N52" s="255">
        <f t="shared" ref="N52:N54" si="56">H52-B52</f>
        <v>2687.7149498300059</v>
      </c>
      <c r="O52" s="255">
        <f t="shared" ref="O52:O54" si="57">I52-C52</f>
        <v>2703.9912658200119</v>
      </c>
      <c r="P52" s="255">
        <f t="shared" ref="P52:P54" si="58">J52-D52</f>
        <v>-330.56545479000488</v>
      </c>
      <c r="Q52" s="255">
        <f t="shared" ref="Q52:Q54" si="59">K52-E52</f>
        <v>-178.07896255999731</v>
      </c>
      <c r="R52" s="255">
        <f t="shared" ref="R52:R54" si="60">L52-F52</f>
        <v>-27.584884449999663</v>
      </c>
      <c r="S52" s="256">
        <f t="shared" ref="S52:S54" si="61">M52-G52</f>
        <v>-447.62844483000003</v>
      </c>
      <c r="T52" s="212">
        <f>H52/$H$52%</f>
        <v>100</v>
      </c>
      <c r="U52" s="212">
        <f>J52/$J$52%</f>
        <v>100</v>
      </c>
      <c r="V52" s="212">
        <f>J52/D52%-100</f>
        <v>-1.3579247222068176</v>
      </c>
    </row>
    <row r="53" spans="1:22" x14ac:dyDescent="0.3">
      <c r="A53" s="133" t="s">
        <v>61</v>
      </c>
      <c r="B53" s="33">
        <v>145.01805762999999</v>
      </c>
      <c r="C53" s="33">
        <v>15080.56901422</v>
      </c>
      <c r="D53" s="33">
        <v>1530.5913849799999</v>
      </c>
      <c r="E53" s="33">
        <v>0</v>
      </c>
      <c r="F53" s="33">
        <v>1453.2006209799999</v>
      </c>
      <c r="G53" s="33">
        <v>77.390764000000004</v>
      </c>
      <c r="H53" s="33">
        <f>'Прил. 1.1 - конс.'!X133</f>
        <v>19.142002050000002</v>
      </c>
      <c r="I53" s="33">
        <f>'Прил. 1.1 - конс.'!Y133</f>
        <v>14640.403819840001</v>
      </c>
      <c r="J53" s="33">
        <f>'Прил. 1.1 - конс.'!Z133</f>
        <v>1207.8645479300001</v>
      </c>
      <c r="K53" s="33">
        <f>'Прил. 1.1 - конс.'!AA133</f>
        <v>0</v>
      </c>
      <c r="L53" s="33">
        <f>'Прил. 1.1 - конс.'!AB133</f>
        <v>1136.35983147</v>
      </c>
      <c r="M53" s="33">
        <f>'Прил. 1.1 - конс.'!AC133</f>
        <v>71.504716459999997</v>
      </c>
      <c r="N53" s="33">
        <f t="shared" si="56"/>
        <v>-125.87605557999998</v>
      </c>
      <c r="O53" s="33">
        <f t="shared" si="57"/>
        <v>-440.16519437999887</v>
      </c>
      <c r="P53" s="33">
        <f t="shared" si="58"/>
        <v>-322.72683704999986</v>
      </c>
      <c r="Q53" s="33">
        <f t="shared" si="59"/>
        <v>0</v>
      </c>
      <c r="R53" s="33">
        <f t="shared" si="60"/>
        <v>-316.84078950999992</v>
      </c>
      <c r="S53" s="49">
        <f t="shared" si="61"/>
        <v>-5.886047540000007</v>
      </c>
    </row>
    <row r="54" spans="1:22" s="212" customFormat="1" ht="27" thickBot="1" x14ac:dyDescent="0.35">
      <c r="A54" s="75" t="s">
        <v>259</v>
      </c>
      <c r="B54" s="219">
        <v>973.61566105000304</v>
      </c>
      <c r="C54" s="219">
        <v>1494.9794910200119</v>
      </c>
      <c r="D54" s="219">
        <v>-521.36382997000499</v>
      </c>
      <c r="E54" s="219">
        <v>-813.8218473400002</v>
      </c>
      <c r="F54" s="219">
        <v>311.73091832000159</v>
      </c>
      <c r="G54" s="219">
        <v>-19.272900950000285</v>
      </c>
      <c r="H54" s="219">
        <f>'Прил. 1.1 - конс.'!X135</f>
        <v>-5159.7577674000095</v>
      </c>
      <c r="I54" s="219">
        <f>'Прил. 1.1 - конс.'!Y135</f>
        <v>-4031.422930350006</v>
      </c>
      <c r="J54" s="219">
        <f>'Прил. 1.1 - конс.'!Z135</f>
        <v>-1128.334837050003</v>
      </c>
      <c r="K54" s="219">
        <f>'Прил. 1.1 - конс.'!AA135</f>
        <v>-293.23246340999987</v>
      </c>
      <c r="L54" s="219">
        <f>'Прил. 1.1 - конс.'!AB135</f>
        <v>-156.20775386999892</v>
      </c>
      <c r="M54" s="219">
        <f>'Прил. 1.1 - конс.'!AC135</f>
        <v>-678.89461976999974</v>
      </c>
      <c r="N54" s="219">
        <f t="shared" si="56"/>
        <v>-6133.3734284500124</v>
      </c>
      <c r="O54" s="219">
        <f t="shared" si="57"/>
        <v>-5526.4024213700177</v>
      </c>
      <c r="P54" s="219">
        <f t="shared" si="58"/>
        <v>-606.971007079998</v>
      </c>
      <c r="Q54" s="219">
        <f t="shared" si="59"/>
        <v>520.58938393000039</v>
      </c>
      <c r="R54" s="219">
        <f t="shared" si="60"/>
        <v>-467.93867219000049</v>
      </c>
      <c r="S54" s="220">
        <f t="shared" si="61"/>
        <v>-659.6217188199995</v>
      </c>
    </row>
    <row r="55" spans="1:22" ht="13.8" thickTop="1" x14ac:dyDescent="0.3"/>
  </sheetData>
  <autoFilter ref="A8:T54"/>
  <mergeCells count="21">
    <mergeCell ref="N5:N7"/>
    <mergeCell ref="O5:S5"/>
    <mergeCell ref="O6:O7"/>
    <mergeCell ref="P6:P7"/>
    <mergeCell ref="Q6:S6"/>
    <mergeCell ref="A2:S2"/>
    <mergeCell ref="P1:S1"/>
    <mergeCell ref="I6:I7"/>
    <mergeCell ref="J6:J7"/>
    <mergeCell ref="K6:M6"/>
    <mergeCell ref="C6:C7"/>
    <mergeCell ref="D6:D7"/>
    <mergeCell ref="E6:G6"/>
    <mergeCell ref="A4:A7"/>
    <mergeCell ref="H4:M4"/>
    <mergeCell ref="B4:G4"/>
    <mergeCell ref="N4:S4"/>
    <mergeCell ref="H5:H7"/>
    <mergeCell ref="I5:M5"/>
    <mergeCell ref="B5:B7"/>
    <mergeCell ref="C5:G5"/>
  </mergeCells>
  <printOptions horizontalCentered="1"/>
  <pageMargins left="0" right="0" top="0.94488188976377963" bottom="0.74803149606299213" header="0.70866141732283472" footer="0.31496062992125984"/>
  <pageSetup paperSize="9" scale="68" fitToHeight="1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B1" workbookViewId="0">
      <selection activeCell="B5" sqref="B5:D6"/>
    </sheetView>
  </sheetViews>
  <sheetFormatPr defaultColWidth="9.109375" defaultRowHeight="13.2" x14ac:dyDescent="0.25"/>
  <cols>
    <col min="1" max="1" width="22.44140625" style="205" customWidth="1"/>
    <col min="2" max="3" width="12.33203125" style="211" bestFit="1" customWidth="1"/>
    <col min="4" max="4" width="6.109375" style="211" bestFit="1" customWidth="1"/>
    <col min="5" max="6" width="12.33203125" style="211" bestFit="1" customWidth="1"/>
    <col min="7" max="7" width="5.109375" style="211" bestFit="1" customWidth="1"/>
    <col min="8" max="8" width="11.6640625" style="211" customWidth="1"/>
    <col min="9" max="9" width="12" style="211" customWidth="1"/>
    <col min="10" max="10" width="11.33203125" style="211" customWidth="1"/>
    <col min="11" max="11" width="11.33203125" style="211" bestFit="1" customWidth="1"/>
    <col min="12" max="12" width="10.33203125" style="211" bestFit="1" customWidth="1"/>
    <col min="13" max="13" width="11.88671875" style="211" bestFit="1" customWidth="1"/>
    <col min="14" max="14" width="11.44140625" style="211" customWidth="1"/>
    <col min="15" max="15" width="10.44140625" style="211" customWidth="1"/>
    <col min="16" max="16384" width="9.109375" style="211"/>
  </cols>
  <sheetData>
    <row r="1" spans="1:15" s="205" customFormat="1" x14ac:dyDescent="0.25">
      <c r="N1" s="402" t="s">
        <v>340</v>
      </c>
      <c r="O1" s="402"/>
    </row>
    <row r="2" spans="1:15" s="205" customFormat="1" x14ac:dyDescent="0.25"/>
    <row r="3" spans="1:15" s="205" customFormat="1" ht="33" customHeight="1" x14ac:dyDescent="0.25">
      <c r="A3" s="403" t="s">
        <v>337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</row>
    <row r="4" spans="1:15" s="205" customFormat="1" ht="13.8" thickBot="1" x14ac:dyDescent="0.3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367" t="s">
        <v>338</v>
      </c>
    </row>
    <row r="5" spans="1:15" s="205" customFormat="1" ht="13.8" thickTop="1" x14ac:dyDescent="0.25">
      <c r="A5" s="404" t="s">
        <v>184</v>
      </c>
      <c r="B5" s="384" t="s">
        <v>185</v>
      </c>
      <c r="C5" s="384"/>
      <c r="D5" s="384"/>
      <c r="E5" s="384" t="s">
        <v>186</v>
      </c>
      <c r="F5" s="384"/>
      <c r="G5" s="384"/>
      <c r="H5" s="384" t="s">
        <v>187</v>
      </c>
      <c r="I5" s="384"/>
      <c r="J5" s="384" t="s">
        <v>270</v>
      </c>
      <c r="K5" s="259" t="s">
        <v>8</v>
      </c>
      <c r="L5" s="384" t="s">
        <v>271</v>
      </c>
      <c r="M5" s="384"/>
      <c r="N5" s="384" t="s">
        <v>264</v>
      </c>
      <c r="O5" s="385" t="s">
        <v>272</v>
      </c>
    </row>
    <row r="6" spans="1:15" s="205" customFormat="1" ht="24" customHeight="1" x14ac:dyDescent="0.25">
      <c r="A6" s="405"/>
      <c r="B6" s="387"/>
      <c r="C6" s="387"/>
      <c r="D6" s="387"/>
      <c r="E6" s="387"/>
      <c r="F6" s="387"/>
      <c r="G6" s="387"/>
      <c r="H6" s="387"/>
      <c r="I6" s="387"/>
      <c r="J6" s="387"/>
      <c r="K6" s="387" t="s">
        <v>149</v>
      </c>
      <c r="L6" s="387"/>
      <c r="M6" s="387"/>
      <c r="N6" s="387"/>
      <c r="O6" s="388"/>
    </row>
    <row r="7" spans="1:15" s="205" customFormat="1" ht="26.4" x14ac:dyDescent="0.25">
      <c r="A7" s="405"/>
      <c r="B7" s="260" t="s">
        <v>188</v>
      </c>
      <c r="C7" s="260" t="s">
        <v>189</v>
      </c>
      <c r="D7" s="260" t="s">
        <v>147</v>
      </c>
      <c r="E7" s="260" t="s">
        <v>188</v>
      </c>
      <c r="F7" s="260" t="s">
        <v>189</v>
      </c>
      <c r="G7" s="260" t="s">
        <v>147</v>
      </c>
      <c r="H7" s="260" t="s">
        <v>188</v>
      </c>
      <c r="I7" s="260" t="s">
        <v>189</v>
      </c>
      <c r="J7" s="387"/>
      <c r="K7" s="387"/>
      <c r="L7" s="260" t="s">
        <v>190</v>
      </c>
      <c r="M7" s="260" t="s">
        <v>191</v>
      </c>
      <c r="N7" s="387"/>
      <c r="O7" s="388"/>
    </row>
    <row r="8" spans="1:15" s="209" customFormat="1" ht="10.199999999999999" x14ac:dyDescent="0.2">
      <c r="A8" s="207" t="s">
        <v>13</v>
      </c>
      <c r="B8" s="261" t="s">
        <v>14</v>
      </c>
      <c r="C8" s="261" t="s">
        <v>15</v>
      </c>
      <c r="D8" s="261" t="s">
        <v>192</v>
      </c>
      <c r="E8" s="261" t="s">
        <v>16</v>
      </c>
      <c r="F8" s="261" t="s">
        <v>193</v>
      </c>
      <c r="G8" s="261" t="s">
        <v>194</v>
      </c>
      <c r="H8" s="261" t="s">
        <v>193</v>
      </c>
      <c r="I8" s="261" t="s">
        <v>195</v>
      </c>
      <c r="J8" s="261" t="s">
        <v>17</v>
      </c>
      <c r="K8" s="261" t="s">
        <v>18</v>
      </c>
      <c r="L8" s="261" t="s">
        <v>19</v>
      </c>
      <c r="M8" s="261" t="s">
        <v>196</v>
      </c>
      <c r="N8" s="261" t="s">
        <v>197</v>
      </c>
      <c r="O8" s="208" t="s">
        <v>198</v>
      </c>
    </row>
    <row r="9" spans="1:15" x14ac:dyDescent="0.25">
      <c r="A9" s="210" t="s">
        <v>157</v>
      </c>
      <c r="B9" s="264">
        <f>Черн!AD7</f>
        <v>1426905.4009100001</v>
      </c>
      <c r="C9" s="264">
        <f>Черн!AE7</f>
        <v>1035057.4843899999</v>
      </c>
      <c r="D9" s="264">
        <f>C9/B9%</f>
        <v>72.53861985033474</v>
      </c>
      <c r="E9" s="264">
        <f>Черн!AK7</f>
        <v>1527964.53532</v>
      </c>
      <c r="F9" s="264">
        <f>Черн!AL7</f>
        <v>1066682.3494199999</v>
      </c>
      <c r="G9" s="264">
        <f>F9/E9%</f>
        <v>69.810674578033044</v>
      </c>
      <c r="H9" s="264">
        <f>Черн!CD7</f>
        <v>-101059.13440999994</v>
      </c>
      <c r="I9" s="264">
        <f>Черн!CE7</f>
        <v>-31624.865029999986</v>
      </c>
      <c r="J9" s="264">
        <f>Черн!BY7</f>
        <v>18298.911179999999</v>
      </c>
      <c r="K9" s="264">
        <f>Черн!CA7</f>
        <v>6509.7226200000005</v>
      </c>
      <c r="L9" s="264">
        <f>Черн!CB7</f>
        <v>-25507.689049999997</v>
      </c>
      <c r="M9" s="264">
        <f>Черн!CC7</f>
        <v>-42248.91259</v>
      </c>
      <c r="N9" s="264">
        <f>Черн!CG7</f>
        <v>34650</v>
      </c>
      <c r="O9" s="265">
        <f>Черн!CH7</f>
        <v>-4350</v>
      </c>
    </row>
    <row r="10" spans="1:15" x14ac:dyDescent="0.25">
      <c r="A10" s="210" t="s">
        <v>158</v>
      </c>
      <c r="B10" s="264">
        <f>Черн!AD8</f>
        <v>610072.1754200001</v>
      </c>
      <c r="C10" s="264">
        <f>Черн!AE8</f>
        <v>414172.46309999999</v>
      </c>
      <c r="D10" s="264">
        <f t="shared" ref="D10:D35" si="0">C10/B10%</f>
        <v>67.889092436458981</v>
      </c>
      <c r="E10" s="264">
        <f>Черн!AK8</f>
        <v>674587.59100999997</v>
      </c>
      <c r="F10" s="264">
        <f>Черн!AL8</f>
        <v>447734.71309999999</v>
      </c>
      <c r="G10" s="264">
        <f t="shared" ref="G10:G35" si="1">F10/E10%</f>
        <v>66.371620093047767</v>
      </c>
      <c r="H10" s="264">
        <f>Черн!CD8</f>
        <v>-64515.415589999873</v>
      </c>
      <c r="I10" s="264">
        <f>Черн!CE8</f>
        <v>-33562.25</v>
      </c>
      <c r="J10" s="264">
        <f>Черн!BY8</f>
        <v>42971.690889999998</v>
      </c>
      <c r="K10" s="264">
        <f>Черн!CA8</f>
        <v>3851.4494199999999</v>
      </c>
      <c r="L10" s="264">
        <f>Черн!CB8</f>
        <v>-23962.93204</v>
      </c>
      <c r="M10" s="264">
        <f>Черн!CC8</f>
        <v>-47823.141850000007</v>
      </c>
      <c r="N10" s="264">
        <f>Черн!CG8</f>
        <v>0</v>
      </c>
      <c r="O10" s="265">
        <f>Черн!CH8</f>
        <v>0</v>
      </c>
    </row>
    <row r="11" spans="1:15" x14ac:dyDescent="0.25">
      <c r="A11" s="210" t="s">
        <v>159</v>
      </c>
      <c r="B11" s="264">
        <f>Черн!AD9</f>
        <v>405851.98535000003</v>
      </c>
      <c r="C11" s="264">
        <f>Черн!AE9</f>
        <v>307462.98885000002</v>
      </c>
      <c r="D11" s="268">
        <f t="shared" si="0"/>
        <v>75.757418947907581</v>
      </c>
      <c r="E11" s="264">
        <f>Черн!AK9</f>
        <v>417687.02818000002</v>
      </c>
      <c r="F11" s="264">
        <f>Черн!AL9</f>
        <v>297307.71649000002</v>
      </c>
      <c r="G11" s="264">
        <f t="shared" si="1"/>
        <v>71.17954267947168</v>
      </c>
      <c r="H11" s="264">
        <f>Черн!CD9</f>
        <v>-11835.042829999991</v>
      </c>
      <c r="I11" s="264">
        <f>Черн!CE9</f>
        <v>10155.272360000003</v>
      </c>
      <c r="J11" s="264">
        <f>Черн!BY9</f>
        <v>31787.781230000001</v>
      </c>
      <c r="K11" s="264">
        <f>Черн!CA9</f>
        <v>2132.4250099999999</v>
      </c>
      <c r="L11" s="264">
        <f>Черн!CB9</f>
        <v>21060.167820000002</v>
      </c>
      <c r="M11" s="264">
        <f>Черн!CC9</f>
        <v>-2499.7659899999999</v>
      </c>
      <c r="N11" s="264">
        <f>Черн!CG9</f>
        <v>0</v>
      </c>
      <c r="O11" s="265">
        <f>Черн!CH9</f>
        <v>0</v>
      </c>
    </row>
    <row r="12" spans="1:15" x14ac:dyDescent="0.25">
      <c r="A12" s="210" t="s">
        <v>160</v>
      </c>
      <c r="B12" s="264">
        <f>Черн!AD10</f>
        <v>578298.04165000003</v>
      </c>
      <c r="C12" s="264">
        <f>Черн!AE10</f>
        <v>449401.13324999996</v>
      </c>
      <c r="D12" s="268">
        <f t="shared" si="0"/>
        <v>77.710989988444126</v>
      </c>
      <c r="E12" s="264">
        <f>Черн!AK10</f>
        <v>584424.43684999994</v>
      </c>
      <c r="F12" s="264">
        <f>Черн!AL10</f>
        <v>447751.29113000003</v>
      </c>
      <c r="G12" s="268">
        <f t="shared" si="1"/>
        <v>76.614060415293878</v>
      </c>
      <c r="H12" s="264">
        <f>Черн!CD10</f>
        <v>-6126.3951999999117</v>
      </c>
      <c r="I12" s="264">
        <f>Черн!CE10</f>
        <v>1649.8421199999284</v>
      </c>
      <c r="J12" s="264">
        <f>Черн!BY10</f>
        <v>62602.089469999999</v>
      </c>
      <c r="K12" s="264">
        <f>Черн!CA10</f>
        <v>3041.7605800000001</v>
      </c>
      <c r="L12" s="264">
        <f>Черн!CB10</f>
        <v>56019.84749</v>
      </c>
      <c r="M12" s="264">
        <f>Черн!CC10</f>
        <v>2309.7693900000004</v>
      </c>
      <c r="N12" s="264">
        <f>Черн!CG10</f>
        <v>0</v>
      </c>
      <c r="O12" s="265">
        <f>Черн!CH10</f>
        <v>0</v>
      </c>
    </row>
    <row r="13" spans="1:15" x14ac:dyDescent="0.25">
      <c r="A13" s="210" t="s">
        <v>161</v>
      </c>
      <c r="B13" s="264">
        <f>Черн!AD11</f>
        <v>614497.41254000005</v>
      </c>
      <c r="C13" s="264">
        <f>Черн!AE11</f>
        <v>421587.78531000001</v>
      </c>
      <c r="D13" s="264">
        <f t="shared" si="0"/>
        <v>68.606926035275578</v>
      </c>
      <c r="E13" s="264">
        <f>Черн!AK11</f>
        <v>646545.01272000012</v>
      </c>
      <c r="F13" s="264">
        <f>Черн!AL11</f>
        <v>443999.25100000005</v>
      </c>
      <c r="G13" s="264">
        <f t="shared" si="1"/>
        <v>68.672596998638241</v>
      </c>
      <c r="H13" s="264">
        <f>Черн!CD11</f>
        <v>-32047.600180000067</v>
      </c>
      <c r="I13" s="264">
        <f>Черн!CE11</f>
        <v>-22411.465690000041</v>
      </c>
      <c r="J13" s="264">
        <f>Черн!BY11</f>
        <v>10589.09541</v>
      </c>
      <c r="K13" s="264">
        <f>Черн!CA11</f>
        <v>7543.1536999999998</v>
      </c>
      <c r="L13" s="264">
        <f>Черн!CB11</f>
        <v>-22458.211929999998</v>
      </c>
      <c r="M13" s="264">
        <f>Черн!CC11</f>
        <v>-16308.509890000001</v>
      </c>
      <c r="N13" s="264">
        <f>Черн!CG11</f>
        <v>900</v>
      </c>
      <c r="O13" s="265">
        <f>Черн!CH11</f>
        <v>-3100</v>
      </c>
    </row>
    <row r="14" spans="1:15" x14ac:dyDescent="0.25">
      <c r="A14" s="210" t="s">
        <v>162</v>
      </c>
      <c r="B14" s="264">
        <f>Черн!AD12</f>
        <v>591968.13801000011</v>
      </c>
      <c r="C14" s="264">
        <f>Черн!AE12</f>
        <v>331446.18576999998</v>
      </c>
      <c r="D14" s="268">
        <f t="shared" si="0"/>
        <v>55.990544843209264</v>
      </c>
      <c r="E14" s="264">
        <f>Черн!AK12</f>
        <v>972746.58428000007</v>
      </c>
      <c r="F14" s="264">
        <f>Черн!AL12</f>
        <v>679449.51882000011</v>
      </c>
      <c r="G14" s="264">
        <f t="shared" si="1"/>
        <v>69.848563829490061</v>
      </c>
      <c r="H14" s="264">
        <f>Черн!CD12</f>
        <v>-380778.44626999996</v>
      </c>
      <c r="I14" s="264">
        <f>Черн!CE12</f>
        <v>-348003.33305000013</v>
      </c>
      <c r="J14" s="264">
        <f>Черн!BY12</f>
        <v>38524.573360000002</v>
      </c>
      <c r="K14" s="264">
        <f>Черн!CA12</f>
        <v>2183.66849</v>
      </c>
      <c r="L14" s="264">
        <f>Черн!CB12</f>
        <v>-343454.88215000002</v>
      </c>
      <c r="M14" s="264">
        <f>Черн!CC12</f>
        <v>-359695.81092000002</v>
      </c>
      <c r="N14" s="264">
        <f>Черн!CG12</f>
        <v>10950</v>
      </c>
      <c r="O14" s="265">
        <f>Черн!CH12</f>
        <v>0</v>
      </c>
    </row>
    <row r="15" spans="1:15" x14ac:dyDescent="0.25">
      <c r="A15" s="210" t="s">
        <v>163</v>
      </c>
      <c r="B15" s="264">
        <f>Черн!AD13</f>
        <v>580683.18035000004</v>
      </c>
      <c r="C15" s="264">
        <f>Черн!AE13</f>
        <v>406408.19955999998</v>
      </c>
      <c r="D15" s="264">
        <f t="shared" si="0"/>
        <v>69.987940638308515</v>
      </c>
      <c r="E15" s="264">
        <f>Черн!AK13</f>
        <v>612069.72786999994</v>
      </c>
      <c r="F15" s="264">
        <f>Черн!AL13</f>
        <v>426177.10921000002</v>
      </c>
      <c r="G15" s="264">
        <f t="shared" si="1"/>
        <v>69.628849427514496</v>
      </c>
      <c r="H15" s="264">
        <f>Черн!CD13</f>
        <v>-31386.547519999905</v>
      </c>
      <c r="I15" s="264">
        <f>Черн!CE13</f>
        <v>-19768.909650000045</v>
      </c>
      <c r="J15" s="264">
        <f>Черн!BY13</f>
        <v>19141.94124</v>
      </c>
      <c r="K15" s="264">
        <f>Черн!CA13</f>
        <v>709.85754000000009</v>
      </c>
      <c r="L15" s="264">
        <f>Черн!CB13</f>
        <v>3404.2152799999985</v>
      </c>
      <c r="M15" s="264">
        <f>Черн!CC13</f>
        <v>-8727.6936000000005</v>
      </c>
      <c r="N15" s="264">
        <f>Черн!CG13</f>
        <v>30514.9</v>
      </c>
      <c r="O15" s="265">
        <f>Черн!CH13</f>
        <v>-239.16982999999527</v>
      </c>
    </row>
    <row r="16" spans="1:15" x14ac:dyDescent="0.25">
      <c r="A16" s="210" t="s">
        <v>164</v>
      </c>
      <c r="B16" s="264">
        <f>Черн!AD14</f>
        <v>599839.1169599999</v>
      </c>
      <c r="C16" s="264">
        <f>Черн!AE14</f>
        <v>382526.66185999993</v>
      </c>
      <c r="D16" s="269">
        <f t="shared" si="0"/>
        <v>63.771543242904023</v>
      </c>
      <c r="E16" s="264">
        <f>Черн!AK14</f>
        <v>607699.64859</v>
      </c>
      <c r="F16" s="264">
        <f>Черн!AL14</f>
        <v>384876.24948</v>
      </c>
      <c r="G16" s="264">
        <f t="shared" si="1"/>
        <v>63.333301306492366</v>
      </c>
      <c r="H16" s="264">
        <f>Черн!CD14</f>
        <v>-7860.5316300000995</v>
      </c>
      <c r="I16" s="264">
        <f>Черн!CE14</f>
        <v>-2349.5876200000639</v>
      </c>
      <c r="J16" s="264">
        <f>Черн!BY14</f>
        <v>15706.84937</v>
      </c>
      <c r="K16" s="264">
        <f>Черн!CA14</f>
        <v>1789.4121699999998</v>
      </c>
      <c r="L16" s="264">
        <f>Черн!CB14</f>
        <v>1184.79853</v>
      </c>
      <c r="M16" s="264">
        <f>Черн!CC14</f>
        <v>1770.8631699999999</v>
      </c>
      <c r="N16" s="264">
        <f>Черн!CG14</f>
        <v>0</v>
      </c>
      <c r="O16" s="265">
        <f>Черн!CH14</f>
        <v>0</v>
      </c>
    </row>
    <row r="17" spans="1:15" x14ac:dyDescent="0.25">
      <c r="A17" s="210" t="s">
        <v>165</v>
      </c>
      <c r="B17" s="264">
        <f>Черн!AD15</f>
        <v>505548.12192000001</v>
      </c>
      <c r="C17" s="264">
        <f>Черн!AE15</f>
        <v>352443.70256999996</v>
      </c>
      <c r="D17" s="264">
        <f t="shared" si="0"/>
        <v>69.715164054307792</v>
      </c>
      <c r="E17" s="264">
        <f>Черн!AK15</f>
        <v>645995.96921000001</v>
      </c>
      <c r="F17" s="264">
        <f>Черн!AL15</f>
        <v>475619.96856999997</v>
      </c>
      <c r="G17" s="264">
        <f t="shared" si="1"/>
        <v>73.625841528337105</v>
      </c>
      <c r="H17" s="264">
        <f>Черн!CD15</f>
        <v>-140447.84729000001</v>
      </c>
      <c r="I17" s="264">
        <f>Черн!CE15</f>
        <v>-123176.266</v>
      </c>
      <c r="J17" s="264">
        <f>Черн!BY15</f>
        <v>21732.934639999999</v>
      </c>
      <c r="K17" s="264">
        <f>Черн!CA15</f>
        <v>6232.4849699999995</v>
      </c>
      <c r="L17" s="264">
        <f>Черн!CB15</f>
        <v>-110407.16581999999</v>
      </c>
      <c r="M17" s="264">
        <f>Черн!CC15</f>
        <v>-12249.220630000002</v>
      </c>
      <c r="N17" s="264">
        <f>Черн!CG15</f>
        <v>16144.1</v>
      </c>
      <c r="O17" s="265">
        <f>Черн!CH15</f>
        <v>0</v>
      </c>
    </row>
    <row r="18" spans="1:15" x14ac:dyDescent="0.25">
      <c r="A18" s="210" t="s">
        <v>166</v>
      </c>
      <c r="B18" s="264">
        <f>Черн!AD16</f>
        <v>354390.80649999995</v>
      </c>
      <c r="C18" s="264">
        <f>Черн!AE16</f>
        <v>267089.50763000001</v>
      </c>
      <c r="D18" s="268">
        <f t="shared" si="0"/>
        <v>75.365811621301191</v>
      </c>
      <c r="E18" s="264">
        <f>Черн!AK16</f>
        <v>364990.08354000002</v>
      </c>
      <c r="F18" s="264">
        <f>Черн!AL16</f>
        <v>276228.63121999998</v>
      </c>
      <c r="G18" s="268">
        <f t="shared" si="1"/>
        <v>75.681133180629971</v>
      </c>
      <c r="H18" s="264">
        <f>Черн!CD16</f>
        <v>-10599.277040000074</v>
      </c>
      <c r="I18" s="264">
        <f>Черн!CE16</f>
        <v>-9139.1235899999738</v>
      </c>
      <c r="J18" s="264">
        <f>Черн!BY16</f>
        <v>15597.944089999999</v>
      </c>
      <c r="K18" s="264">
        <f>Черн!CA16</f>
        <v>717.49594999999999</v>
      </c>
      <c r="L18" s="264">
        <f>Черн!CB16</f>
        <v>7298.6670499999982</v>
      </c>
      <c r="M18" s="264">
        <f>Черн!CC16</f>
        <v>-4930.1845499999999</v>
      </c>
      <c r="N18" s="264">
        <f>Черн!CG16</f>
        <v>4800</v>
      </c>
      <c r="O18" s="265">
        <f>Черн!CH16</f>
        <v>2800</v>
      </c>
    </row>
    <row r="19" spans="1:15" x14ac:dyDescent="0.25">
      <c r="A19" s="210" t="s">
        <v>167</v>
      </c>
      <c r="B19" s="264">
        <f>Черн!AD17</f>
        <v>530905.65208000015</v>
      </c>
      <c r="C19" s="264">
        <f>Черн!AE17</f>
        <v>385778.65305000002</v>
      </c>
      <c r="D19" s="264">
        <f t="shared" si="0"/>
        <v>72.664258053871407</v>
      </c>
      <c r="E19" s="264">
        <f>Черн!AK17</f>
        <v>540739.16746000003</v>
      </c>
      <c r="F19" s="264">
        <f>Черн!AL17</f>
        <v>369969.92589999997</v>
      </c>
      <c r="G19" s="264">
        <f t="shared" si="1"/>
        <v>68.419294950992736</v>
      </c>
      <c r="H19" s="264">
        <f>Черн!CD17</f>
        <v>-9833.5153799998807</v>
      </c>
      <c r="I19" s="264">
        <f>Черн!CE17</f>
        <v>15808.72715000005</v>
      </c>
      <c r="J19" s="264">
        <f>Черн!BY17</f>
        <v>29534.722659999999</v>
      </c>
      <c r="K19" s="264">
        <f>Черн!CA17</f>
        <v>1637.8253400000001</v>
      </c>
      <c r="L19" s="264">
        <f>Черн!CB17</f>
        <v>16339.113579999999</v>
      </c>
      <c r="M19" s="264">
        <f>Черн!CC17</f>
        <v>202.34879000000001</v>
      </c>
      <c r="N19" s="264">
        <f>Черн!CG17</f>
        <v>7000</v>
      </c>
      <c r="O19" s="265">
        <f>Черн!CH17</f>
        <v>-4000</v>
      </c>
    </row>
    <row r="20" spans="1:15" x14ac:dyDescent="0.25">
      <c r="A20" s="210" t="s">
        <v>168</v>
      </c>
      <c r="B20" s="264">
        <f>Черн!AD18</f>
        <v>727365.71001000004</v>
      </c>
      <c r="C20" s="264">
        <f>Черн!AE18</f>
        <v>452638.89298</v>
      </c>
      <c r="D20" s="269">
        <f t="shared" si="0"/>
        <v>62.229891614464066</v>
      </c>
      <c r="E20" s="264">
        <f>Черн!AK18</f>
        <v>810305.77749000001</v>
      </c>
      <c r="F20" s="264">
        <f>Черн!AL18</f>
        <v>518227.22914999991</v>
      </c>
      <c r="G20" s="264">
        <f t="shared" si="1"/>
        <v>63.954527234799997</v>
      </c>
      <c r="H20" s="264">
        <f>Черн!CD18</f>
        <v>-82940.067479999969</v>
      </c>
      <c r="I20" s="264">
        <f>Черн!CE18</f>
        <v>-65588.336169999908</v>
      </c>
      <c r="J20" s="264">
        <f>Черн!BY18</f>
        <v>8746.3035899999995</v>
      </c>
      <c r="K20" s="264">
        <f>Черн!CA18</f>
        <v>5517.9276399999999</v>
      </c>
      <c r="L20" s="264">
        <f>Черн!CB18</f>
        <v>-48095.904450000002</v>
      </c>
      <c r="M20" s="264">
        <f>Черн!CC18</f>
        <v>-48615.392390000001</v>
      </c>
      <c r="N20" s="264">
        <f>Черн!CG18</f>
        <v>93079</v>
      </c>
      <c r="O20" s="265">
        <f>Черн!CH18</f>
        <v>13079</v>
      </c>
    </row>
    <row r="21" spans="1:15" x14ac:dyDescent="0.25">
      <c r="A21" s="210" t="s">
        <v>169</v>
      </c>
      <c r="B21" s="264">
        <f>Черн!AD19</f>
        <v>746016.09970000002</v>
      </c>
      <c r="C21" s="264">
        <f>Черн!AE19</f>
        <v>480072.20771000005</v>
      </c>
      <c r="D21" s="264">
        <f t="shared" si="0"/>
        <v>64.351454064202429</v>
      </c>
      <c r="E21" s="264">
        <f>Черн!AK19</f>
        <v>923728.38662999996</v>
      </c>
      <c r="F21" s="264">
        <f>Черн!AL19</f>
        <v>618062.26563999988</v>
      </c>
      <c r="G21" s="264">
        <f t="shared" si="1"/>
        <v>66.909523901809578</v>
      </c>
      <c r="H21" s="264">
        <f>Черн!CD19</f>
        <v>-177712.28692999994</v>
      </c>
      <c r="I21" s="264">
        <f>Черн!CE19</f>
        <v>-137990.05792999984</v>
      </c>
      <c r="J21" s="264">
        <f>Черн!BY19</f>
        <v>56238.043270000002</v>
      </c>
      <c r="K21" s="264">
        <f>Черн!CA19</f>
        <v>9208.5148000000008</v>
      </c>
      <c r="L21" s="264">
        <f>Черн!CB19</f>
        <v>-109298.05835000001</v>
      </c>
      <c r="M21" s="264">
        <f>Черн!CC19</f>
        <v>-144102.60962999999</v>
      </c>
      <c r="N21" s="264">
        <f>Черн!CG19</f>
        <v>0</v>
      </c>
      <c r="O21" s="265">
        <f>Черн!CH19</f>
        <v>0</v>
      </c>
    </row>
    <row r="22" spans="1:15" x14ac:dyDescent="0.25">
      <c r="A22" s="210" t="s">
        <v>170</v>
      </c>
      <c r="B22" s="264">
        <f>Черн!AD20</f>
        <v>1015884.4877100001</v>
      </c>
      <c r="C22" s="264">
        <f>Черн!AE20</f>
        <v>724014.7678899999</v>
      </c>
      <c r="D22" s="264">
        <f t="shared" si="0"/>
        <v>71.269398898103958</v>
      </c>
      <c r="E22" s="264">
        <f>Черн!AK20</f>
        <v>1027447.1908699999</v>
      </c>
      <c r="F22" s="264">
        <f>Черн!AL20</f>
        <v>698595.1516199999</v>
      </c>
      <c r="G22" s="264">
        <f t="shared" si="1"/>
        <v>67.993290344047594</v>
      </c>
      <c r="H22" s="264">
        <f>Черн!CD20</f>
        <v>-11562.703159999801</v>
      </c>
      <c r="I22" s="264">
        <f>Черн!CE20</f>
        <v>25419.616269999999</v>
      </c>
      <c r="J22" s="264">
        <f>Черн!BY20</f>
        <v>84324.477780000001</v>
      </c>
      <c r="K22" s="264">
        <f>Черн!CA20</f>
        <v>4100.78611</v>
      </c>
      <c r="L22" s="264">
        <f>Черн!CB20</f>
        <v>55765.334390000004</v>
      </c>
      <c r="M22" s="264">
        <f>Черн!CC20</f>
        <v>-1039.3788500000001</v>
      </c>
      <c r="N22" s="264">
        <f>Черн!CG20</f>
        <v>0</v>
      </c>
      <c r="O22" s="265">
        <f>Черн!CH20</f>
        <v>0</v>
      </c>
    </row>
    <row r="23" spans="1:15" x14ac:dyDescent="0.25">
      <c r="A23" s="210" t="s">
        <v>171</v>
      </c>
      <c r="B23" s="264">
        <f>Черн!AD21</f>
        <v>1189542.03351</v>
      </c>
      <c r="C23" s="264">
        <f>Черн!AE21</f>
        <v>813619.93377</v>
      </c>
      <c r="D23" s="264">
        <f t="shared" si="0"/>
        <v>68.397745590312525</v>
      </c>
      <c r="E23" s="264">
        <f>Черн!AK21</f>
        <v>1225611.8078600001</v>
      </c>
      <c r="F23" s="264">
        <f>Черн!AL21</f>
        <v>810362.89564</v>
      </c>
      <c r="G23" s="264">
        <f t="shared" si="1"/>
        <v>66.119050946069763</v>
      </c>
      <c r="H23" s="264">
        <f>Черн!CD21</f>
        <v>-36069.77435000008</v>
      </c>
      <c r="I23" s="264">
        <f>Черн!CE21</f>
        <v>3257.0381300000008</v>
      </c>
      <c r="J23" s="264">
        <f>Черн!BY21</f>
        <v>114582.77865000001</v>
      </c>
      <c r="K23" s="264">
        <f>Черн!CA21</f>
        <v>3294.2977999999998</v>
      </c>
      <c r="L23" s="264">
        <f>Черн!CB21</f>
        <v>94626.984460000007</v>
      </c>
      <c r="M23" s="264">
        <f>Черн!CC21</f>
        <v>-4223.506370000001</v>
      </c>
      <c r="N23" s="264">
        <f>Черн!CG21</f>
        <v>81500</v>
      </c>
      <c r="O23" s="265">
        <f>Черн!CH21</f>
        <v>-15500</v>
      </c>
    </row>
    <row r="24" spans="1:15" x14ac:dyDescent="0.25">
      <c r="A24" s="210" t="s">
        <v>172</v>
      </c>
      <c r="B24" s="264">
        <f>Черн!AD22</f>
        <v>1214961.5740699999</v>
      </c>
      <c r="C24" s="264">
        <f>Черн!AE22</f>
        <v>866865.99056000006</v>
      </c>
      <c r="D24" s="264">
        <f t="shared" si="0"/>
        <v>71.349251619216702</v>
      </c>
      <c r="E24" s="264">
        <f>Черн!AK22</f>
        <v>1296888.8066100001</v>
      </c>
      <c r="F24" s="264">
        <f>Черн!AL22</f>
        <v>860682.61392999999</v>
      </c>
      <c r="G24" s="264">
        <f t="shared" si="1"/>
        <v>66.365181775281073</v>
      </c>
      <c r="H24" s="264">
        <f>Черн!CD22</f>
        <v>-81927.23254000023</v>
      </c>
      <c r="I24" s="264">
        <f>Черн!CE22</f>
        <v>6183.3766300000716</v>
      </c>
      <c r="J24" s="264">
        <f>Черн!BY22</f>
        <v>106806.87062999999</v>
      </c>
      <c r="K24" s="264">
        <f>Черн!CA22</f>
        <v>3088.6043599999998</v>
      </c>
      <c r="L24" s="264">
        <f>Черн!CB22</f>
        <v>4196.3386099999916</v>
      </c>
      <c r="M24" s="264">
        <f>Черн!CC22</f>
        <v>-1375.6412699999996</v>
      </c>
      <c r="N24" s="264">
        <f>Черн!CG22</f>
        <v>0</v>
      </c>
      <c r="O24" s="265">
        <f>Черн!CH22</f>
        <v>-20000</v>
      </c>
    </row>
    <row r="25" spans="1:15" x14ac:dyDescent="0.25">
      <c r="A25" s="210" t="s">
        <v>173</v>
      </c>
      <c r="B25" s="264">
        <f>Черн!AD23</f>
        <v>1020639.54473</v>
      </c>
      <c r="C25" s="264">
        <f>Черн!AE23</f>
        <v>765827.63534000004</v>
      </c>
      <c r="D25" s="268">
        <f t="shared" si="0"/>
        <v>75.034093994720948</v>
      </c>
      <c r="E25" s="264">
        <f>Черн!AK23</f>
        <v>1063900.9560199999</v>
      </c>
      <c r="F25" s="264">
        <f>Черн!AL23</f>
        <v>787193.75332999998</v>
      </c>
      <c r="G25" s="264">
        <f t="shared" si="1"/>
        <v>73.991262896769285</v>
      </c>
      <c r="H25" s="264">
        <f>Черн!CD23</f>
        <v>-43261.41128999996</v>
      </c>
      <c r="I25" s="264">
        <f>Черн!CE23</f>
        <v>-21366.117989999941</v>
      </c>
      <c r="J25" s="264">
        <f>Черн!BY23</f>
        <v>30410.414940000002</v>
      </c>
      <c r="K25" s="264">
        <f>Черн!CA23</f>
        <v>22042.66243</v>
      </c>
      <c r="L25" s="264">
        <f>Черн!CB23</f>
        <v>-18652.846209999996</v>
      </c>
      <c r="M25" s="264">
        <f>Черн!CC23</f>
        <v>-4049.6072100000019</v>
      </c>
      <c r="N25" s="264">
        <f>Черн!CG23</f>
        <v>6900</v>
      </c>
      <c r="O25" s="265">
        <f>Черн!CH23</f>
        <v>-20700</v>
      </c>
    </row>
    <row r="26" spans="1:15" x14ac:dyDescent="0.25">
      <c r="A26" s="210" t="s">
        <v>174</v>
      </c>
      <c r="B26" s="264">
        <f>Черн!AD24</f>
        <v>971612.23151000007</v>
      </c>
      <c r="C26" s="264">
        <f>Черн!AE24</f>
        <v>681413.44291999994</v>
      </c>
      <c r="D26" s="264">
        <f t="shared" si="0"/>
        <v>70.132242145717228</v>
      </c>
      <c r="E26" s="264">
        <f>Черн!AK24</f>
        <v>1089291.5001000001</v>
      </c>
      <c r="F26" s="264">
        <f>Черн!AL24</f>
        <v>761951.37965000002</v>
      </c>
      <c r="G26" s="264">
        <f t="shared" si="1"/>
        <v>69.949263312901152</v>
      </c>
      <c r="H26" s="264">
        <f>Черн!CD24</f>
        <v>-117679.26858999999</v>
      </c>
      <c r="I26" s="264">
        <f>Черн!CE24</f>
        <v>-80537.936730000074</v>
      </c>
      <c r="J26" s="264">
        <f>Черн!BY24</f>
        <v>139063.94193999999</v>
      </c>
      <c r="K26" s="264">
        <f>Черн!CA24</f>
        <v>18396.312429999998</v>
      </c>
      <c r="L26" s="264">
        <f>Черн!CB24</f>
        <v>-2254.5832100000116</v>
      </c>
      <c r="M26" s="264">
        <f>Черн!CC24</f>
        <v>-86104.613000000012</v>
      </c>
      <c r="N26" s="264">
        <f>Черн!CG24</f>
        <v>0</v>
      </c>
      <c r="O26" s="265">
        <f>Черн!CH24</f>
        <v>0</v>
      </c>
    </row>
    <row r="27" spans="1:15" x14ac:dyDescent="0.25">
      <c r="A27" s="210" t="s">
        <v>175</v>
      </c>
      <c r="B27" s="264">
        <f>Черн!AD25</f>
        <v>389279.18530999997</v>
      </c>
      <c r="C27" s="264">
        <f>Черн!AE25</f>
        <v>274938.13021999999</v>
      </c>
      <c r="D27" s="264">
        <f t="shared" si="0"/>
        <v>70.627493222134333</v>
      </c>
      <c r="E27" s="264">
        <f>Черн!AK25</f>
        <v>399978.05536</v>
      </c>
      <c r="F27" s="264">
        <f>Черн!AL25</f>
        <v>276996.12707000005</v>
      </c>
      <c r="G27" s="264">
        <f t="shared" si="1"/>
        <v>69.252831088618066</v>
      </c>
      <c r="H27" s="264">
        <f>Черн!CD25</f>
        <v>-10698.870050000027</v>
      </c>
      <c r="I27" s="264">
        <f>Черн!CE25</f>
        <v>-2057.9968500000541</v>
      </c>
      <c r="J27" s="264">
        <f>Черн!BY25</f>
        <v>56949.978779999998</v>
      </c>
      <c r="K27" s="264">
        <f>Черн!CA25</f>
        <v>883.66167000000007</v>
      </c>
      <c r="L27" s="264">
        <f>Черн!CB25</f>
        <v>22766.566279999999</v>
      </c>
      <c r="M27" s="264">
        <f>Черн!CC25</f>
        <v>-1222.4883300000001</v>
      </c>
      <c r="N27" s="264">
        <f>Черн!CG25</f>
        <v>0</v>
      </c>
      <c r="O27" s="265">
        <f>Черн!CH25</f>
        <v>0</v>
      </c>
    </row>
    <row r="28" spans="1:15" x14ac:dyDescent="0.25">
      <c r="A28" s="210" t="s">
        <v>176</v>
      </c>
      <c r="B28" s="264">
        <f>Черн!AD26</f>
        <v>7943196.5416400004</v>
      </c>
      <c r="C28" s="264">
        <f>Черн!AE26</f>
        <v>5673092.8614699999</v>
      </c>
      <c r="D28" s="264">
        <f t="shared" si="0"/>
        <v>71.420779175365823</v>
      </c>
      <c r="E28" s="264">
        <f>Черн!AK26</f>
        <v>8633694.5505100004</v>
      </c>
      <c r="F28" s="264">
        <f>Черн!AL26</f>
        <v>5790137.3781099999</v>
      </c>
      <c r="G28" s="264">
        <f t="shared" si="1"/>
        <v>67.064422354019584</v>
      </c>
      <c r="H28" s="264">
        <f>Черн!CD26</f>
        <v>-690498.00887000002</v>
      </c>
      <c r="I28" s="264">
        <f>Черн!CE26</f>
        <v>-117044.51664000005</v>
      </c>
      <c r="J28" s="264">
        <f>Черн!BY26</f>
        <v>79454.814099999989</v>
      </c>
      <c r="K28" s="264">
        <f>Черн!CA26</f>
        <v>15749.86666</v>
      </c>
      <c r="L28" s="264">
        <f>Черн!CB26</f>
        <v>47311.483359999991</v>
      </c>
      <c r="M28" s="264">
        <f>Черн!CC26</f>
        <v>-261878.15814999997</v>
      </c>
      <c r="N28" s="264">
        <f>Черн!CG26</f>
        <v>1180356</v>
      </c>
      <c r="O28" s="265">
        <f>Черн!CH26</f>
        <v>-109644</v>
      </c>
    </row>
    <row r="29" spans="1:15" x14ac:dyDescent="0.25">
      <c r="A29" s="210" t="s">
        <v>177</v>
      </c>
      <c r="B29" s="264">
        <f>Черн!AD27</f>
        <v>6470956.62622</v>
      </c>
      <c r="C29" s="264">
        <f>Черн!AE27</f>
        <v>4120475.0946599999</v>
      </c>
      <c r="D29" s="269">
        <f t="shared" si="0"/>
        <v>63.676444344628059</v>
      </c>
      <c r="E29" s="264">
        <f>Черн!AK27</f>
        <v>6792306.1639600005</v>
      </c>
      <c r="F29" s="264">
        <f>Черн!AL27</f>
        <v>4275443.0957399998</v>
      </c>
      <c r="G29" s="264">
        <f t="shared" si="1"/>
        <v>62.945382503891167</v>
      </c>
      <c r="H29" s="264">
        <f>Черн!CD27</f>
        <v>-321349.53774000052</v>
      </c>
      <c r="I29" s="264">
        <f>Черн!CE27</f>
        <v>-154968.00107999984</v>
      </c>
      <c r="J29" s="264">
        <f>Черн!BY27</f>
        <v>299433.66766000004</v>
      </c>
      <c r="K29" s="264">
        <f>Черн!CA27</f>
        <v>51033.967649999999</v>
      </c>
      <c r="L29" s="264">
        <f>Черн!CB27</f>
        <v>-1755.4576999999699</v>
      </c>
      <c r="M29" s="264">
        <f>Черн!CC27</f>
        <v>-209078.96831999999</v>
      </c>
      <c r="N29" s="264">
        <f>Черн!CG27</f>
        <v>1631466.665</v>
      </c>
      <c r="O29" s="265">
        <f>Черн!CH27</f>
        <v>0</v>
      </c>
    </row>
    <row r="30" spans="1:15" x14ac:dyDescent="0.25">
      <c r="A30" s="210" t="s">
        <v>178</v>
      </c>
      <c r="B30" s="264">
        <f>Черн!AD28</f>
        <v>1678741.4129100002</v>
      </c>
      <c r="C30" s="264">
        <f>Черн!AE28</f>
        <v>1249141.54232</v>
      </c>
      <c r="D30" s="264">
        <f t="shared" si="0"/>
        <v>74.409407709474806</v>
      </c>
      <c r="E30" s="264">
        <f>Черн!AK28</f>
        <v>1753116.51709</v>
      </c>
      <c r="F30" s="264">
        <f>Черн!AL28</f>
        <v>1289250.5660999999</v>
      </c>
      <c r="G30" s="264">
        <f t="shared" si="1"/>
        <v>73.540495085861622</v>
      </c>
      <c r="H30" s="264">
        <f>Черн!CD28</f>
        <v>-74375.104179999791</v>
      </c>
      <c r="I30" s="264">
        <f>Черн!CE28</f>
        <v>-40109.02377999993</v>
      </c>
      <c r="J30" s="264">
        <f>Черн!BY28</f>
        <v>26864.805989999997</v>
      </c>
      <c r="K30" s="264">
        <f>Черн!CA28</f>
        <v>15223.94002</v>
      </c>
      <c r="L30" s="264">
        <f>Черн!CB28</f>
        <v>20001.867879999998</v>
      </c>
      <c r="M30" s="264">
        <f>Черн!CC28</f>
        <v>14123.0442</v>
      </c>
      <c r="N30" s="264">
        <f>Черн!CG28</f>
        <v>90000</v>
      </c>
      <c r="O30" s="265">
        <f>Черн!CH28</f>
        <v>-14000</v>
      </c>
    </row>
    <row r="31" spans="1:15" x14ac:dyDescent="0.25">
      <c r="A31" s="210" t="s">
        <v>179</v>
      </c>
      <c r="B31" s="264">
        <f>Черн!AD29</f>
        <v>919755.52464999992</v>
      </c>
      <c r="C31" s="264">
        <f>Черн!AE29</f>
        <v>670428.47415999998</v>
      </c>
      <c r="D31" s="264">
        <f t="shared" si="0"/>
        <v>72.892030131063592</v>
      </c>
      <c r="E31" s="264">
        <f>Черн!AK29</f>
        <v>942398.82363</v>
      </c>
      <c r="F31" s="264">
        <f>Черн!AL29</f>
        <v>671845.53836999997</v>
      </c>
      <c r="G31" s="264">
        <f t="shared" si="1"/>
        <v>71.290999258905771</v>
      </c>
      <c r="H31" s="264">
        <f>Черн!CD29</f>
        <v>-22643.29898000008</v>
      </c>
      <c r="I31" s="264">
        <f>Черн!CE29</f>
        <v>-1417.0642099999823</v>
      </c>
      <c r="J31" s="264">
        <f>Черн!BY29</f>
        <v>8818.1831899999997</v>
      </c>
      <c r="K31" s="264">
        <f>Черн!CA29</f>
        <v>1009.77536</v>
      </c>
      <c r="L31" s="264">
        <f>Черн!CB29</f>
        <v>-6787.8333000000002</v>
      </c>
      <c r="M31" s="264">
        <f>Черн!CC29</f>
        <v>-1633.5236199999999</v>
      </c>
      <c r="N31" s="264">
        <f>Черн!CG29</f>
        <v>53800</v>
      </c>
      <c r="O31" s="265">
        <f>Черн!CH29</f>
        <v>-16200</v>
      </c>
    </row>
    <row r="32" spans="1:15" x14ac:dyDescent="0.25">
      <c r="A32" s="210" t="s">
        <v>180</v>
      </c>
      <c r="B32" s="264">
        <f>Черн!AD30</f>
        <v>845800.92662000004</v>
      </c>
      <c r="C32" s="264">
        <f>Черн!AE30</f>
        <v>626484.65387000004</v>
      </c>
      <c r="D32" s="264">
        <f t="shared" si="0"/>
        <v>74.0699890662884</v>
      </c>
      <c r="E32" s="264">
        <f>Черн!AK30</f>
        <v>871127.06604999991</v>
      </c>
      <c r="F32" s="264">
        <f>Черн!AL30</f>
        <v>618671.70554</v>
      </c>
      <c r="G32" s="264">
        <f t="shared" si="1"/>
        <v>71.0196858358767</v>
      </c>
      <c r="H32" s="264">
        <f>Черн!CD30</f>
        <v>-25326.139429999865</v>
      </c>
      <c r="I32" s="264">
        <f>Черн!CE30</f>
        <v>7812.9483300000429</v>
      </c>
      <c r="J32" s="264">
        <f>Черн!BY30</f>
        <v>49733.711609999998</v>
      </c>
      <c r="K32" s="264">
        <f>Черн!CA30</f>
        <v>4483.5820000000003</v>
      </c>
      <c r="L32" s="264">
        <f>Черн!CB30</f>
        <v>42029.447</v>
      </c>
      <c r="M32" s="264">
        <f>Черн!CC30</f>
        <v>3856.1363200000005</v>
      </c>
      <c r="N32" s="264">
        <f>Черн!CG30</f>
        <v>212247.42499999999</v>
      </c>
      <c r="O32" s="265">
        <f>Черн!CH30</f>
        <v>0</v>
      </c>
    </row>
    <row r="33" spans="1:15" x14ac:dyDescent="0.25">
      <c r="A33" s="210" t="s">
        <v>181</v>
      </c>
      <c r="B33" s="264">
        <f>Черн!AD31</f>
        <v>1036049.16601</v>
      </c>
      <c r="C33" s="264">
        <f>Черн!AE31</f>
        <v>669428.41297000006</v>
      </c>
      <c r="D33" s="264">
        <f t="shared" si="0"/>
        <v>64.613575777304249</v>
      </c>
      <c r="E33" s="264">
        <f>Черн!AK31</f>
        <v>1127258.72163</v>
      </c>
      <c r="F33" s="264">
        <f>Черн!AL31</f>
        <v>647729.40707000007</v>
      </c>
      <c r="G33" s="268">
        <f t="shared" si="1"/>
        <v>57.460580667177503</v>
      </c>
      <c r="H33" s="264">
        <f>Черн!CD31</f>
        <v>-91209.555619999999</v>
      </c>
      <c r="I33" s="264">
        <f>Черн!CE31</f>
        <v>21699.005899999989</v>
      </c>
      <c r="J33" s="264">
        <f>Черн!BY31</f>
        <v>113334.61443</v>
      </c>
      <c r="K33" s="264">
        <f>Черн!CA31</f>
        <v>509.92493999999999</v>
      </c>
      <c r="L33" s="264">
        <f>Черн!CB31</f>
        <v>21699.005900000004</v>
      </c>
      <c r="M33" s="264">
        <f>Черн!CC31</f>
        <v>-3615.6459100000002</v>
      </c>
      <c r="N33" s="264">
        <f>Черн!CG31</f>
        <v>0</v>
      </c>
      <c r="O33" s="265">
        <f>Черн!CH31</f>
        <v>0</v>
      </c>
    </row>
    <row r="34" spans="1:15" x14ac:dyDescent="0.25">
      <c r="A34" s="210" t="s">
        <v>182</v>
      </c>
      <c r="B34" s="264">
        <f>Черн!AD32</f>
        <v>95096.85411</v>
      </c>
      <c r="C34" s="264">
        <f>Черн!AE32</f>
        <v>62712.945200000002</v>
      </c>
      <c r="D34" s="264">
        <f t="shared" si="0"/>
        <v>65.946393060972312</v>
      </c>
      <c r="E34" s="264">
        <f>Черн!AK32</f>
        <v>103639.97365</v>
      </c>
      <c r="F34" s="264">
        <f>Черн!AL32</f>
        <v>71918.757129999998</v>
      </c>
      <c r="G34" s="264">
        <f t="shared" si="1"/>
        <v>69.392874773275281</v>
      </c>
      <c r="H34" s="264">
        <f>Черн!CD32</f>
        <v>-8543.1195399999997</v>
      </c>
      <c r="I34" s="264">
        <f>Черн!CE32</f>
        <v>-9205.8119299999962</v>
      </c>
      <c r="J34" s="264">
        <f>Черн!BY32</f>
        <v>9836.538779999999</v>
      </c>
      <c r="K34" s="264">
        <f>Черн!CA32</f>
        <v>13.05273</v>
      </c>
      <c r="L34" s="264">
        <f>Черн!CB32</f>
        <v>-9205.8119300000035</v>
      </c>
      <c r="M34" s="264">
        <f>Черн!CC32</f>
        <v>6.8527300000000002</v>
      </c>
      <c r="N34" s="264">
        <f>Черн!CG32</f>
        <v>0</v>
      </c>
      <c r="O34" s="265">
        <f>Черн!CH32</f>
        <v>0</v>
      </c>
    </row>
    <row r="35" spans="1:15" s="212" customFormat="1" ht="13.8" thickBot="1" x14ac:dyDescent="0.3">
      <c r="A35" s="218" t="s">
        <v>183</v>
      </c>
      <c r="B35" s="219">
        <f>Черн!AD33</f>
        <v>33063857.950399999</v>
      </c>
      <c r="C35" s="219">
        <f>Черн!AE33</f>
        <v>22884529.75138</v>
      </c>
      <c r="D35" s="219">
        <f t="shared" si="0"/>
        <v>69.213126265270418</v>
      </c>
      <c r="E35" s="219">
        <f>Черн!AK33</f>
        <v>35656144.082489997</v>
      </c>
      <c r="F35" s="219">
        <f>Черн!AL33</f>
        <v>24012864.588430002</v>
      </c>
      <c r="G35" s="219">
        <f t="shared" si="1"/>
        <v>67.34565726702408</v>
      </c>
      <c r="H35" s="219">
        <f>Черн!CD33</f>
        <v>-2592286.13209</v>
      </c>
      <c r="I35" s="219">
        <f>Черн!CE33</f>
        <v>-1128334.8370499997</v>
      </c>
      <c r="J35" s="219">
        <f>Черн!BY33</f>
        <v>1491087.6788800005</v>
      </c>
      <c r="K35" s="219">
        <f>Черн!CA33</f>
        <v>190906.13239000001</v>
      </c>
      <c r="L35" s="219">
        <f>Черн!CB33</f>
        <v>-308137.5385100001</v>
      </c>
      <c r="M35" s="219">
        <f>Черн!CC33</f>
        <v>-1239153.75847</v>
      </c>
      <c r="N35" s="219">
        <f>Черн!CG33</f>
        <v>3454308.09</v>
      </c>
      <c r="O35" s="220">
        <f>Черн!CH33</f>
        <v>-191854.16983</v>
      </c>
    </row>
    <row r="36" spans="1:15" ht="13.8" thickTop="1" x14ac:dyDescent="0.25"/>
  </sheetData>
  <autoFilter ref="A8:O36"/>
  <mergeCells count="11">
    <mergeCell ref="K6:K7"/>
    <mergeCell ref="N1:O1"/>
    <mergeCell ref="A3:O3"/>
    <mergeCell ref="A5:A7"/>
    <mergeCell ref="B5:D6"/>
    <mergeCell ref="E5:G6"/>
    <mergeCell ref="H5:I6"/>
    <mergeCell ref="J5:J7"/>
    <mergeCell ref="L5:M6"/>
    <mergeCell ref="N5:N7"/>
    <mergeCell ref="O5:O7"/>
  </mergeCells>
  <pageMargins left="0" right="0" top="0.94488188976377963" bottom="0.74803149606299213" header="0.70866141732283472" footer="0.31496062992125984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workbookViewId="0">
      <selection activeCell="E6" sqref="E6:G7"/>
    </sheetView>
  </sheetViews>
  <sheetFormatPr defaultColWidth="9.109375" defaultRowHeight="13.2" x14ac:dyDescent="0.25"/>
  <cols>
    <col min="1" max="1" width="21.44140625" style="205" customWidth="1"/>
    <col min="2" max="3" width="12.33203125" style="211" bestFit="1" customWidth="1"/>
    <col min="4" max="4" width="6.109375" style="211" bestFit="1" customWidth="1"/>
    <col min="5" max="6" width="12.33203125" style="211" bestFit="1" customWidth="1"/>
    <col min="7" max="7" width="6.109375" style="211" bestFit="1" customWidth="1"/>
    <col min="8" max="9" width="11.33203125" style="211" bestFit="1" customWidth="1"/>
    <col min="10" max="10" width="6.5546875" style="211" customWidth="1"/>
    <col min="11" max="11" width="6" style="211" customWidth="1"/>
    <col min="12" max="12" width="5.109375" style="211" customWidth="1"/>
    <col min="13" max="14" width="12.33203125" style="211" bestFit="1" customWidth="1"/>
    <col min="15" max="15" width="5.88671875" style="211" customWidth="1"/>
    <col min="16" max="17" width="12.33203125" style="211" bestFit="1" customWidth="1"/>
    <col min="18" max="18" width="6.109375" style="211" customWidth="1"/>
    <col min="19" max="20" width="7.88671875" style="211" bestFit="1" customWidth="1"/>
    <col min="21" max="16384" width="9.109375" style="271"/>
  </cols>
  <sheetData>
    <row r="1" spans="1:20" ht="15" customHeight="1" x14ac:dyDescent="0.25">
      <c r="Q1" s="406" t="s">
        <v>339</v>
      </c>
      <c r="R1" s="406"/>
      <c r="S1" s="406"/>
      <c r="T1" s="406"/>
    </row>
    <row r="3" spans="1:20" s="272" customFormat="1" ht="36.75" customHeight="1" x14ac:dyDescent="0.25">
      <c r="A3" s="398" t="s">
        <v>345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  <c r="S3" s="398"/>
      <c r="T3" s="398"/>
    </row>
    <row r="4" spans="1:20" s="272" customFormat="1" ht="13.8" thickBot="1" x14ac:dyDescent="0.3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205"/>
      <c r="T4" s="368" t="s">
        <v>338</v>
      </c>
    </row>
    <row r="5" spans="1:20" s="272" customFormat="1" ht="13.8" thickTop="1" x14ac:dyDescent="0.25">
      <c r="A5" s="382" t="s">
        <v>184</v>
      </c>
      <c r="B5" s="407" t="s">
        <v>185</v>
      </c>
      <c r="C5" s="407"/>
      <c r="D5" s="407"/>
      <c r="E5" s="384" t="s">
        <v>8</v>
      </c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5"/>
    </row>
    <row r="6" spans="1:20" s="272" customFormat="1" x14ac:dyDescent="0.25">
      <c r="A6" s="383"/>
      <c r="B6" s="408"/>
      <c r="C6" s="408"/>
      <c r="D6" s="408"/>
      <c r="E6" s="387" t="s">
        <v>199</v>
      </c>
      <c r="F6" s="387"/>
      <c r="G6" s="387"/>
      <c r="H6" s="387" t="s">
        <v>200</v>
      </c>
      <c r="I6" s="387"/>
      <c r="J6" s="387"/>
      <c r="K6" s="387"/>
      <c r="L6" s="387"/>
      <c r="M6" s="387" t="s">
        <v>201</v>
      </c>
      <c r="N6" s="387"/>
      <c r="O6" s="387"/>
      <c r="P6" s="387" t="s">
        <v>200</v>
      </c>
      <c r="Q6" s="387"/>
      <c r="R6" s="387"/>
      <c r="S6" s="387"/>
      <c r="T6" s="388"/>
    </row>
    <row r="7" spans="1:20" s="272" customFormat="1" ht="71.400000000000006" customHeight="1" x14ac:dyDescent="0.25">
      <c r="A7" s="383"/>
      <c r="B7" s="408"/>
      <c r="C7" s="408"/>
      <c r="D7" s="408"/>
      <c r="E7" s="387"/>
      <c r="F7" s="387"/>
      <c r="G7" s="387"/>
      <c r="H7" s="387" t="s">
        <v>202</v>
      </c>
      <c r="I7" s="387"/>
      <c r="J7" s="387"/>
      <c r="K7" s="387" t="s">
        <v>203</v>
      </c>
      <c r="L7" s="387"/>
      <c r="M7" s="387"/>
      <c r="N7" s="387"/>
      <c r="O7" s="387"/>
      <c r="P7" s="387" t="s">
        <v>204</v>
      </c>
      <c r="Q7" s="387"/>
      <c r="R7" s="387"/>
      <c r="S7" s="387" t="s">
        <v>205</v>
      </c>
      <c r="T7" s="388"/>
    </row>
    <row r="8" spans="1:20" s="273" customFormat="1" ht="24" x14ac:dyDescent="0.2">
      <c r="A8" s="383"/>
      <c r="B8" s="262" t="s">
        <v>188</v>
      </c>
      <c r="C8" s="262" t="s">
        <v>189</v>
      </c>
      <c r="D8" s="262" t="s">
        <v>147</v>
      </c>
      <c r="E8" s="262" t="s">
        <v>188</v>
      </c>
      <c r="F8" s="262" t="s">
        <v>189</v>
      </c>
      <c r="G8" s="262" t="s">
        <v>147</v>
      </c>
      <c r="H8" s="262" t="s">
        <v>188</v>
      </c>
      <c r="I8" s="262" t="s">
        <v>189</v>
      </c>
      <c r="J8" s="262" t="s">
        <v>147</v>
      </c>
      <c r="K8" s="262" t="s">
        <v>206</v>
      </c>
      <c r="L8" s="262" t="s">
        <v>207</v>
      </c>
      <c r="M8" s="262" t="s">
        <v>188</v>
      </c>
      <c r="N8" s="262" t="s">
        <v>189</v>
      </c>
      <c r="O8" s="262" t="s">
        <v>147</v>
      </c>
      <c r="P8" s="262" t="s">
        <v>188</v>
      </c>
      <c r="Q8" s="262" t="s">
        <v>189</v>
      </c>
      <c r="R8" s="262" t="s">
        <v>147</v>
      </c>
      <c r="S8" s="262" t="s">
        <v>206</v>
      </c>
      <c r="T8" s="263" t="s">
        <v>207</v>
      </c>
    </row>
    <row r="9" spans="1:20" s="274" customFormat="1" ht="10.199999999999999" x14ac:dyDescent="0.2">
      <c r="A9" s="213" t="s">
        <v>13</v>
      </c>
      <c r="B9" s="261" t="s">
        <v>14</v>
      </c>
      <c r="C9" s="261" t="s">
        <v>15</v>
      </c>
      <c r="D9" s="261" t="s">
        <v>208</v>
      </c>
      <c r="E9" s="261" t="s">
        <v>16</v>
      </c>
      <c r="F9" s="261" t="s">
        <v>193</v>
      </c>
      <c r="G9" s="261" t="s">
        <v>209</v>
      </c>
      <c r="H9" s="261" t="s">
        <v>210</v>
      </c>
      <c r="I9" s="261" t="s">
        <v>195</v>
      </c>
      <c r="J9" s="261" t="s">
        <v>211</v>
      </c>
      <c r="K9" s="261" t="s">
        <v>212</v>
      </c>
      <c r="L9" s="261" t="s">
        <v>213</v>
      </c>
      <c r="M9" s="261" t="s">
        <v>17</v>
      </c>
      <c r="N9" s="261" t="s">
        <v>18</v>
      </c>
      <c r="O9" s="261" t="s">
        <v>214</v>
      </c>
      <c r="P9" s="261" t="s">
        <v>19</v>
      </c>
      <c r="Q9" s="261" t="s">
        <v>196</v>
      </c>
      <c r="R9" s="261" t="s">
        <v>215</v>
      </c>
      <c r="S9" s="214" t="s">
        <v>216</v>
      </c>
      <c r="T9" s="215" t="s">
        <v>217</v>
      </c>
    </row>
    <row r="10" spans="1:20" x14ac:dyDescent="0.3">
      <c r="A10" s="216" t="s">
        <v>157</v>
      </c>
      <c r="B10" s="264">
        <f>'Прил. 1.4 - исполнение МО'!B9</f>
        <v>1426905.4009100001</v>
      </c>
      <c r="C10" s="264">
        <f>'Прил. 1.4 - исполнение МО'!C9</f>
        <v>1035057.4843899999</v>
      </c>
      <c r="D10" s="264">
        <f>C10/B10%</f>
        <v>72.53861985033474</v>
      </c>
      <c r="E10" s="264">
        <f>Черн!BG7</f>
        <v>444777.41882999998</v>
      </c>
      <c r="F10" s="264">
        <f>Черн!BL7</f>
        <v>324569.37567999994</v>
      </c>
      <c r="G10" s="264">
        <f>F10/E10%</f>
        <v>72.973438384931768</v>
      </c>
      <c r="H10" s="264">
        <f>Черн!CW7</f>
        <v>228983</v>
      </c>
      <c r="I10" s="264">
        <f>Черн!CY7</f>
        <v>171576.06027000002</v>
      </c>
      <c r="J10" s="264">
        <f>I10/H10%</f>
        <v>74.929606245878531</v>
      </c>
      <c r="K10" s="264">
        <f>H10/E10%</f>
        <v>51.482604625555517</v>
      </c>
      <c r="L10" s="264">
        <f>I10/F10%</f>
        <v>52.862676865472551</v>
      </c>
      <c r="M10" s="264">
        <f>Черн!CS7</f>
        <v>982127.98207999999</v>
      </c>
      <c r="N10" s="264">
        <f>Черн!CT7</f>
        <v>710488.10871000006</v>
      </c>
      <c r="O10" s="264">
        <f>N10/M10%</f>
        <v>72.341703084896594</v>
      </c>
      <c r="P10" s="264">
        <f>Черн!AZ7</f>
        <v>1024441.4537100003</v>
      </c>
      <c r="Q10" s="264">
        <f>Черн!BA7</f>
        <v>752079.23315999995</v>
      </c>
      <c r="R10" s="264">
        <f>Q10/P10%</f>
        <v>73.41358849120715</v>
      </c>
      <c r="S10" s="264">
        <f>P10/B10%</f>
        <v>71.794630047420739</v>
      </c>
      <c r="T10" s="265">
        <f>Q10/C10%</f>
        <v>72.660624603205477</v>
      </c>
    </row>
    <row r="11" spans="1:20" x14ac:dyDescent="0.3">
      <c r="A11" s="216" t="s">
        <v>158</v>
      </c>
      <c r="B11" s="264">
        <f>'Прил. 1.4 - исполнение МО'!B10</f>
        <v>610072.1754200001</v>
      </c>
      <c r="C11" s="264">
        <f>'Прил. 1.4 - исполнение МО'!C10</f>
        <v>414172.46309999999</v>
      </c>
      <c r="D11" s="264">
        <f t="shared" ref="D11:D36" si="0">C11/B11%</f>
        <v>67.889092436458981</v>
      </c>
      <c r="E11" s="264">
        <f>Черн!BG8</f>
        <v>97212.481569999989</v>
      </c>
      <c r="F11" s="264">
        <f>Черн!BL8</f>
        <v>69433.259180000008</v>
      </c>
      <c r="G11" s="264">
        <f t="shared" ref="G11:G36" si="1">F11/E11%</f>
        <v>71.424222546981341</v>
      </c>
      <c r="H11" s="264">
        <f>Черн!CW8</f>
        <v>40131</v>
      </c>
      <c r="I11" s="264">
        <f>Черн!CY8</f>
        <v>28283.81985</v>
      </c>
      <c r="J11" s="264">
        <f t="shared" ref="J11:J36" si="2">I11/H11%</f>
        <v>70.478731778425654</v>
      </c>
      <c r="K11" s="268">
        <f t="shared" ref="K11:K36" si="3">H11/E11%</f>
        <v>41.281735999201693</v>
      </c>
      <c r="L11" s="268">
        <f t="shared" ref="L11:L36" si="4">I11/F11%</f>
        <v>40.735261723314075</v>
      </c>
      <c r="M11" s="264">
        <f>Черн!CS8</f>
        <v>512859.69385000004</v>
      </c>
      <c r="N11" s="264">
        <f>Черн!CT8</f>
        <v>344739.20391999994</v>
      </c>
      <c r="O11" s="264">
        <f t="shared" ref="O11:O36" si="5">N11/M11%</f>
        <v>67.219009029948921</v>
      </c>
      <c r="P11" s="264">
        <f>Черн!AZ8</f>
        <v>539715.05273</v>
      </c>
      <c r="Q11" s="264">
        <f>Черн!BA8</f>
        <v>371594.56279999996</v>
      </c>
      <c r="R11" s="264">
        <f t="shared" ref="R11:R36" si="6">Q11/P11%</f>
        <v>68.8501387760803</v>
      </c>
      <c r="S11" s="268">
        <f t="shared" ref="S11:S36" si="7">P11/B11%</f>
        <v>88.467410000863723</v>
      </c>
      <c r="T11" s="270">
        <f t="shared" ref="T11:T36" si="8">Q11/C11%</f>
        <v>89.719765534069367</v>
      </c>
    </row>
    <row r="12" spans="1:20" x14ac:dyDescent="0.3">
      <c r="A12" s="216" t="s">
        <v>159</v>
      </c>
      <c r="B12" s="264">
        <f>'Прил. 1.4 - исполнение МО'!B11</f>
        <v>405851.98535000003</v>
      </c>
      <c r="C12" s="264">
        <f>'Прил. 1.4 - исполнение МО'!C11</f>
        <v>307462.98885000002</v>
      </c>
      <c r="D12" s="268">
        <f t="shared" si="0"/>
        <v>75.757418947907581</v>
      </c>
      <c r="E12" s="264">
        <f>Черн!BG9</f>
        <v>72934.2</v>
      </c>
      <c r="F12" s="264">
        <f>Черн!BL9</f>
        <v>60521.343350000003</v>
      </c>
      <c r="G12" s="268">
        <f t="shared" si="1"/>
        <v>82.980746138300006</v>
      </c>
      <c r="H12" s="264">
        <f>Черн!CW9</f>
        <v>36352</v>
      </c>
      <c r="I12" s="264">
        <f>Черн!CY9</f>
        <v>33418.253730000004</v>
      </c>
      <c r="J12" s="268">
        <f t="shared" si="2"/>
        <v>91.929615234375021</v>
      </c>
      <c r="K12" s="264">
        <f t="shared" si="3"/>
        <v>49.842186518807367</v>
      </c>
      <c r="L12" s="264">
        <f t="shared" si="4"/>
        <v>55.217303318499454</v>
      </c>
      <c r="M12" s="264">
        <f>Черн!CS9</f>
        <v>332917.78535000002</v>
      </c>
      <c r="N12" s="264">
        <f>Черн!CT9</f>
        <v>246941.64549999998</v>
      </c>
      <c r="O12" s="264">
        <f t="shared" si="5"/>
        <v>74.174963419388234</v>
      </c>
      <c r="P12" s="264">
        <f>Черн!AZ9</f>
        <v>332348.90835000004</v>
      </c>
      <c r="Q12" s="264">
        <f>Черн!BA9</f>
        <v>246372.76850000001</v>
      </c>
      <c r="R12" s="264">
        <f t="shared" si="6"/>
        <v>74.130759063767499</v>
      </c>
      <c r="S12" s="264">
        <f t="shared" si="7"/>
        <v>81.889191219155393</v>
      </c>
      <c r="T12" s="265">
        <f t="shared" si="8"/>
        <v>80.130870197256911</v>
      </c>
    </row>
    <row r="13" spans="1:20" x14ac:dyDescent="0.3">
      <c r="A13" s="216" t="s">
        <v>160</v>
      </c>
      <c r="B13" s="264">
        <f>'Прил. 1.4 - исполнение МО'!B12</f>
        <v>578298.04165000003</v>
      </c>
      <c r="C13" s="264">
        <f>'Прил. 1.4 - исполнение МО'!C12</f>
        <v>449401.13324999996</v>
      </c>
      <c r="D13" s="268">
        <f t="shared" si="0"/>
        <v>77.710989988444126</v>
      </c>
      <c r="E13" s="264">
        <f>Черн!BG10</f>
        <v>105453.06131</v>
      </c>
      <c r="F13" s="264">
        <f>Черн!BL10</f>
        <v>71833.610290000011</v>
      </c>
      <c r="G13" s="264">
        <f t="shared" si="1"/>
        <v>68.119037415927636</v>
      </c>
      <c r="H13" s="264">
        <f>Черн!CW10</f>
        <v>49103</v>
      </c>
      <c r="I13" s="264">
        <f>Черн!CY10</f>
        <v>34866.383020000001</v>
      </c>
      <c r="J13" s="264">
        <f t="shared" si="2"/>
        <v>71.00662489053623</v>
      </c>
      <c r="K13" s="264">
        <f t="shared" si="3"/>
        <v>46.563844984691414</v>
      </c>
      <c r="L13" s="264">
        <f t="shared" si="4"/>
        <v>48.537701055593146</v>
      </c>
      <c r="M13" s="264">
        <f>Черн!CS10</f>
        <v>472844.98034000001</v>
      </c>
      <c r="N13" s="264">
        <f>Черн!CT10</f>
        <v>377567.52295999997</v>
      </c>
      <c r="O13" s="268">
        <f t="shared" si="5"/>
        <v>79.850170491079211</v>
      </c>
      <c r="P13" s="264">
        <f>Черн!AZ10</f>
        <v>473734.65400000004</v>
      </c>
      <c r="Q13" s="264">
        <f>Черн!BA10</f>
        <v>378457.19662</v>
      </c>
      <c r="R13" s="268">
        <f t="shared" si="6"/>
        <v>79.888011870037261</v>
      </c>
      <c r="S13" s="264">
        <f t="shared" si="7"/>
        <v>81.918771962004271</v>
      </c>
      <c r="T13" s="265">
        <f t="shared" si="8"/>
        <v>84.213672066880591</v>
      </c>
    </row>
    <row r="14" spans="1:20" x14ac:dyDescent="0.3">
      <c r="A14" s="216" t="s">
        <v>161</v>
      </c>
      <c r="B14" s="264">
        <f>'Прил. 1.4 - исполнение МО'!B13</f>
        <v>614497.41254000005</v>
      </c>
      <c r="C14" s="264">
        <f>'Прил. 1.4 - исполнение МО'!C13</f>
        <v>421587.78531000001</v>
      </c>
      <c r="D14" s="264">
        <f t="shared" si="0"/>
        <v>68.606926035275578</v>
      </c>
      <c r="E14" s="264">
        <f>Черн!BG11</f>
        <v>125952.849</v>
      </c>
      <c r="F14" s="264">
        <f>Черн!BL11</f>
        <v>86598.634059999997</v>
      </c>
      <c r="G14" s="264">
        <f t="shared" si="1"/>
        <v>68.754803680542395</v>
      </c>
      <c r="H14" s="264">
        <f>Черн!CW11</f>
        <v>51854</v>
      </c>
      <c r="I14" s="264">
        <f>Черн!CY11</f>
        <v>37115.923569999999</v>
      </c>
      <c r="J14" s="264">
        <f t="shared" si="2"/>
        <v>71.577744378447179</v>
      </c>
      <c r="K14" s="268">
        <f t="shared" si="3"/>
        <v>41.169374422010897</v>
      </c>
      <c r="L14" s="268">
        <f t="shared" si="4"/>
        <v>42.859710170814211</v>
      </c>
      <c r="M14" s="264">
        <f>Черн!CS11</f>
        <v>488544.56354000006</v>
      </c>
      <c r="N14" s="264">
        <f>Черн!CT11</f>
        <v>334989.15125</v>
      </c>
      <c r="O14" s="264">
        <f t="shared" si="5"/>
        <v>68.568801343866028</v>
      </c>
      <c r="P14" s="264">
        <f>Черн!AZ11</f>
        <v>503122.72632000007</v>
      </c>
      <c r="Q14" s="264">
        <f>Черн!BA11</f>
        <v>349559.01403000008</v>
      </c>
      <c r="R14" s="264">
        <f t="shared" si="6"/>
        <v>69.477881984538072</v>
      </c>
      <c r="S14" s="264">
        <f t="shared" si="7"/>
        <v>81.875483289728237</v>
      </c>
      <c r="T14" s="265">
        <f t="shared" si="8"/>
        <v>82.914881837234432</v>
      </c>
    </row>
    <row r="15" spans="1:20" x14ac:dyDescent="0.3">
      <c r="A15" s="216" t="s">
        <v>162</v>
      </c>
      <c r="B15" s="264">
        <f>'Прил. 1.4 - исполнение МО'!B14</f>
        <v>591968.13801000011</v>
      </c>
      <c r="C15" s="264">
        <f>'Прил. 1.4 - исполнение МО'!C14</f>
        <v>331446.18576999998</v>
      </c>
      <c r="D15" s="268">
        <f t="shared" si="0"/>
        <v>55.990544843209264</v>
      </c>
      <c r="E15" s="264">
        <f>Черн!BG12</f>
        <v>152549</v>
      </c>
      <c r="F15" s="264">
        <f>Черн!BL12</f>
        <v>104912.09986999999</v>
      </c>
      <c r="G15" s="264">
        <f t="shared" si="1"/>
        <v>68.772722122072253</v>
      </c>
      <c r="H15" s="264">
        <f>Черн!CW12</f>
        <v>93184</v>
      </c>
      <c r="I15" s="264">
        <f>Черн!CY12</f>
        <v>61035.358090000002</v>
      </c>
      <c r="J15" s="264">
        <f t="shared" si="2"/>
        <v>65.499826246995198</v>
      </c>
      <c r="K15" s="264">
        <f t="shared" si="3"/>
        <v>61.084635100852843</v>
      </c>
      <c r="L15" s="264">
        <f t="shared" si="4"/>
        <v>58.177615513969222</v>
      </c>
      <c r="M15" s="264">
        <f>Черн!CS12</f>
        <v>439419.13801000011</v>
      </c>
      <c r="N15" s="264">
        <f>Черн!CT12</f>
        <v>226534.08590000001</v>
      </c>
      <c r="O15" s="268">
        <f t="shared" si="5"/>
        <v>51.553076847291216</v>
      </c>
      <c r="P15" s="264">
        <f>Черн!AZ12</f>
        <v>738362.08705999993</v>
      </c>
      <c r="Q15" s="264">
        <f>Черн!BA12</f>
        <v>525477.03495</v>
      </c>
      <c r="R15" s="264">
        <f t="shared" si="6"/>
        <v>71.167932936851784</v>
      </c>
      <c r="S15" s="268">
        <f t="shared" si="7"/>
        <v>124.73003860345045</v>
      </c>
      <c r="T15" s="270">
        <f t="shared" si="8"/>
        <v>158.54067945577253</v>
      </c>
    </row>
    <row r="16" spans="1:20" x14ac:dyDescent="0.3">
      <c r="A16" s="216" t="s">
        <v>163</v>
      </c>
      <c r="B16" s="264">
        <f>'Прил. 1.4 - исполнение МО'!B15</f>
        <v>580683.18035000004</v>
      </c>
      <c r="C16" s="264">
        <f>'Прил. 1.4 - исполнение МО'!C15</f>
        <v>406408.19955999998</v>
      </c>
      <c r="D16" s="264">
        <f t="shared" si="0"/>
        <v>69.987940638308515</v>
      </c>
      <c r="E16" s="264">
        <f>Черн!BG13</f>
        <v>185283.53294999999</v>
      </c>
      <c r="F16" s="264">
        <f>Черн!BL13</f>
        <v>120612.23632</v>
      </c>
      <c r="G16" s="264">
        <f t="shared" si="1"/>
        <v>65.096036544460759</v>
      </c>
      <c r="H16" s="264">
        <f>Черн!CW13</f>
        <v>93395.9</v>
      </c>
      <c r="I16" s="264">
        <f>Черн!CY13</f>
        <v>71854.463959999994</v>
      </c>
      <c r="J16" s="268">
        <f t="shared" si="2"/>
        <v>76.935351509006281</v>
      </c>
      <c r="K16" s="264">
        <f t="shared" si="3"/>
        <v>50.407015946313756</v>
      </c>
      <c r="L16" s="264">
        <f t="shared" si="4"/>
        <v>59.574771310400656</v>
      </c>
      <c r="M16" s="264">
        <f>Черн!CS13</f>
        <v>395399.64740000002</v>
      </c>
      <c r="N16" s="264">
        <f>Черн!CT13</f>
        <v>285795.96324000007</v>
      </c>
      <c r="O16" s="264">
        <f t="shared" si="5"/>
        <v>72.280277718831385</v>
      </c>
      <c r="P16" s="264">
        <f>Черн!AZ13</f>
        <v>404792.86651000002</v>
      </c>
      <c r="Q16" s="264">
        <f>Черн!BA13</f>
        <v>294869.18235000008</v>
      </c>
      <c r="R16" s="264">
        <f t="shared" si="6"/>
        <v>72.844461141885176</v>
      </c>
      <c r="S16" s="264">
        <f t="shared" si="7"/>
        <v>69.709762605146551</v>
      </c>
      <c r="T16" s="265">
        <f t="shared" si="8"/>
        <v>72.554929420528865</v>
      </c>
    </row>
    <row r="17" spans="1:20" x14ac:dyDescent="0.3">
      <c r="A17" s="216" t="s">
        <v>164</v>
      </c>
      <c r="B17" s="264">
        <f>'Прил. 1.4 - исполнение МО'!B16</f>
        <v>599839.1169599999</v>
      </c>
      <c r="C17" s="264">
        <f>'Прил. 1.4 - исполнение МО'!C16</f>
        <v>382526.66185999993</v>
      </c>
      <c r="D17" s="264">
        <f t="shared" si="0"/>
        <v>63.771543242904023</v>
      </c>
      <c r="E17" s="264">
        <f>Черн!BG14</f>
        <v>93113.666960000002</v>
      </c>
      <c r="F17" s="264">
        <f>Черн!BL14</f>
        <v>60384.884439999994</v>
      </c>
      <c r="G17" s="268">
        <f t="shared" si="1"/>
        <v>64.850721071848966</v>
      </c>
      <c r="H17" s="264">
        <f>Черн!CW14</f>
        <v>43154</v>
      </c>
      <c r="I17" s="264">
        <f>Черн!CY14</f>
        <v>29456.36103</v>
      </c>
      <c r="J17" s="264">
        <f t="shared" si="2"/>
        <v>68.258703781804698</v>
      </c>
      <c r="K17" s="264">
        <f t="shared" si="3"/>
        <v>46.345505884263154</v>
      </c>
      <c r="L17" s="264">
        <f t="shared" si="4"/>
        <v>48.781017473451676</v>
      </c>
      <c r="M17" s="264">
        <f>Черн!CS14</f>
        <v>506725.45</v>
      </c>
      <c r="N17" s="264">
        <f>Черн!CT14</f>
        <v>322141.77741999994</v>
      </c>
      <c r="O17" s="264">
        <f t="shared" si="5"/>
        <v>63.573238214105871</v>
      </c>
      <c r="P17" s="264">
        <f>Черн!AZ14</f>
        <v>505898.89900000003</v>
      </c>
      <c r="Q17" s="264">
        <f>Черн!BA14</f>
        <v>321480.22641999996</v>
      </c>
      <c r="R17" s="264">
        <f t="shared" si="6"/>
        <v>63.546338419684901</v>
      </c>
      <c r="S17" s="264">
        <f t="shared" si="7"/>
        <v>84.339097717386082</v>
      </c>
      <c r="T17" s="265">
        <f t="shared" si="8"/>
        <v>84.041259988737153</v>
      </c>
    </row>
    <row r="18" spans="1:20" x14ac:dyDescent="0.3">
      <c r="A18" s="216" t="s">
        <v>165</v>
      </c>
      <c r="B18" s="264">
        <f>'Прил. 1.4 - исполнение МО'!B17</f>
        <v>505548.12192000001</v>
      </c>
      <c r="C18" s="264">
        <f>'Прил. 1.4 - исполнение МО'!C17</f>
        <v>352443.70256999996</v>
      </c>
      <c r="D18" s="264">
        <f t="shared" si="0"/>
        <v>69.715164054307792</v>
      </c>
      <c r="E18" s="264">
        <f>Черн!BG15</f>
        <v>123033.73084</v>
      </c>
      <c r="F18" s="264">
        <f>Черн!BL15</f>
        <v>88682.304270000008</v>
      </c>
      <c r="G18" s="264">
        <f t="shared" si="1"/>
        <v>72.07966763629031</v>
      </c>
      <c r="H18" s="264">
        <f>Черн!CW15</f>
        <v>79451.59</v>
      </c>
      <c r="I18" s="264">
        <f>Черн!CY15</f>
        <v>57318.031139999999</v>
      </c>
      <c r="J18" s="264">
        <f t="shared" si="2"/>
        <v>72.142081914282642</v>
      </c>
      <c r="K18" s="264">
        <f t="shared" si="3"/>
        <v>64.577079356654906</v>
      </c>
      <c r="L18" s="264">
        <f t="shared" si="4"/>
        <v>64.632997092058972</v>
      </c>
      <c r="M18" s="264">
        <f>Черн!CS15</f>
        <v>382514.39107999997</v>
      </c>
      <c r="N18" s="264">
        <f>Черн!CT15</f>
        <v>263761.3983</v>
      </c>
      <c r="O18" s="264">
        <f t="shared" si="5"/>
        <v>68.954633982603895</v>
      </c>
      <c r="P18" s="264">
        <f>Черн!AZ15</f>
        <v>395371.79702999996</v>
      </c>
      <c r="Q18" s="264">
        <f>Черн!BA15</f>
        <v>276349.93319000001</v>
      </c>
      <c r="R18" s="264">
        <f t="shared" si="6"/>
        <v>69.896218006928592</v>
      </c>
      <c r="S18" s="264">
        <f t="shared" si="7"/>
        <v>78.20656034255137</v>
      </c>
      <c r="T18" s="265">
        <f t="shared" si="8"/>
        <v>78.409666898534894</v>
      </c>
    </row>
    <row r="19" spans="1:20" x14ac:dyDescent="0.3">
      <c r="A19" s="216" t="s">
        <v>166</v>
      </c>
      <c r="B19" s="264">
        <f>'Прил. 1.4 - исполнение МО'!B18</f>
        <v>354390.80649999995</v>
      </c>
      <c r="C19" s="264">
        <f>'Прил. 1.4 - исполнение МО'!C18</f>
        <v>267089.50763000001</v>
      </c>
      <c r="D19" s="268">
        <f t="shared" si="0"/>
        <v>75.365811621301191</v>
      </c>
      <c r="E19" s="264">
        <f>Черн!BG16</f>
        <v>55815.6</v>
      </c>
      <c r="F19" s="264">
        <f>Черн!BL16</f>
        <v>39142.161040000006</v>
      </c>
      <c r="G19" s="264">
        <f t="shared" si="1"/>
        <v>70.127636431391963</v>
      </c>
      <c r="H19" s="264">
        <f>Черн!CW16</f>
        <v>30447.3</v>
      </c>
      <c r="I19" s="264">
        <f>Черн!CY16</f>
        <v>21947.39157</v>
      </c>
      <c r="J19" s="264">
        <f t="shared" si="2"/>
        <v>72.083211220699368</v>
      </c>
      <c r="K19" s="264">
        <f t="shared" si="3"/>
        <v>54.549803280803218</v>
      </c>
      <c r="L19" s="264">
        <f t="shared" si="4"/>
        <v>56.070975610088581</v>
      </c>
      <c r="M19" s="264">
        <f>Черн!CS16</f>
        <v>298575.20649999997</v>
      </c>
      <c r="N19" s="264">
        <f>Черн!CT16</f>
        <v>227947.34659</v>
      </c>
      <c r="O19" s="264">
        <f t="shared" si="5"/>
        <v>76.345035229842509</v>
      </c>
      <c r="P19" s="264">
        <f>Черн!AZ16</f>
        <v>298557.68699999998</v>
      </c>
      <c r="Q19" s="264">
        <f>Черн!BA16</f>
        <v>227929.82709000001</v>
      </c>
      <c r="R19" s="268">
        <f t="shared" si="6"/>
        <v>76.343647145819432</v>
      </c>
      <c r="S19" s="264">
        <f t="shared" si="7"/>
        <v>84.245325082946252</v>
      </c>
      <c r="T19" s="265">
        <f t="shared" si="8"/>
        <v>85.338368067139484</v>
      </c>
    </row>
    <row r="20" spans="1:20" x14ac:dyDescent="0.3">
      <c r="A20" s="216" t="s">
        <v>167</v>
      </c>
      <c r="B20" s="264">
        <f>'Прил. 1.4 - исполнение МО'!B19</f>
        <v>530905.65208000015</v>
      </c>
      <c r="C20" s="264">
        <f>'Прил. 1.4 - исполнение МО'!C19</f>
        <v>385778.65305000002</v>
      </c>
      <c r="D20" s="264">
        <f t="shared" si="0"/>
        <v>72.664258053871407</v>
      </c>
      <c r="E20" s="264">
        <f>Черн!BG17</f>
        <v>170669.20040999999</v>
      </c>
      <c r="F20" s="264">
        <f>Черн!BL17</f>
        <v>136670.72210000001</v>
      </c>
      <c r="G20" s="268">
        <f t="shared" si="1"/>
        <v>80.079312360797871</v>
      </c>
      <c r="H20" s="264">
        <f>Черн!CW17</f>
        <v>98723.6</v>
      </c>
      <c r="I20" s="264">
        <f>Черн!CY17</f>
        <v>71216.337510000012</v>
      </c>
      <c r="J20" s="264">
        <f t="shared" si="2"/>
        <v>72.137095395629828</v>
      </c>
      <c r="K20" s="264">
        <f t="shared" si="3"/>
        <v>57.84500059930879</v>
      </c>
      <c r="L20" s="264">
        <f t="shared" si="4"/>
        <v>52.107969004430984</v>
      </c>
      <c r="M20" s="264">
        <f>Черн!CS17</f>
        <v>360236.45167000004</v>
      </c>
      <c r="N20" s="264">
        <f>Черн!CT17</f>
        <v>249107.93094999998</v>
      </c>
      <c r="O20" s="264">
        <f t="shared" si="5"/>
        <v>69.151228254435225</v>
      </c>
      <c r="P20" s="264">
        <f>Черн!AZ17</f>
        <v>358155.93099999998</v>
      </c>
      <c r="Q20" s="264">
        <f>Черн!BA17</f>
        <v>247027.41027999998</v>
      </c>
      <c r="R20" s="264">
        <f t="shared" si="6"/>
        <v>68.972028353761928</v>
      </c>
      <c r="S20" s="264">
        <f t="shared" si="7"/>
        <v>67.461314377951055</v>
      </c>
      <c r="T20" s="265">
        <f t="shared" si="8"/>
        <v>64.033457612799339</v>
      </c>
    </row>
    <row r="21" spans="1:20" x14ac:dyDescent="0.3">
      <c r="A21" s="216" t="s">
        <v>168</v>
      </c>
      <c r="B21" s="264">
        <f>'Прил. 1.4 - исполнение МО'!B20</f>
        <v>727365.71001000004</v>
      </c>
      <c r="C21" s="264">
        <f>'Прил. 1.4 - исполнение МО'!C20</f>
        <v>452638.89298</v>
      </c>
      <c r="D21" s="264">
        <f t="shared" si="0"/>
        <v>62.229891614464066</v>
      </c>
      <c r="E21" s="264">
        <f>Черн!BG18</f>
        <v>272717.3</v>
      </c>
      <c r="F21" s="264">
        <f>Черн!BL18</f>
        <v>167461.89251000003</v>
      </c>
      <c r="G21" s="268">
        <f t="shared" si="1"/>
        <v>61.404939294280211</v>
      </c>
      <c r="H21" s="264">
        <f>Черн!CW18</f>
        <v>149532</v>
      </c>
      <c r="I21" s="264">
        <f>Черн!CY18</f>
        <v>107919.20195</v>
      </c>
      <c r="J21" s="264">
        <f t="shared" si="2"/>
        <v>72.171309117780808</v>
      </c>
      <c r="K21" s="264">
        <f t="shared" si="3"/>
        <v>54.830404965141561</v>
      </c>
      <c r="L21" s="264">
        <f t="shared" si="4"/>
        <v>64.444035793728759</v>
      </c>
      <c r="M21" s="264">
        <f>Черн!CS18</f>
        <v>454648.41000999993</v>
      </c>
      <c r="N21" s="264">
        <f>Черн!CT18</f>
        <v>285177.00047000009</v>
      </c>
      <c r="O21" s="264">
        <f t="shared" si="5"/>
        <v>62.72473282458585</v>
      </c>
      <c r="P21" s="264">
        <f>Черн!AZ18</f>
        <v>493294.22538999998</v>
      </c>
      <c r="Q21" s="264">
        <f>Черн!BA18</f>
        <v>323822.81585000001</v>
      </c>
      <c r="R21" s="264">
        <f t="shared" si="6"/>
        <v>65.644963833498082</v>
      </c>
      <c r="S21" s="264">
        <f t="shared" si="7"/>
        <v>67.819285209804306</v>
      </c>
      <c r="T21" s="265">
        <f t="shared" si="8"/>
        <v>71.541093987322967</v>
      </c>
    </row>
    <row r="22" spans="1:20" x14ac:dyDescent="0.3">
      <c r="A22" s="216" t="s">
        <v>169</v>
      </c>
      <c r="B22" s="264">
        <f>'Прил. 1.4 - исполнение МО'!B21</f>
        <v>746016.09970000002</v>
      </c>
      <c r="C22" s="264">
        <f>'Прил. 1.4 - исполнение МО'!C21</f>
        <v>480072.20771000005</v>
      </c>
      <c r="D22" s="264">
        <f t="shared" si="0"/>
        <v>64.351454064202429</v>
      </c>
      <c r="E22" s="264">
        <f>Черн!BG19</f>
        <v>243586.62127999999</v>
      </c>
      <c r="F22" s="264">
        <f>Черн!BL19</f>
        <v>181735.33056999999</v>
      </c>
      <c r="G22" s="264">
        <f t="shared" si="1"/>
        <v>74.608092026982604</v>
      </c>
      <c r="H22" s="264">
        <f>Черн!CW19</f>
        <v>132200</v>
      </c>
      <c r="I22" s="264">
        <f>Черн!CY19</f>
        <v>94022.22398000001</v>
      </c>
      <c r="J22" s="264">
        <f t="shared" si="2"/>
        <v>71.121198169440248</v>
      </c>
      <c r="K22" s="264">
        <f t="shared" si="3"/>
        <v>54.272274604128455</v>
      </c>
      <c r="L22" s="264">
        <f t="shared" si="4"/>
        <v>51.735798254035672</v>
      </c>
      <c r="M22" s="264">
        <f>Черн!CS19</f>
        <v>502429.47842000006</v>
      </c>
      <c r="N22" s="264">
        <f>Черн!CT19</f>
        <v>298336.87713999994</v>
      </c>
      <c r="O22" s="264">
        <f t="shared" si="5"/>
        <v>59.37885612886128</v>
      </c>
      <c r="P22" s="264">
        <f>Черн!AZ19</f>
        <v>636527.87960999995</v>
      </c>
      <c r="Q22" s="264">
        <f>Черн!BA19</f>
        <v>432424.64833</v>
      </c>
      <c r="R22" s="264">
        <f t="shared" si="6"/>
        <v>67.934910972783499</v>
      </c>
      <c r="S22" s="264">
        <f t="shared" si="7"/>
        <v>85.323611630629799</v>
      </c>
      <c r="T22" s="270">
        <f t="shared" si="8"/>
        <v>90.074918186311095</v>
      </c>
    </row>
    <row r="23" spans="1:20" x14ac:dyDescent="0.3">
      <c r="A23" s="216" t="s">
        <v>170</v>
      </c>
      <c r="B23" s="264">
        <f>'Прил. 1.4 - исполнение МО'!B22</f>
        <v>1015884.4877100001</v>
      </c>
      <c r="C23" s="264">
        <f>'Прил. 1.4 - исполнение МО'!C22</f>
        <v>724014.7678899999</v>
      </c>
      <c r="D23" s="264">
        <f t="shared" si="0"/>
        <v>71.269398898103958</v>
      </c>
      <c r="E23" s="264">
        <f>Черн!BG20</f>
        <v>153787.53736000002</v>
      </c>
      <c r="F23" s="264">
        <f>Черн!BL20</f>
        <v>106891.94584999999</v>
      </c>
      <c r="G23" s="264">
        <f t="shared" si="1"/>
        <v>69.506247180340424</v>
      </c>
      <c r="H23" s="264">
        <f>Черн!CW20</f>
        <v>90387.5</v>
      </c>
      <c r="I23" s="264">
        <f>Черн!CY20</f>
        <v>65406.534049999995</v>
      </c>
      <c r="J23" s="264">
        <f t="shared" si="2"/>
        <v>72.362366532982989</v>
      </c>
      <c r="K23" s="264">
        <f t="shared" si="3"/>
        <v>58.774268417090667</v>
      </c>
      <c r="L23" s="264">
        <f t="shared" si="4"/>
        <v>61.189394139932766</v>
      </c>
      <c r="M23" s="264">
        <f>Черн!CS20</f>
        <v>862096.95034999994</v>
      </c>
      <c r="N23" s="264">
        <f>Черн!CT20</f>
        <v>617122.82204</v>
      </c>
      <c r="O23" s="264">
        <f t="shared" si="5"/>
        <v>71.583923570250008</v>
      </c>
      <c r="P23" s="264">
        <f>Черн!AZ20</f>
        <v>865287.10899999994</v>
      </c>
      <c r="Q23" s="264">
        <f>Черн!BA20</f>
        <v>619912.98069000011</v>
      </c>
      <c r="R23" s="264">
        <f t="shared" si="6"/>
        <v>71.642461125582329</v>
      </c>
      <c r="S23" s="264">
        <f t="shared" si="7"/>
        <v>85.17573793754093</v>
      </c>
      <c r="T23" s="265">
        <f t="shared" si="8"/>
        <v>85.62159339603194</v>
      </c>
    </row>
    <row r="24" spans="1:20" x14ac:dyDescent="0.3">
      <c r="A24" s="216" t="s">
        <v>171</v>
      </c>
      <c r="B24" s="264">
        <f>'Прил. 1.4 - исполнение МО'!B23</f>
        <v>1189542.03351</v>
      </c>
      <c r="C24" s="264">
        <f>'Прил. 1.4 - исполнение МО'!C23</f>
        <v>813619.93377</v>
      </c>
      <c r="D24" s="264">
        <f t="shared" si="0"/>
        <v>68.397745590312525</v>
      </c>
      <c r="E24" s="264">
        <f>Черн!BG21</f>
        <v>346234.34326999995</v>
      </c>
      <c r="F24" s="264">
        <f>Черн!BL21</f>
        <v>230856.56094999998</v>
      </c>
      <c r="G24" s="264">
        <f t="shared" si="1"/>
        <v>66.676389976130636</v>
      </c>
      <c r="H24" s="264">
        <f>Черн!CW21</f>
        <v>193256.8</v>
      </c>
      <c r="I24" s="264">
        <f>Черн!CY21</f>
        <v>137183.28602999999</v>
      </c>
      <c r="J24" s="264">
        <f t="shared" si="2"/>
        <v>70.984972342499717</v>
      </c>
      <c r="K24" s="264">
        <f t="shared" si="3"/>
        <v>55.816762189097673</v>
      </c>
      <c r="L24" s="264">
        <f t="shared" si="4"/>
        <v>59.423602892408937</v>
      </c>
      <c r="M24" s="264">
        <f>Черн!CS21</f>
        <v>843307.69024000003</v>
      </c>
      <c r="N24" s="264">
        <f>Черн!CT21</f>
        <v>582763.37282000005</v>
      </c>
      <c r="O24" s="264">
        <f t="shared" si="5"/>
        <v>69.104477471816878</v>
      </c>
      <c r="P24" s="264">
        <f>Черн!AZ21</f>
        <v>847479.14801999996</v>
      </c>
      <c r="Q24" s="264">
        <f>Черн!BA21</f>
        <v>586880.8306000001</v>
      </c>
      <c r="R24" s="264">
        <f t="shared" si="6"/>
        <v>69.250179425789256</v>
      </c>
      <c r="S24" s="264">
        <f t="shared" si="7"/>
        <v>71.244153140123203</v>
      </c>
      <c r="T24" s="265">
        <f t="shared" si="8"/>
        <v>72.132061450439323</v>
      </c>
    </row>
    <row r="25" spans="1:20" x14ac:dyDescent="0.3">
      <c r="A25" s="216" t="s">
        <v>172</v>
      </c>
      <c r="B25" s="264">
        <f>'Прил. 1.4 - исполнение МО'!B24</f>
        <v>1214961.5740699999</v>
      </c>
      <c r="C25" s="264">
        <f>'Прил. 1.4 - исполнение МО'!C24</f>
        <v>866865.99056000006</v>
      </c>
      <c r="D25" s="264">
        <f t="shared" si="0"/>
        <v>71.349251619216702</v>
      </c>
      <c r="E25" s="264">
        <f>Черн!BG22</f>
        <v>321179.99138999998</v>
      </c>
      <c r="F25" s="264">
        <f>Черн!BL22</f>
        <v>254120.34800999999</v>
      </c>
      <c r="G25" s="268">
        <f t="shared" si="1"/>
        <v>79.120852737500911</v>
      </c>
      <c r="H25" s="264">
        <f>Черн!CW22</f>
        <v>182871.71840000001</v>
      </c>
      <c r="I25" s="264">
        <f>Черн!CY22</f>
        <v>163466.43575</v>
      </c>
      <c r="J25" s="268">
        <f t="shared" si="2"/>
        <v>89.388581886919042</v>
      </c>
      <c r="K25" s="264">
        <f t="shared" si="3"/>
        <v>56.93745666053772</v>
      </c>
      <c r="L25" s="264">
        <f t="shared" si="4"/>
        <v>64.326385915215013</v>
      </c>
      <c r="M25" s="264">
        <f>Черн!CS22</f>
        <v>893781.58267999999</v>
      </c>
      <c r="N25" s="264">
        <f>Черн!CT22</f>
        <v>612745.64254999999</v>
      </c>
      <c r="O25" s="264">
        <f t="shared" si="5"/>
        <v>68.556530412350284</v>
      </c>
      <c r="P25" s="264">
        <f>Черн!AZ22</f>
        <v>880103.53086000006</v>
      </c>
      <c r="Q25" s="264">
        <f>Черн!BA22</f>
        <v>594342.19368999999</v>
      </c>
      <c r="R25" s="264">
        <f t="shared" si="6"/>
        <v>67.530940718898577</v>
      </c>
      <c r="S25" s="264">
        <f t="shared" si="7"/>
        <v>72.438795567150422</v>
      </c>
      <c r="T25" s="265">
        <f t="shared" si="8"/>
        <v>68.562176871889008</v>
      </c>
    </row>
    <row r="26" spans="1:20" x14ac:dyDescent="0.3">
      <c r="A26" s="216" t="s">
        <v>173</v>
      </c>
      <c r="B26" s="264">
        <f>'Прил. 1.4 - исполнение МО'!B25</f>
        <v>1020639.54473</v>
      </c>
      <c r="C26" s="264">
        <f>'Прил. 1.4 - исполнение МО'!C25</f>
        <v>765827.63534000004</v>
      </c>
      <c r="D26" s="268">
        <f t="shared" si="0"/>
        <v>75.034093994720948</v>
      </c>
      <c r="E26" s="264">
        <f>Черн!BG23</f>
        <v>232979.28700000001</v>
      </c>
      <c r="F26" s="264">
        <f>Черн!BL23</f>
        <v>163350.33473</v>
      </c>
      <c r="G26" s="264">
        <f t="shared" si="1"/>
        <v>70.113672693143741</v>
      </c>
      <c r="H26" s="264">
        <f>Черн!CW23</f>
        <v>123026.12</v>
      </c>
      <c r="I26" s="264">
        <f>Черн!CY23</f>
        <v>89821.021840000001</v>
      </c>
      <c r="J26" s="264">
        <f t="shared" si="2"/>
        <v>73.009716830864861</v>
      </c>
      <c r="K26" s="264">
        <f t="shared" si="3"/>
        <v>52.805604130808412</v>
      </c>
      <c r="L26" s="264">
        <f t="shared" si="4"/>
        <v>54.986738771282099</v>
      </c>
      <c r="M26" s="264">
        <f>Черн!CS23</f>
        <v>787660.25773000007</v>
      </c>
      <c r="N26" s="264">
        <f>Черн!CT23</f>
        <v>602477.30061000003</v>
      </c>
      <c r="O26" s="264">
        <f t="shared" si="5"/>
        <v>76.48948829109537</v>
      </c>
      <c r="P26" s="264">
        <f>Черн!AZ23</f>
        <v>785575.65060000005</v>
      </c>
      <c r="Q26" s="264">
        <f>Черн!BA23</f>
        <v>600007.36675000004</v>
      </c>
      <c r="R26" s="268">
        <f t="shared" si="6"/>
        <v>76.378050451504151</v>
      </c>
      <c r="S26" s="264">
        <f t="shared" si="7"/>
        <v>76.968960751742799</v>
      </c>
      <c r="T26" s="265">
        <f t="shared" si="8"/>
        <v>78.347573143350758</v>
      </c>
    </row>
    <row r="27" spans="1:20" x14ac:dyDescent="0.3">
      <c r="A27" s="216" t="s">
        <v>174</v>
      </c>
      <c r="B27" s="264">
        <f>'Прил. 1.4 - исполнение МО'!B26</f>
        <v>971612.23151000007</v>
      </c>
      <c r="C27" s="264">
        <f>'Прил. 1.4 - исполнение МО'!C26</f>
        <v>681413.44291999994</v>
      </c>
      <c r="D27" s="264">
        <f t="shared" si="0"/>
        <v>70.132242145717228</v>
      </c>
      <c r="E27" s="264">
        <f>Черн!BG24</f>
        <v>171409.34148</v>
      </c>
      <c r="F27" s="264">
        <f>Черн!BL24</f>
        <v>119911.55854</v>
      </c>
      <c r="G27" s="264">
        <f t="shared" si="1"/>
        <v>69.956256470416022</v>
      </c>
      <c r="H27" s="264">
        <f>Черн!CW24</f>
        <v>81720</v>
      </c>
      <c r="I27" s="264">
        <f>Черн!CY24</f>
        <v>54648.46991</v>
      </c>
      <c r="J27" s="264">
        <f t="shared" si="2"/>
        <v>66.872821720509052</v>
      </c>
      <c r="K27" s="264">
        <f t="shared" si="3"/>
        <v>47.675347967855686</v>
      </c>
      <c r="L27" s="264">
        <f t="shared" si="4"/>
        <v>45.573980169535041</v>
      </c>
      <c r="M27" s="264">
        <f>Черн!CS24</f>
        <v>800202.89003000001</v>
      </c>
      <c r="N27" s="264">
        <f>Черн!CT24</f>
        <v>561501.88437999994</v>
      </c>
      <c r="O27" s="264">
        <f t="shared" si="5"/>
        <v>70.16993957106915</v>
      </c>
      <c r="P27" s="264">
        <f>Черн!AZ24</f>
        <v>878850.10033000004</v>
      </c>
      <c r="Q27" s="264">
        <f>Черн!BA24</f>
        <v>640149.09467999998</v>
      </c>
      <c r="R27" s="264">
        <f t="shared" si="6"/>
        <v>72.839394845563532</v>
      </c>
      <c r="S27" s="268">
        <f t="shared" si="7"/>
        <v>90.452762102856937</v>
      </c>
      <c r="T27" s="270">
        <f t="shared" si="8"/>
        <v>93.944300825182793</v>
      </c>
    </row>
    <row r="28" spans="1:20" x14ac:dyDescent="0.3">
      <c r="A28" s="216" t="s">
        <v>175</v>
      </c>
      <c r="B28" s="264">
        <f>'Прил. 1.4 - исполнение МО'!B27</f>
        <v>389279.18530999997</v>
      </c>
      <c r="C28" s="264">
        <f>'Прил. 1.4 - исполнение МО'!C27</f>
        <v>274938.13021999999</v>
      </c>
      <c r="D28" s="264">
        <f t="shared" si="0"/>
        <v>70.627493222134333</v>
      </c>
      <c r="E28" s="264">
        <f>Черн!BG25</f>
        <v>85609.264370000004</v>
      </c>
      <c r="F28" s="264">
        <f>Черн!BL25</f>
        <v>55721.170510000004</v>
      </c>
      <c r="G28" s="264">
        <f t="shared" si="1"/>
        <v>65.087781001335571</v>
      </c>
      <c r="H28" s="264">
        <f>Черн!CW25</f>
        <v>36056</v>
      </c>
      <c r="I28" s="264">
        <f>Черн!CY25</f>
        <v>24146.639090000001</v>
      </c>
      <c r="J28" s="264">
        <f t="shared" si="2"/>
        <v>66.969822193254942</v>
      </c>
      <c r="K28" s="268">
        <f t="shared" si="3"/>
        <v>42.11693706906221</v>
      </c>
      <c r="L28" s="268">
        <f t="shared" si="4"/>
        <v>43.334766425386782</v>
      </c>
      <c r="M28" s="264">
        <f>Черн!CS25</f>
        <v>303669.92093999998</v>
      </c>
      <c r="N28" s="264">
        <f>Черн!CT25</f>
        <v>219216.95971</v>
      </c>
      <c r="O28" s="264">
        <f t="shared" si="5"/>
        <v>72.18922408627806</v>
      </c>
      <c r="P28" s="264">
        <f>Черн!AZ25</f>
        <v>305322.27093999996</v>
      </c>
      <c r="Q28" s="264">
        <f>Черн!BA25</f>
        <v>220869.30970999997</v>
      </c>
      <c r="R28" s="264">
        <f t="shared" si="6"/>
        <v>72.339731074974168</v>
      </c>
      <c r="S28" s="264">
        <f t="shared" si="7"/>
        <v>78.432724497421702</v>
      </c>
      <c r="T28" s="265">
        <f t="shared" si="8"/>
        <v>80.334186288844251</v>
      </c>
    </row>
    <row r="29" spans="1:20" x14ac:dyDescent="0.3">
      <c r="A29" s="216" t="s">
        <v>176</v>
      </c>
      <c r="B29" s="264">
        <f>'Прил. 1.4 - исполнение МО'!B28</f>
        <v>7943196.5416400004</v>
      </c>
      <c r="C29" s="264">
        <f>'Прил. 1.4 - исполнение МО'!C28</f>
        <v>5673092.8614699999</v>
      </c>
      <c r="D29" s="264">
        <f t="shared" si="0"/>
        <v>71.420779175365823</v>
      </c>
      <c r="E29" s="264">
        <f>Черн!BG26</f>
        <v>4161766.2352300002</v>
      </c>
      <c r="F29" s="264">
        <f>Черн!BL26</f>
        <v>2987699.65918</v>
      </c>
      <c r="G29" s="264">
        <f t="shared" si="1"/>
        <v>71.789223380416146</v>
      </c>
      <c r="H29" s="264">
        <f>Черн!CW26</f>
        <v>2587534.6</v>
      </c>
      <c r="I29" s="264">
        <f>Черн!CY26</f>
        <v>1824826.61892</v>
      </c>
      <c r="J29" s="264">
        <f t="shared" si="2"/>
        <v>70.523757205797367</v>
      </c>
      <c r="K29" s="264">
        <f t="shared" si="3"/>
        <v>62.173953406996198</v>
      </c>
      <c r="L29" s="264">
        <f t="shared" si="4"/>
        <v>61.077980623421823</v>
      </c>
      <c r="M29" s="264">
        <f>Черн!CS26</f>
        <v>3781430.3064099997</v>
      </c>
      <c r="N29" s="264">
        <f>Черн!CT26</f>
        <v>2685393.2022899999</v>
      </c>
      <c r="O29" s="264">
        <f t="shared" si="5"/>
        <v>71.015276884461429</v>
      </c>
      <c r="P29" s="264">
        <f>Черн!AZ26</f>
        <v>3780630.4523299998</v>
      </c>
      <c r="Q29" s="264">
        <f>Черн!BA26</f>
        <v>2684593.34821</v>
      </c>
      <c r="R29" s="264">
        <f t="shared" si="6"/>
        <v>71.009144693194941</v>
      </c>
      <c r="S29" s="264">
        <f t="shared" si="7"/>
        <v>47.595831634167617</v>
      </c>
      <c r="T29" s="265">
        <f t="shared" si="8"/>
        <v>47.321512511155575</v>
      </c>
    </row>
    <row r="30" spans="1:20" x14ac:dyDescent="0.3">
      <c r="A30" s="216" t="s">
        <v>177</v>
      </c>
      <c r="B30" s="264">
        <f>'Прил. 1.4 - исполнение МО'!B29</f>
        <v>6470956.62622</v>
      </c>
      <c r="C30" s="264">
        <f>'Прил. 1.4 - исполнение МО'!C29</f>
        <v>4120475.0946599999</v>
      </c>
      <c r="D30" s="264">
        <f t="shared" si="0"/>
        <v>63.676444344628059</v>
      </c>
      <c r="E30" s="264">
        <f>Черн!BG27</f>
        <v>3192823.6255900003</v>
      </c>
      <c r="F30" s="264">
        <f>Черн!BL27</f>
        <v>2240469.9282</v>
      </c>
      <c r="G30" s="264">
        <f t="shared" si="1"/>
        <v>70.172054298363719</v>
      </c>
      <c r="H30" s="264">
        <f>Черн!CW27</f>
        <v>2200609.9</v>
      </c>
      <c r="I30" s="264">
        <f>Черн!CY27</f>
        <v>1555020.8031300001</v>
      </c>
      <c r="J30" s="264">
        <f t="shared" si="2"/>
        <v>70.663174019620669</v>
      </c>
      <c r="K30" s="268">
        <f t="shared" si="3"/>
        <v>68.923628676587185</v>
      </c>
      <c r="L30" s="268">
        <f t="shared" si="4"/>
        <v>69.406010924650445</v>
      </c>
      <c r="M30" s="264">
        <f>Черн!CS27</f>
        <v>3278133.0006300001</v>
      </c>
      <c r="N30" s="264">
        <f>Черн!CT27</f>
        <v>1880005.16646</v>
      </c>
      <c r="O30" s="264">
        <f t="shared" si="5"/>
        <v>57.349874642020197</v>
      </c>
      <c r="P30" s="264">
        <f>Черн!AZ27</f>
        <v>3500949.49339</v>
      </c>
      <c r="Q30" s="264">
        <f>Черн!BA27</f>
        <v>2102821.6592199998</v>
      </c>
      <c r="R30" s="264">
        <f t="shared" si="6"/>
        <v>60.064324355157126</v>
      </c>
      <c r="S30" s="264">
        <f t="shared" si="7"/>
        <v>54.102502854127067</v>
      </c>
      <c r="T30" s="265">
        <f t="shared" si="8"/>
        <v>51.033475774315143</v>
      </c>
    </row>
    <row r="31" spans="1:20" x14ac:dyDescent="0.3">
      <c r="A31" s="216" t="s">
        <v>178</v>
      </c>
      <c r="B31" s="264">
        <f>'Прил. 1.4 - исполнение МО'!B30</f>
        <v>1678741.4129100002</v>
      </c>
      <c r="C31" s="264">
        <f>'Прил. 1.4 - исполнение МО'!C30</f>
        <v>1249141.54232</v>
      </c>
      <c r="D31" s="264">
        <f t="shared" si="0"/>
        <v>74.409407709474806</v>
      </c>
      <c r="E31" s="264">
        <f>Черн!BG28</f>
        <v>723113.9</v>
      </c>
      <c r="F31" s="264">
        <f>Черн!BL28</f>
        <v>515623.59672000003</v>
      </c>
      <c r="G31" s="264">
        <f t="shared" si="1"/>
        <v>71.305999887431298</v>
      </c>
      <c r="H31" s="264">
        <f>Черн!CW28</f>
        <v>424710.40000000002</v>
      </c>
      <c r="I31" s="264">
        <f>Черн!CY28</f>
        <v>294888.31201999995</v>
      </c>
      <c r="J31" s="264">
        <f t="shared" si="2"/>
        <v>69.432797506253664</v>
      </c>
      <c r="K31" s="264">
        <f t="shared" si="3"/>
        <v>58.733541147528769</v>
      </c>
      <c r="L31" s="264">
        <f t="shared" si="4"/>
        <v>57.19061615795944</v>
      </c>
      <c r="M31" s="264">
        <f>Черн!CS28</f>
        <v>955627.51290999993</v>
      </c>
      <c r="N31" s="264">
        <f>Черн!CT28</f>
        <v>733517.94559999998</v>
      </c>
      <c r="O31" s="264">
        <f t="shared" si="5"/>
        <v>76.757725755127154</v>
      </c>
      <c r="P31" s="264">
        <f>Черн!AZ28</f>
        <v>955369.51290999993</v>
      </c>
      <c r="Q31" s="264">
        <f>Черн!BA28</f>
        <v>733559.93724</v>
      </c>
      <c r="R31" s="268">
        <f t="shared" si="6"/>
        <v>76.782849706562146</v>
      </c>
      <c r="S31" s="264">
        <f t="shared" si="7"/>
        <v>56.909867449682004</v>
      </c>
      <c r="T31" s="265">
        <f t="shared" si="8"/>
        <v>58.72512540713177</v>
      </c>
    </row>
    <row r="32" spans="1:20" x14ac:dyDescent="0.3">
      <c r="A32" s="216" t="s">
        <v>179</v>
      </c>
      <c r="B32" s="264">
        <f>'Прил. 1.4 - исполнение МО'!B31</f>
        <v>919755.52464999992</v>
      </c>
      <c r="C32" s="264">
        <f>'Прил. 1.4 - исполнение МО'!C31</f>
        <v>670428.47415999998</v>
      </c>
      <c r="D32" s="264">
        <f t="shared" si="0"/>
        <v>72.892030131063592</v>
      </c>
      <c r="E32" s="264">
        <f>Черн!BG29</f>
        <v>340810.2</v>
      </c>
      <c r="F32" s="264">
        <f>Черн!BL29</f>
        <v>254472.10468000002</v>
      </c>
      <c r="G32" s="264">
        <f t="shared" si="1"/>
        <v>74.666810054393906</v>
      </c>
      <c r="H32" s="264">
        <f>Черн!CW29</f>
        <v>217097</v>
      </c>
      <c r="I32" s="264">
        <f>Черн!CY29</f>
        <v>163911.20433000001</v>
      </c>
      <c r="J32" s="268">
        <f t="shared" si="2"/>
        <v>75.501367743451098</v>
      </c>
      <c r="K32" s="264">
        <f t="shared" si="3"/>
        <v>63.700264839491304</v>
      </c>
      <c r="L32" s="264">
        <f t="shared" si="4"/>
        <v>64.412248460835883</v>
      </c>
      <c r="M32" s="264">
        <f>Черн!CS29</f>
        <v>578945.32464999997</v>
      </c>
      <c r="N32" s="264">
        <f>Черн!CT29</f>
        <v>415956.36947999999</v>
      </c>
      <c r="O32" s="264">
        <f t="shared" si="5"/>
        <v>71.84726290543334</v>
      </c>
      <c r="P32" s="264">
        <f>Черн!AZ29</f>
        <v>579461.06963000004</v>
      </c>
      <c r="Q32" s="264">
        <f>Черн!BA29</f>
        <v>416472.11445999995</v>
      </c>
      <c r="R32" s="264">
        <f t="shared" si="6"/>
        <v>71.872320037984181</v>
      </c>
      <c r="S32" s="264">
        <f t="shared" si="7"/>
        <v>63.001640555571086</v>
      </c>
      <c r="T32" s="265">
        <f t="shared" si="8"/>
        <v>62.120290308643355</v>
      </c>
    </row>
    <row r="33" spans="1:20" x14ac:dyDescent="0.3">
      <c r="A33" s="216" t="s">
        <v>180</v>
      </c>
      <c r="B33" s="264">
        <f>'Прил. 1.4 - исполнение МО'!B32</f>
        <v>845800.92662000004</v>
      </c>
      <c r="C33" s="264">
        <f>'Прил. 1.4 - исполнение МО'!C32</f>
        <v>626484.65387000004</v>
      </c>
      <c r="D33" s="264">
        <f t="shared" si="0"/>
        <v>74.0699890662884</v>
      </c>
      <c r="E33" s="264">
        <f>Черн!BG30</f>
        <v>384703.42001999996</v>
      </c>
      <c r="F33" s="264">
        <f>Черн!BL30</f>
        <v>292233.26318999997</v>
      </c>
      <c r="G33" s="268">
        <f t="shared" si="1"/>
        <v>75.963261042703323</v>
      </c>
      <c r="H33" s="264">
        <f>Черн!CW30</f>
        <v>252799.1</v>
      </c>
      <c r="I33" s="264">
        <f>Черн!CY30</f>
        <v>186326.23558000001</v>
      </c>
      <c r="J33" s="264">
        <f t="shared" si="2"/>
        <v>73.705260651639975</v>
      </c>
      <c r="K33" s="264">
        <f t="shared" si="3"/>
        <v>65.712724879559815</v>
      </c>
      <c r="L33" s="264">
        <f t="shared" si="4"/>
        <v>63.759420658029995</v>
      </c>
      <c r="M33" s="264">
        <f>Черн!CS30</f>
        <v>461097.50660000002</v>
      </c>
      <c r="N33" s="264">
        <f>Черн!CT30</f>
        <v>334251.39068000001</v>
      </c>
      <c r="O33" s="264">
        <f t="shared" si="5"/>
        <v>72.490392139544056</v>
      </c>
      <c r="P33" s="264">
        <f>Черн!AZ30</f>
        <v>461751.42</v>
      </c>
      <c r="Q33" s="264">
        <f>Черн!BA30</f>
        <v>334985.28570000001</v>
      </c>
      <c r="R33" s="264">
        <f t="shared" si="6"/>
        <v>72.546671475314582</v>
      </c>
      <c r="S33" s="264">
        <f t="shared" si="7"/>
        <v>54.593392542764953</v>
      </c>
      <c r="T33" s="265">
        <f t="shared" si="8"/>
        <v>53.470629109697519</v>
      </c>
    </row>
    <row r="34" spans="1:20" x14ac:dyDescent="0.3">
      <c r="A34" s="216" t="s">
        <v>181</v>
      </c>
      <c r="B34" s="264">
        <f>'Прил. 1.4 - исполнение МО'!B33</f>
        <v>1036049.16601</v>
      </c>
      <c r="C34" s="264">
        <f>'Прил. 1.4 - исполнение МО'!C33</f>
        <v>669428.41297000006</v>
      </c>
      <c r="D34" s="264">
        <f t="shared" si="0"/>
        <v>64.613575777304249</v>
      </c>
      <c r="E34" s="264">
        <f>Черн!BG31</f>
        <v>515507</v>
      </c>
      <c r="F34" s="264">
        <f>Черн!BL31</f>
        <v>339154.41054000001</v>
      </c>
      <c r="G34" s="264">
        <f t="shared" si="1"/>
        <v>65.790456878374115</v>
      </c>
      <c r="H34" s="264">
        <f>Черн!CW31</f>
        <v>357854</v>
      </c>
      <c r="I34" s="264">
        <f>Черн!CY31</f>
        <v>232642.15947000001</v>
      </c>
      <c r="J34" s="268">
        <f t="shared" si="2"/>
        <v>65.01035603067173</v>
      </c>
      <c r="K34" s="268">
        <f t="shared" si="3"/>
        <v>69.417874054086568</v>
      </c>
      <c r="L34" s="268">
        <f t="shared" si="4"/>
        <v>68.59476163072398</v>
      </c>
      <c r="M34" s="264">
        <f>Черн!CS31</f>
        <v>520542.16600999999</v>
      </c>
      <c r="N34" s="264">
        <f>Черн!CT31</f>
        <v>330274.00242999999</v>
      </c>
      <c r="O34" s="264">
        <f t="shared" si="5"/>
        <v>63.448078560393739</v>
      </c>
      <c r="P34" s="264">
        <f>Черн!AZ31</f>
        <v>524983.46912000002</v>
      </c>
      <c r="Q34" s="264">
        <f>Черн!BA31</f>
        <v>334715.30554000003</v>
      </c>
      <c r="R34" s="264">
        <f t="shared" si="6"/>
        <v>63.757303844455194</v>
      </c>
      <c r="S34" s="264">
        <f t="shared" si="7"/>
        <v>50.671675277902096</v>
      </c>
      <c r="T34" s="265">
        <f t="shared" si="8"/>
        <v>50.000164178122517</v>
      </c>
    </row>
    <row r="35" spans="1:20" x14ac:dyDescent="0.3">
      <c r="A35" s="216" t="s">
        <v>182</v>
      </c>
      <c r="B35" s="264">
        <f>'Прил. 1.4 - исполнение МО'!B34</f>
        <v>95096.85411</v>
      </c>
      <c r="C35" s="264">
        <f>'Прил. 1.4 - исполнение МО'!C34</f>
        <v>62712.945200000002</v>
      </c>
      <c r="D35" s="264">
        <f t="shared" si="0"/>
        <v>65.946393060972312</v>
      </c>
      <c r="E35" s="264">
        <f>Черн!BG32</f>
        <v>87253.254109999994</v>
      </c>
      <c r="F35" s="264">
        <f>Черн!BL32</f>
        <v>58210.607469999995</v>
      </c>
      <c r="G35" s="264">
        <f t="shared" si="1"/>
        <v>66.714540407414503</v>
      </c>
      <c r="H35" s="264">
        <f>Черн!CW32</f>
        <v>86312.1</v>
      </c>
      <c r="I35" s="264">
        <f>Черн!CY32</f>
        <v>57655.168640000004</v>
      </c>
      <c r="J35" s="264">
        <f t="shared" si="2"/>
        <v>66.798477432480496</v>
      </c>
      <c r="K35" s="268">
        <f t="shared" si="3"/>
        <v>98.921353570591791</v>
      </c>
      <c r="L35" s="268">
        <f t="shared" si="4"/>
        <v>99.045811658491544</v>
      </c>
      <c r="M35" s="264">
        <f>Черн!CS32</f>
        <v>7843.6</v>
      </c>
      <c r="N35" s="264">
        <f>Черн!CT32</f>
        <v>4502.3377300000002</v>
      </c>
      <c r="O35" s="264">
        <f t="shared" si="5"/>
        <v>57.401419373756944</v>
      </c>
      <c r="P35" s="264">
        <f>Черн!AZ32</f>
        <v>7843.6</v>
      </c>
      <c r="Q35" s="264">
        <f>Черн!BA32</f>
        <v>4508.53773</v>
      </c>
      <c r="R35" s="268">
        <f t="shared" si="6"/>
        <v>57.480464710082103</v>
      </c>
      <c r="S35" s="268">
        <f t="shared" si="7"/>
        <v>8.2480120645496715</v>
      </c>
      <c r="T35" s="270">
        <f t="shared" si="8"/>
        <v>7.1891659937540293</v>
      </c>
    </row>
    <row r="36" spans="1:20" s="275" customFormat="1" ht="13.8" thickBot="1" x14ac:dyDescent="0.35">
      <c r="A36" s="221" t="s">
        <v>183</v>
      </c>
      <c r="B36" s="219">
        <f>'Прил. 1.4 - исполнение МО'!B35</f>
        <v>33063857.950399999</v>
      </c>
      <c r="C36" s="219">
        <f>'Прил. 1.4 - исполнение МО'!C35</f>
        <v>22884529.75138</v>
      </c>
      <c r="D36" s="219">
        <f t="shared" si="0"/>
        <v>69.213126265270418</v>
      </c>
      <c r="E36" s="219">
        <f>Черн!BG33</f>
        <v>12860276.062969999</v>
      </c>
      <c r="F36" s="219">
        <f>Черн!BL33</f>
        <v>9131273.3422499988</v>
      </c>
      <c r="G36" s="219">
        <f t="shared" si="1"/>
        <v>71.003711720797924</v>
      </c>
      <c r="H36" s="219">
        <f>Черн!CW33</f>
        <v>7960746.6283999998</v>
      </c>
      <c r="I36" s="219">
        <f>Черн!CY33</f>
        <v>5669972.6984300008</v>
      </c>
      <c r="J36" s="219">
        <f t="shared" si="2"/>
        <v>71.224132146127445</v>
      </c>
      <c r="K36" s="219">
        <f t="shared" si="3"/>
        <v>61.90183312877901</v>
      </c>
      <c r="L36" s="219">
        <f t="shared" si="4"/>
        <v>62.093998130526735</v>
      </c>
      <c r="M36" s="219">
        <f>Черн!CS33</f>
        <v>20203581.887430005</v>
      </c>
      <c r="N36" s="219">
        <f>Черн!CT33</f>
        <v>13753256.40913</v>
      </c>
      <c r="O36" s="219">
        <f t="shared" si="5"/>
        <v>68.073356921362631</v>
      </c>
      <c r="P36" s="219">
        <f>Черн!AZ33</f>
        <v>21077930.994840007</v>
      </c>
      <c r="Q36" s="219">
        <f>Черн!BA33</f>
        <v>14621261.817790003</v>
      </c>
      <c r="R36" s="219">
        <f t="shared" si="6"/>
        <v>69.367633006149262</v>
      </c>
      <c r="S36" s="219">
        <f t="shared" si="7"/>
        <v>63.749157846188403</v>
      </c>
      <c r="T36" s="220">
        <f t="shared" si="8"/>
        <v>63.891467190442491</v>
      </c>
    </row>
    <row r="37" spans="1:20" ht="13.8" thickTop="1" x14ac:dyDescent="0.25"/>
  </sheetData>
  <autoFilter ref="A9:T36"/>
  <mergeCells count="13">
    <mergeCell ref="P7:R7"/>
    <mergeCell ref="S7:T7"/>
    <mergeCell ref="Q1:T1"/>
    <mergeCell ref="A3:T3"/>
    <mergeCell ref="A5:A8"/>
    <mergeCell ref="B5:D7"/>
    <mergeCell ref="E5:T5"/>
    <mergeCell ref="E6:G7"/>
    <mergeCell ref="H6:L6"/>
    <mergeCell ref="M6:O7"/>
    <mergeCell ref="P6:T6"/>
    <mergeCell ref="H7:J7"/>
    <mergeCell ref="K7:L7"/>
  </mergeCells>
  <pageMargins left="0" right="0" top="0.94488188976377963" bottom="0.74803149606299213" header="0.70866141732283472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workbookViewId="0">
      <selection activeCell="H37" sqref="H37:K37"/>
    </sheetView>
  </sheetViews>
  <sheetFormatPr defaultColWidth="9.109375" defaultRowHeight="13.2" x14ac:dyDescent="0.3"/>
  <cols>
    <col min="1" max="1" width="21.5546875" style="341" customWidth="1"/>
    <col min="2" max="2" width="12.33203125" style="342" bestFit="1" customWidth="1"/>
    <col min="3" max="4" width="11.33203125" style="342" bestFit="1" customWidth="1"/>
    <col min="5" max="5" width="9.6640625" style="342" bestFit="1" customWidth="1"/>
    <col min="6" max="6" width="8.6640625" style="342" bestFit="1" customWidth="1"/>
    <col min="7" max="7" width="12.33203125" style="342" bestFit="1" customWidth="1"/>
    <col min="8" max="10" width="11.33203125" style="342" bestFit="1" customWidth="1"/>
    <col min="11" max="11" width="9.6640625" style="342" bestFit="1" customWidth="1"/>
    <col min="12" max="12" width="6.21875" style="342" bestFit="1" customWidth="1"/>
    <col min="13" max="15" width="9.109375" style="342"/>
    <col min="16" max="16" width="7.6640625" style="342" bestFit="1" customWidth="1"/>
    <col min="17" max="16384" width="9.109375" style="342"/>
  </cols>
  <sheetData>
    <row r="1" spans="1:16" s="341" customFormat="1" x14ac:dyDescent="0.3">
      <c r="N1" s="409" t="s">
        <v>341</v>
      </c>
      <c r="O1" s="409"/>
      <c r="P1" s="409"/>
    </row>
    <row r="2" spans="1:16" s="341" customFormat="1" x14ac:dyDescent="0.3"/>
    <row r="3" spans="1:16" s="341" customFormat="1" ht="31.5" customHeight="1" x14ac:dyDescent="0.3">
      <c r="A3" s="410" t="s">
        <v>349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</row>
    <row r="4" spans="1:16" s="341" customFormat="1" ht="13.8" thickBot="1" x14ac:dyDescent="0.35"/>
    <row r="5" spans="1:16" s="363" customFormat="1" ht="13.8" thickTop="1" x14ac:dyDescent="0.3">
      <c r="A5" s="382" t="s">
        <v>184</v>
      </c>
      <c r="B5" s="411" t="s">
        <v>346</v>
      </c>
      <c r="C5" s="411"/>
      <c r="D5" s="411"/>
      <c r="E5" s="411"/>
      <c r="F5" s="411"/>
      <c r="G5" s="411" t="s">
        <v>347</v>
      </c>
      <c r="H5" s="411"/>
      <c r="I5" s="411"/>
      <c r="J5" s="411"/>
      <c r="K5" s="411"/>
      <c r="L5" s="411" t="s">
        <v>331</v>
      </c>
      <c r="M5" s="411"/>
      <c r="N5" s="411"/>
      <c r="O5" s="411"/>
      <c r="P5" s="412"/>
    </row>
    <row r="6" spans="1:16" s="363" customFormat="1" x14ac:dyDescent="0.3">
      <c r="A6" s="383"/>
      <c r="B6" s="413" t="s">
        <v>190</v>
      </c>
      <c r="C6" s="413" t="s">
        <v>137</v>
      </c>
      <c r="D6" s="413"/>
      <c r="E6" s="413"/>
      <c r="F6" s="413"/>
      <c r="G6" s="413" t="s">
        <v>190</v>
      </c>
      <c r="H6" s="413" t="s">
        <v>137</v>
      </c>
      <c r="I6" s="413"/>
      <c r="J6" s="413"/>
      <c r="K6" s="413"/>
      <c r="L6" s="413" t="s">
        <v>190</v>
      </c>
      <c r="M6" s="413" t="s">
        <v>137</v>
      </c>
      <c r="N6" s="413"/>
      <c r="O6" s="413"/>
      <c r="P6" s="414"/>
    </row>
    <row r="7" spans="1:16" s="363" customFormat="1" ht="25.5" customHeight="1" x14ac:dyDescent="0.3">
      <c r="A7" s="383"/>
      <c r="B7" s="413"/>
      <c r="C7" s="413" t="s">
        <v>332</v>
      </c>
      <c r="D7" s="413" t="s">
        <v>333</v>
      </c>
      <c r="E7" s="413" t="s">
        <v>334</v>
      </c>
      <c r="F7" s="413" t="s">
        <v>335</v>
      </c>
      <c r="G7" s="413"/>
      <c r="H7" s="413" t="s">
        <v>332</v>
      </c>
      <c r="I7" s="413" t="s">
        <v>333</v>
      </c>
      <c r="J7" s="413" t="s">
        <v>334</v>
      </c>
      <c r="K7" s="413" t="s">
        <v>335</v>
      </c>
      <c r="L7" s="413"/>
      <c r="M7" s="413" t="s">
        <v>332</v>
      </c>
      <c r="N7" s="413" t="s">
        <v>333</v>
      </c>
      <c r="O7" s="413" t="s">
        <v>334</v>
      </c>
      <c r="P7" s="414" t="s">
        <v>335</v>
      </c>
    </row>
    <row r="8" spans="1:16" s="363" customFormat="1" x14ac:dyDescent="0.3">
      <c r="A8" s="383"/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4"/>
    </row>
    <row r="9" spans="1:16" s="257" customFormat="1" ht="10.199999999999999" x14ac:dyDescent="0.3">
      <c r="A9" s="213" t="s">
        <v>13</v>
      </c>
      <c r="B9" s="326">
        <v>1</v>
      </c>
      <c r="C9" s="326">
        <v>2</v>
      </c>
      <c r="D9" s="326">
        <v>3</v>
      </c>
      <c r="E9" s="326">
        <v>4</v>
      </c>
      <c r="F9" s="326">
        <v>5</v>
      </c>
      <c r="G9" s="326">
        <v>6</v>
      </c>
      <c r="H9" s="326">
        <v>7</v>
      </c>
      <c r="I9" s="326">
        <v>8</v>
      </c>
      <c r="J9" s="326">
        <v>9</v>
      </c>
      <c r="K9" s="326">
        <v>10</v>
      </c>
      <c r="L9" s="326">
        <v>11</v>
      </c>
      <c r="M9" s="326">
        <v>12</v>
      </c>
      <c r="N9" s="326">
        <v>13</v>
      </c>
      <c r="O9" s="326">
        <v>14</v>
      </c>
      <c r="P9" s="328">
        <v>15</v>
      </c>
    </row>
    <row r="10" spans="1:16" x14ac:dyDescent="0.3">
      <c r="A10" s="364" t="s">
        <v>157</v>
      </c>
      <c r="B10" s="339">
        <v>688844.04188999999</v>
      </c>
      <c r="C10" s="339">
        <v>214678.40068000002</v>
      </c>
      <c r="D10" s="339">
        <v>427009.79021000001</v>
      </c>
      <c r="E10" s="339">
        <v>38916.1</v>
      </c>
      <c r="F10" s="339">
        <v>8239.7510000000002</v>
      </c>
      <c r="G10" s="339">
        <v>752079.23315999995</v>
      </c>
      <c r="H10" s="339">
        <v>248145.32691</v>
      </c>
      <c r="I10" s="339">
        <v>427466.95568000001</v>
      </c>
      <c r="J10" s="339">
        <v>71186.8</v>
      </c>
      <c r="K10" s="339">
        <v>5280.1505700000007</v>
      </c>
      <c r="L10" s="339">
        <v>9.1798995744377549</v>
      </c>
      <c r="M10" s="339">
        <v>15.589330889364064</v>
      </c>
      <c r="N10" s="339">
        <v>0.10706205817322711</v>
      </c>
      <c r="O10" s="339">
        <v>82.923777048573726</v>
      </c>
      <c r="P10" s="319">
        <v>-35.918566349881189</v>
      </c>
    </row>
    <row r="11" spans="1:16" x14ac:dyDescent="0.3">
      <c r="A11" s="364" t="s">
        <v>158</v>
      </c>
      <c r="B11" s="339">
        <v>424011.79708999995</v>
      </c>
      <c r="C11" s="339">
        <v>189119.53198</v>
      </c>
      <c r="D11" s="339">
        <v>193996.35671000002</v>
      </c>
      <c r="E11" s="339">
        <v>38816.699999999997</v>
      </c>
      <c r="F11" s="339">
        <v>2079.2084</v>
      </c>
      <c r="G11" s="339">
        <v>371594.56280000001</v>
      </c>
      <c r="H11" s="339">
        <v>144277.42659000002</v>
      </c>
      <c r="I11" s="339">
        <v>191440.39521000002</v>
      </c>
      <c r="J11" s="339">
        <v>35542.300000000003</v>
      </c>
      <c r="K11" s="339">
        <v>334.44099999999997</v>
      </c>
      <c r="L11" s="339">
        <v>-12.362211299246937</v>
      </c>
      <c r="M11" s="339">
        <v>-23.71098580909252</v>
      </c>
      <c r="N11" s="339">
        <v>-1.3175306708573089</v>
      </c>
      <c r="O11" s="339">
        <v>-8.4355444950240326</v>
      </c>
      <c r="P11" s="319">
        <v>-83.914984183403647</v>
      </c>
    </row>
    <row r="12" spans="1:16" x14ac:dyDescent="0.3">
      <c r="A12" s="364" t="s">
        <v>159</v>
      </c>
      <c r="B12" s="339">
        <v>260679.29501</v>
      </c>
      <c r="C12" s="339">
        <v>96763.725010000009</v>
      </c>
      <c r="D12" s="339">
        <v>142750.06</v>
      </c>
      <c r="E12" s="339">
        <v>19072.599999999999</v>
      </c>
      <c r="F12" s="339">
        <v>2092.91</v>
      </c>
      <c r="G12" s="339">
        <v>246372.76850000001</v>
      </c>
      <c r="H12" s="339">
        <v>91829.079230000003</v>
      </c>
      <c r="I12" s="339">
        <v>130254.31327</v>
      </c>
      <c r="J12" s="339">
        <v>22818.400000000001</v>
      </c>
      <c r="K12" s="339">
        <v>1470.9760000000001</v>
      </c>
      <c r="L12" s="339">
        <v>-5.4881713982889124</v>
      </c>
      <c r="M12" s="339">
        <v>-5.0996856306327913</v>
      </c>
      <c r="N12" s="339">
        <v>-8.7535842226616296</v>
      </c>
      <c r="O12" s="339">
        <v>19.639692543229557</v>
      </c>
      <c r="P12" s="319">
        <v>-29.716232422798868</v>
      </c>
    </row>
    <row r="13" spans="1:16" x14ac:dyDescent="0.3">
      <c r="A13" s="364" t="s">
        <v>160</v>
      </c>
      <c r="B13" s="339">
        <v>392688.88420999999</v>
      </c>
      <c r="C13" s="339">
        <v>161846.31299999999</v>
      </c>
      <c r="D13" s="339">
        <v>194144.75721000001</v>
      </c>
      <c r="E13" s="339">
        <v>33915.699999999997</v>
      </c>
      <c r="F13" s="339">
        <v>2782.114</v>
      </c>
      <c r="G13" s="339">
        <v>378457.19662</v>
      </c>
      <c r="H13" s="339">
        <v>134588.99938999998</v>
      </c>
      <c r="I13" s="339">
        <v>200842.45522999999</v>
      </c>
      <c r="J13" s="339">
        <v>40811.9</v>
      </c>
      <c r="K13" s="339">
        <v>2213.8420000000001</v>
      </c>
      <c r="L13" s="339">
        <v>-3.6241635967442392</v>
      </c>
      <c r="M13" s="339">
        <v>-16.841479490484289</v>
      </c>
      <c r="N13" s="339">
        <v>3.4498474830073889</v>
      </c>
      <c r="O13" s="339">
        <v>20.333355938400217</v>
      </c>
      <c r="P13" s="319">
        <v>-20.425906343162069</v>
      </c>
    </row>
    <row r="14" spans="1:16" x14ac:dyDescent="0.3">
      <c r="A14" s="364" t="s">
        <v>161</v>
      </c>
      <c r="B14" s="339">
        <v>360144.49426999997</v>
      </c>
      <c r="C14" s="339">
        <v>148702.54801</v>
      </c>
      <c r="D14" s="339">
        <v>174304.56326</v>
      </c>
      <c r="E14" s="339">
        <v>35596.699999999997</v>
      </c>
      <c r="F14" s="339">
        <v>1540.683</v>
      </c>
      <c r="G14" s="339">
        <v>349559.01402999996</v>
      </c>
      <c r="H14" s="339">
        <v>128029.76877</v>
      </c>
      <c r="I14" s="339">
        <v>171694.88725999999</v>
      </c>
      <c r="J14" s="339">
        <v>44001.2</v>
      </c>
      <c r="K14" s="339">
        <v>5833.1580000000004</v>
      </c>
      <c r="L14" s="339">
        <v>-2.9392314497147538</v>
      </c>
      <c r="M14" s="339">
        <v>-13.902101555522648</v>
      </c>
      <c r="N14" s="339">
        <v>-1.49719316074777</v>
      </c>
      <c r="O14" s="339">
        <v>23.610334665853856</v>
      </c>
      <c r="P14" s="319">
        <v>278.60857814358963</v>
      </c>
    </row>
    <row r="15" spans="1:16" x14ac:dyDescent="0.3">
      <c r="A15" s="364" t="s">
        <v>162</v>
      </c>
      <c r="B15" s="339">
        <v>917655.78654999996</v>
      </c>
      <c r="C15" s="339">
        <v>679882.34703999991</v>
      </c>
      <c r="D15" s="339">
        <v>200700.05950999999</v>
      </c>
      <c r="E15" s="339">
        <v>34309.5</v>
      </c>
      <c r="F15" s="339">
        <v>2763.88</v>
      </c>
      <c r="G15" s="339">
        <v>525477.03495</v>
      </c>
      <c r="H15" s="339">
        <v>257360.56990999999</v>
      </c>
      <c r="I15" s="339">
        <v>211944.41503999999</v>
      </c>
      <c r="J15" s="339">
        <v>53141.4</v>
      </c>
      <c r="K15" s="339">
        <v>3030.65</v>
      </c>
      <c r="L15" s="339">
        <v>-42.737021587846918</v>
      </c>
      <c r="M15" s="339">
        <v>-62.146307956006019</v>
      </c>
      <c r="N15" s="339">
        <v>5.6025671130604451</v>
      </c>
      <c r="O15" s="339">
        <v>54.888296244480387</v>
      </c>
      <c r="P15" s="319">
        <v>9.6520109411407162</v>
      </c>
    </row>
    <row r="16" spans="1:16" x14ac:dyDescent="0.3">
      <c r="A16" s="364" t="s">
        <v>163</v>
      </c>
      <c r="B16" s="339">
        <v>338780.56020999997</v>
      </c>
      <c r="C16" s="339">
        <v>145991.69488</v>
      </c>
      <c r="D16" s="339">
        <v>150405.07533000002</v>
      </c>
      <c r="E16" s="339">
        <v>41371.199999999997</v>
      </c>
      <c r="F16" s="339">
        <v>1012.59</v>
      </c>
      <c r="G16" s="339">
        <v>294869.18235000002</v>
      </c>
      <c r="H16" s="339">
        <v>86004.598310000001</v>
      </c>
      <c r="I16" s="339">
        <v>164728.33703999998</v>
      </c>
      <c r="J16" s="339">
        <v>41062</v>
      </c>
      <c r="K16" s="339">
        <v>3074.2469999999998</v>
      </c>
      <c r="L16" s="339">
        <v>-12.961599045937177</v>
      </c>
      <c r="M16" s="339">
        <v>-41.089389789814597</v>
      </c>
      <c r="N16" s="339">
        <v>9.5231239228953228</v>
      </c>
      <c r="O16" s="339">
        <v>-0.74737981977800416</v>
      </c>
      <c r="P16" s="319">
        <v>203.6023464580926</v>
      </c>
    </row>
    <row r="17" spans="1:16" x14ac:dyDescent="0.3">
      <c r="A17" s="364" t="s">
        <v>164</v>
      </c>
      <c r="B17" s="339">
        <v>309064.93968000001</v>
      </c>
      <c r="C17" s="339">
        <v>111158.56206</v>
      </c>
      <c r="D17" s="339">
        <v>166402.47102</v>
      </c>
      <c r="E17" s="339">
        <v>23479.200000000001</v>
      </c>
      <c r="F17" s="339">
        <v>8024.7065999999995</v>
      </c>
      <c r="G17" s="339">
        <v>321480.22642000002</v>
      </c>
      <c r="H17" s="339">
        <v>144106.31496000002</v>
      </c>
      <c r="I17" s="339">
        <v>151078.04046000002</v>
      </c>
      <c r="J17" s="339">
        <v>21860.5</v>
      </c>
      <c r="K17" s="339">
        <v>4435.3710000000001</v>
      </c>
      <c r="L17" s="339">
        <v>4.0170479229557969</v>
      </c>
      <c r="M17" s="339">
        <v>29.640319458446982</v>
      </c>
      <c r="N17" s="339">
        <v>-9.2092566090308452</v>
      </c>
      <c r="O17" s="339">
        <v>-6.8941871954751406</v>
      </c>
      <c r="P17" s="319">
        <v>-44.72855867403301</v>
      </c>
    </row>
    <row r="18" spans="1:16" x14ac:dyDescent="0.3">
      <c r="A18" s="364" t="s">
        <v>165</v>
      </c>
      <c r="B18" s="339">
        <v>575613.38424000004</v>
      </c>
      <c r="C18" s="339">
        <v>397880.72191000002</v>
      </c>
      <c r="D18" s="339">
        <v>174604.23333000002</v>
      </c>
      <c r="E18" s="339">
        <v>1906.5</v>
      </c>
      <c r="F18" s="339">
        <v>1221.9290000000001</v>
      </c>
      <c r="G18" s="339">
        <v>276349.93319000001</v>
      </c>
      <c r="H18" s="339">
        <v>98395.464659999998</v>
      </c>
      <c r="I18" s="339">
        <v>173722.66453000001</v>
      </c>
      <c r="J18" s="339">
        <v>1831.7</v>
      </c>
      <c r="K18" s="339">
        <v>2400.1039999999998</v>
      </c>
      <c r="L18" s="339">
        <v>-51.990356590670096</v>
      </c>
      <c r="M18" s="339">
        <v>-75.270110050152951</v>
      </c>
      <c r="N18" s="339">
        <v>-0.50489543305278062</v>
      </c>
      <c r="O18" s="339">
        <v>-3.9234198793600825</v>
      </c>
      <c r="P18" s="319">
        <v>96.419268222621753</v>
      </c>
    </row>
    <row r="19" spans="1:16" x14ac:dyDescent="0.3">
      <c r="A19" s="364" t="s">
        <v>166</v>
      </c>
      <c r="B19" s="339">
        <v>228651.42439</v>
      </c>
      <c r="C19" s="339">
        <v>94441.673410000003</v>
      </c>
      <c r="D19" s="339">
        <v>113698.82098</v>
      </c>
      <c r="E19" s="339">
        <v>18573.400000000001</v>
      </c>
      <c r="F19" s="339">
        <v>1937.53</v>
      </c>
      <c r="G19" s="339">
        <v>227929.82709000001</v>
      </c>
      <c r="H19" s="339">
        <v>78347.94</v>
      </c>
      <c r="I19" s="339">
        <v>115647.52509000001</v>
      </c>
      <c r="J19" s="339">
        <v>33198</v>
      </c>
      <c r="K19" s="339">
        <v>736.36199999999997</v>
      </c>
      <c r="L19" s="339">
        <v>-0.31558836859429107</v>
      </c>
      <c r="M19" s="339">
        <v>-17.040923597501504</v>
      </c>
      <c r="N19" s="339">
        <v>1.7139176054805318</v>
      </c>
      <c r="O19" s="339">
        <v>78.73948765438746</v>
      </c>
      <c r="P19" s="319">
        <v>-61.994807822330493</v>
      </c>
    </row>
    <row r="20" spans="1:16" x14ac:dyDescent="0.3">
      <c r="A20" s="364" t="s">
        <v>167</v>
      </c>
      <c r="B20" s="339">
        <v>254308.48308999999</v>
      </c>
      <c r="C20" s="339">
        <v>120211.26554000001</v>
      </c>
      <c r="D20" s="339">
        <v>133089.66995000001</v>
      </c>
      <c r="E20" s="339">
        <v>0</v>
      </c>
      <c r="F20" s="339">
        <v>1007.5476</v>
      </c>
      <c r="G20" s="339">
        <v>247027.41028000001</v>
      </c>
      <c r="H20" s="339">
        <v>115052.12973999999</v>
      </c>
      <c r="I20" s="339">
        <v>130981.37854000001</v>
      </c>
      <c r="J20" s="339">
        <v>0</v>
      </c>
      <c r="K20" s="339">
        <v>993.90200000000004</v>
      </c>
      <c r="L20" s="339">
        <v>-2.8630868783968992</v>
      </c>
      <c r="M20" s="339">
        <v>-4.2917240549999178</v>
      </c>
      <c r="N20" s="339">
        <v>-1.584113485886661</v>
      </c>
      <c r="O20" s="369" t="s">
        <v>30</v>
      </c>
      <c r="P20" s="319">
        <v>-1.3543379985223538</v>
      </c>
    </row>
    <row r="21" spans="1:16" x14ac:dyDescent="0.3">
      <c r="A21" s="364" t="s">
        <v>168</v>
      </c>
      <c r="B21" s="339">
        <v>328346.25854000001</v>
      </c>
      <c r="C21" s="339">
        <v>70354.675860000003</v>
      </c>
      <c r="D21" s="339">
        <v>235128.41500000001</v>
      </c>
      <c r="E21" s="339">
        <v>18326.7</v>
      </c>
      <c r="F21" s="339">
        <v>4536.4676799999997</v>
      </c>
      <c r="G21" s="339">
        <v>323822.81585000001</v>
      </c>
      <c r="H21" s="339">
        <v>65888.320189999999</v>
      </c>
      <c r="I21" s="339">
        <v>229744.94544000001</v>
      </c>
      <c r="J21" s="339">
        <v>27518.7</v>
      </c>
      <c r="K21" s="339">
        <v>670.85021999999992</v>
      </c>
      <c r="L21" s="339">
        <v>-1.3776440487287971</v>
      </c>
      <c r="M21" s="339">
        <v>-6.3483423317700698</v>
      </c>
      <c r="N21" s="339">
        <v>-2.2895869731440115</v>
      </c>
      <c r="O21" s="339">
        <v>50.156329290052213</v>
      </c>
      <c r="P21" s="319">
        <v>-85.212057765613793</v>
      </c>
    </row>
    <row r="22" spans="1:16" x14ac:dyDescent="0.3">
      <c r="A22" s="364" t="s">
        <v>169</v>
      </c>
      <c r="B22" s="339">
        <v>483296.01558000001</v>
      </c>
      <c r="C22" s="339">
        <v>140122.24695</v>
      </c>
      <c r="D22" s="339">
        <v>282468.46162999998</v>
      </c>
      <c r="E22" s="339">
        <v>57736.2</v>
      </c>
      <c r="F22" s="339">
        <v>2969.107</v>
      </c>
      <c r="G22" s="339">
        <v>432424.64833</v>
      </c>
      <c r="H22" s="339">
        <v>62160.826959999999</v>
      </c>
      <c r="I22" s="339">
        <v>294288.41937000002</v>
      </c>
      <c r="J22" s="339">
        <v>67954.8</v>
      </c>
      <c r="K22" s="339">
        <v>8020.6019999999999</v>
      </c>
      <c r="L22" s="339">
        <v>-10.525923163043188</v>
      </c>
      <c r="M22" s="339">
        <v>-55.638145752700552</v>
      </c>
      <c r="N22" s="339">
        <v>4.1845229983525769</v>
      </c>
      <c r="O22" s="339">
        <v>17.698774772153357</v>
      </c>
      <c r="P22" s="319">
        <v>170.13516185169482</v>
      </c>
    </row>
    <row r="23" spans="1:16" x14ac:dyDescent="0.3">
      <c r="A23" s="364" t="s">
        <v>170</v>
      </c>
      <c r="B23" s="339">
        <v>647688.30100999994</v>
      </c>
      <c r="C23" s="339">
        <v>224395.69361000002</v>
      </c>
      <c r="D23" s="339">
        <v>352712.55168000003</v>
      </c>
      <c r="E23" s="339">
        <v>64685.599999999999</v>
      </c>
      <c r="F23" s="339">
        <v>5894.4557199999999</v>
      </c>
      <c r="G23" s="339">
        <v>619912.98069000011</v>
      </c>
      <c r="H23" s="339">
        <v>198743.36</v>
      </c>
      <c r="I23" s="339">
        <v>333683.56319000002</v>
      </c>
      <c r="J23" s="339">
        <v>86712.1</v>
      </c>
      <c r="K23" s="339">
        <v>773.95749999999998</v>
      </c>
      <c r="L23" s="339">
        <v>-4.2883776465758672</v>
      </c>
      <c r="M23" s="339">
        <v>-11.431740599524971</v>
      </c>
      <c r="N23" s="339">
        <v>-5.3950414861516265</v>
      </c>
      <c r="O23" s="339">
        <v>34.051628183088667</v>
      </c>
      <c r="P23" s="319">
        <v>-86.86973765238497</v>
      </c>
    </row>
    <row r="24" spans="1:16" x14ac:dyDescent="0.3">
      <c r="A24" s="364" t="s">
        <v>171</v>
      </c>
      <c r="B24" s="339">
        <v>534182.59961000003</v>
      </c>
      <c r="C24" s="339">
        <v>79003.060200000007</v>
      </c>
      <c r="D24" s="339">
        <v>382466.75941</v>
      </c>
      <c r="E24" s="339">
        <v>69218.399999999994</v>
      </c>
      <c r="F24" s="339">
        <v>3494.38</v>
      </c>
      <c r="G24" s="339">
        <v>586880.83059999999</v>
      </c>
      <c r="H24" s="339">
        <v>88286.444680000001</v>
      </c>
      <c r="I24" s="339">
        <v>414806.50222000002</v>
      </c>
      <c r="J24" s="339">
        <v>81042.600000000006</v>
      </c>
      <c r="K24" s="339">
        <v>2745.2837000000004</v>
      </c>
      <c r="L24" s="339">
        <v>9.8652092053305864</v>
      </c>
      <c r="M24" s="339">
        <v>11.750664412870421</v>
      </c>
      <c r="N24" s="339">
        <v>8.4555695401838022</v>
      </c>
      <c r="O24" s="339">
        <v>17.082452064768916</v>
      </c>
      <c r="P24" s="319">
        <v>-21.437173404151807</v>
      </c>
    </row>
    <row r="25" spans="1:16" x14ac:dyDescent="0.3">
      <c r="A25" s="364" t="s">
        <v>172</v>
      </c>
      <c r="B25" s="339">
        <v>418505.94344</v>
      </c>
      <c r="C25" s="339">
        <v>175316.56141999998</v>
      </c>
      <c r="D25" s="339">
        <v>228166.75302</v>
      </c>
      <c r="E25" s="339">
        <v>6562.1</v>
      </c>
      <c r="F25" s="339">
        <v>8460.5290000000005</v>
      </c>
      <c r="G25" s="339">
        <v>594342.1936900001</v>
      </c>
      <c r="H25" s="339">
        <v>347163.19676999998</v>
      </c>
      <c r="I25" s="339">
        <v>235070.6648</v>
      </c>
      <c r="J25" s="339">
        <v>6872.5</v>
      </c>
      <c r="K25" s="339">
        <v>5235.83212</v>
      </c>
      <c r="L25" s="339">
        <v>42.015233715601767</v>
      </c>
      <c r="M25" s="339">
        <v>98.020765384687621</v>
      </c>
      <c r="N25" s="339">
        <v>3.0258184808348716</v>
      </c>
      <c r="O25" s="339">
        <v>4.7301930784352351</v>
      </c>
      <c r="P25" s="319">
        <v>-38.114601108275863</v>
      </c>
    </row>
    <row r="26" spans="1:16" x14ac:dyDescent="0.3">
      <c r="A26" s="364" t="s">
        <v>173</v>
      </c>
      <c r="B26" s="339">
        <v>632888.87234</v>
      </c>
      <c r="C26" s="339">
        <v>226552.35863</v>
      </c>
      <c r="D26" s="339">
        <v>349862.62298000004</v>
      </c>
      <c r="E26" s="339">
        <v>50600.9</v>
      </c>
      <c r="F26" s="339">
        <v>5872.9907300000004</v>
      </c>
      <c r="G26" s="339">
        <v>600007.36675000004</v>
      </c>
      <c r="H26" s="339">
        <v>186126.37605000002</v>
      </c>
      <c r="I26" s="339">
        <v>359902.91816</v>
      </c>
      <c r="J26" s="339">
        <v>48821</v>
      </c>
      <c r="K26" s="339">
        <v>5157.0725400000001</v>
      </c>
      <c r="L26" s="339">
        <v>-5.1954627466313639</v>
      </c>
      <c r="M26" s="339">
        <v>-17.843991042275007</v>
      </c>
      <c r="N26" s="339">
        <v>2.8697821717794341</v>
      </c>
      <c r="O26" s="339">
        <v>-3.5175263681080793</v>
      </c>
      <c r="P26" s="319">
        <v>-12.190010557023314</v>
      </c>
    </row>
    <row r="27" spans="1:16" x14ac:dyDescent="0.3">
      <c r="A27" s="364" t="s">
        <v>174</v>
      </c>
      <c r="B27" s="339">
        <v>684607.55610000005</v>
      </c>
      <c r="C27" s="339">
        <v>279982.08852999995</v>
      </c>
      <c r="D27" s="339">
        <v>359917.42757</v>
      </c>
      <c r="E27" s="339">
        <v>40375.9</v>
      </c>
      <c r="F27" s="339">
        <v>4332.1400000000003</v>
      </c>
      <c r="G27" s="339">
        <v>640149.09467999998</v>
      </c>
      <c r="H27" s="339">
        <v>204862.06510000001</v>
      </c>
      <c r="I27" s="339">
        <v>385422.15645999997</v>
      </c>
      <c r="J27" s="339">
        <v>46820.9</v>
      </c>
      <c r="K27" s="339">
        <v>3043.9731200000001</v>
      </c>
      <c r="L27" s="339">
        <v>-6.494006825350624</v>
      </c>
      <c r="M27" s="339">
        <v>-26.830296118014303</v>
      </c>
      <c r="N27" s="339">
        <v>7.0862722770042978</v>
      </c>
      <c r="O27" s="339">
        <v>15.962492476947887</v>
      </c>
      <c r="P27" s="319">
        <v>-29.735116593646566</v>
      </c>
    </row>
    <row r="28" spans="1:16" x14ac:dyDescent="0.3">
      <c r="A28" s="364" t="s">
        <v>175</v>
      </c>
      <c r="B28" s="339">
        <v>235714.93980000002</v>
      </c>
      <c r="C28" s="339">
        <v>60690.057000000001</v>
      </c>
      <c r="D28" s="339">
        <v>138886.28280000002</v>
      </c>
      <c r="E28" s="339">
        <v>33864.699999999997</v>
      </c>
      <c r="F28" s="339">
        <v>2273.9</v>
      </c>
      <c r="G28" s="339">
        <v>220869.30971</v>
      </c>
      <c r="H28" s="339">
        <v>51017.180939999998</v>
      </c>
      <c r="I28" s="339">
        <v>130628.70177</v>
      </c>
      <c r="J28" s="339">
        <v>39038.699999999997</v>
      </c>
      <c r="K28" s="339">
        <v>184.727</v>
      </c>
      <c r="L28" s="339">
        <v>-6.2981286220535111</v>
      </c>
      <c r="M28" s="339">
        <v>-15.938156162878542</v>
      </c>
      <c r="N28" s="339">
        <v>-5.9455699033223937</v>
      </c>
      <c r="O28" s="339">
        <v>15.278446287727334</v>
      </c>
      <c r="P28" s="319">
        <v>-91.876203878798535</v>
      </c>
    </row>
    <row r="29" spans="1:16" x14ac:dyDescent="0.3">
      <c r="A29" s="364" t="s">
        <v>176</v>
      </c>
      <c r="B29" s="339">
        <v>2517055.5244399998</v>
      </c>
      <c r="C29" s="339">
        <v>175014.17109000002</v>
      </c>
      <c r="D29" s="339">
        <v>2332018.4501499999</v>
      </c>
      <c r="E29" s="339">
        <v>0</v>
      </c>
      <c r="F29" s="339">
        <v>10022.903199999999</v>
      </c>
      <c r="G29" s="339">
        <v>2684593.34821</v>
      </c>
      <c r="H29" s="339">
        <v>290770.43387000001</v>
      </c>
      <c r="I29" s="339">
        <v>2205457.7100500003</v>
      </c>
      <c r="J29" s="339">
        <v>70868.5</v>
      </c>
      <c r="K29" s="339">
        <v>117496.70429000001</v>
      </c>
      <c r="L29" s="339">
        <v>6.6561036156432891</v>
      </c>
      <c r="M29" s="339">
        <v>66.141079924592503</v>
      </c>
      <c r="N29" s="339">
        <v>-5.4270899997321607</v>
      </c>
      <c r="O29" s="369" t="s">
        <v>30</v>
      </c>
      <c r="P29" s="319">
        <v>1072.2821416653014</v>
      </c>
    </row>
    <row r="30" spans="1:16" x14ac:dyDescent="0.3">
      <c r="A30" s="364" t="s">
        <v>177</v>
      </c>
      <c r="B30" s="339">
        <v>1871678.9255899999</v>
      </c>
      <c r="C30" s="339">
        <v>375559.21613000002</v>
      </c>
      <c r="D30" s="339">
        <v>1485134.0250200001</v>
      </c>
      <c r="E30" s="339">
        <v>0</v>
      </c>
      <c r="F30" s="339">
        <v>10985.684439999999</v>
      </c>
      <c r="G30" s="339">
        <v>2102821.6592199998</v>
      </c>
      <c r="H30" s="339">
        <v>561647.50828999991</v>
      </c>
      <c r="I30" s="339">
        <v>1536937.6444100002</v>
      </c>
      <c r="J30" s="339">
        <v>0</v>
      </c>
      <c r="K30" s="339">
        <v>4236.5065199999999</v>
      </c>
      <c r="L30" s="339">
        <v>12.349486360602043</v>
      </c>
      <c r="M30" s="339">
        <v>49.549654000658421</v>
      </c>
      <c r="N30" s="339">
        <v>3.4881444042939194</v>
      </c>
      <c r="O30" s="369" t="s">
        <v>30</v>
      </c>
      <c r="P30" s="319">
        <v>-61.436116765065208</v>
      </c>
    </row>
    <row r="31" spans="1:16" x14ac:dyDescent="0.3">
      <c r="A31" s="364" t="s">
        <v>178</v>
      </c>
      <c r="B31" s="339">
        <v>715314.79054999992</v>
      </c>
      <c r="C31" s="339">
        <v>135597.02250999998</v>
      </c>
      <c r="D31" s="339">
        <v>538771.03503999999</v>
      </c>
      <c r="E31" s="339">
        <v>38500.6</v>
      </c>
      <c r="F31" s="339">
        <v>2446.1329999999998</v>
      </c>
      <c r="G31" s="339">
        <v>733559.93724</v>
      </c>
      <c r="H31" s="339">
        <v>106843.686</v>
      </c>
      <c r="I31" s="339">
        <v>575082.84660000005</v>
      </c>
      <c r="J31" s="339">
        <v>42973.9</v>
      </c>
      <c r="K31" s="339">
        <v>8659.504640000001</v>
      </c>
      <c r="L31" s="339">
        <v>2.5506458039224356</v>
      </c>
      <c r="M31" s="339">
        <v>-21.204991066731935</v>
      </c>
      <c r="N31" s="339">
        <v>6.7397482786549858</v>
      </c>
      <c r="O31" s="339">
        <v>11.618779967065464</v>
      </c>
      <c r="P31" s="319">
        <v>254.00792352664399</v>
      </c>
    </row>
    <row r="32" spans="1:16" x14ac:dyDescent="0.3">
      <c r="A32" s="364" t="s">
        <v>179</v>
      </c>
      <c r="B32" s="339">
        <v>459565.59998</v>
      </c>
      <c r="C32" s="339">
        <v>147932.53341999999</v>
      </c>
      <c r="D32" s="339">
        <v>256443.62456</v>
      </c>
      <c r="E32" s="339">
        <v>53642.8</v>
      </c>
      <c r="F32" s="339">
        <v>1546.6420000000001</v>
      </c>
      <c r="G32" s="339">
        <v>416472.11445999995</v>
      </c>
      <c r="H32" s="339">
        <v>99257.434819999995</v>
      </c>
      <c r="I32" s="339">
        <v>262987.63964000001</v>
      </c>
      <c r="J32" s="339">
        <v>53015.6</v>
      </c>
      <c r="K32" s="339">
        <v>1211.44</v>
      </c>
      <c r="L32" s="339">
        <v>-9.3770041800072619</v>
      </c>
      <c r="M32" s="339">
        <v>-32.903579405217755</v>
      </c>
      <c r="N32" s="339">
        <v>2.5518337963082871</v>
      </c>
      <c r="O32" s="339">
        <v>-1.1692156263282385</v>
      </c>
      <c r="P32" s="319">
        <v>-21.672888748656774</v>
      </c>
    </row>
    <row r="33" spans="1:16" x14ac:dyDescent="0.3">
      <c r="A33" s="364" t="s">
        <v>180</v>
      </c>
      <c r="B33" s="339">
        <v>313779.84905999998</v>
      </c>
      <c r="C33" s="339">
        <v>21058.581999999999</v>
      </c>
      <c r="D33" s="339">
        <v>283341.36706000002</v>
      </c>
      <c r="E33" s="339">
        <v>8357.7999999999993</v>
      </c>
      <c r="F33" s="339">
        <v>1022.1</v>
      </c>
      <c r="G33" s="339">
        <v>334985.28570000001</v>
      </c>
      <c r="H33" s="339">
        <v>32134.16286</v>
      </c>
      <c r="I33" s="339">
        <v>289851.22383999999</v>
      </c>
      <c r="J33" s="339">
        <v>8795.7999999999993</v>
      </c>
      <c r="K33" s="339">
        <v>4204.0990000000002</v>
      </c>
      <c r="L33" s="339">
        <v>6.7580619671804385</v>
      </c>
      <c r="M33" s="339">
        <v>52.594143613278447</v>
      </c>
      <c r="N33" s="339">
        <v>2.2975313656270373</v>
      </c>
      <c r="O33" s="339">
        <v>5.2406135585919742</v>
      </c>
      <c r="P33" s="319">
        <v>311.31973388122492</v>
      </c>
    </row>
    <row r="34" spans="1:16" x14ac:dyDescent="0.3">
      <c r="A34" s="364" t="s">
        <v>181</v>
      </c>
      <c r="B34" s="339">
        <v>338300.72606999998</v>
      </c>
      <c r="C34" s="339">
        <v>13521.779570000001</v>
      </c>
      <c r="D34" s="339">
        <v>201794.3665</v>
      </c>
      <c r="E34" s="339">
        <v>122956</v>
      </c>
      <c r="F34" s="339">
        <v>28.58</v>
      </c>
      <c r="G34" s="339">
        <v>334715.30554000003</v>
      </c>
      <c r="H34" s="339">
        <v>12568.712509999999</v>
      </c>
      <c r="I34" s="339">
        <v>209488.89303000001</v>
      </c>
      <c r="J34" s="339">
        <v>112657.7</v>
      </c>
      <c r="K34" s="339">
        <v>0</v>
      </c>
      <c r="L34" s="339">
        <v>-1.0598323484703513</v>
      </c>
      <c r="M34" s="339">
        <v>-7.0483848303112211</v>
      </c>
      <c r="N34" s="339">
        <v>3.8130531904615879</v>
      </c>
      <c r="O34" s="339">
        <v>-8.3755977748137553</v>
      </c>
      <c r="P34" s="319">
        <v>-100</v>
      </c>
    </row>
    <row r="35" spans="1:16" x14ac:dyDescent="0.3">
      <c r="A35" s="364" t="s">
        <v>182</v>
      </c>
      <c r="B35" s="339">
        <v>4181.9638500000001</v>
      </c>
      <c r="C35" s="339">
        <v>500</v>
      </c>
      <c r="D35" s="339">
        <v>3126.2638500000003</v>
      </c>
      <c r="E35" s="339">
        <v>555.70000000000005</v>
      </c>
      <c r="F35" s="339">
        <v>0</v>
      </c>
      <c r="G35" s="339">
        <v>4508.53773</v>
      </c>
      <c r="H35" s="339">
        <v>7</v>
      </c>
      <c r="I35" s="339">
        <v>3937.8377300000002</v>
      </c>
      <c r="J35" s="339">
        <v>563.70000000000005</v>
      </c>
      <c r="K35" s="339">
        <v>0</v>
      </c>
      <c r="L35" s="339">
        <v>7.809103371374178</v>
      </c>
      <c r="M35" s="339">
        <v>-98.6</v>
      </c>
      <c r="N35" s="339">
        <v>25.959865159813688</v>
      </c>
      <c r="O35" s="339">
        <v>1.4396256973187036</v>
      </c>
      <c r="P35" s="370" t="s">
        <v>30</v>
      </c>
    </row>
    <row r="36" spans="1:16" s="366" customFormat="1" ht="13.8" thickBot="1" x14ac:dyDescent="0.35">
      <c r="A36" s="365" t="s">
        <v>183</v>
      </c>
      <c r="B36" s="219">
        <v>14935550.956589999</v>
      </c>
      <c r="C36" s="219">
        <v>4486276.8304400006</v>
      </c>
      <c r="D36" s="219">
        <v>9501344.2637799997</v>
      </c>
      <c r="E36" s="219">
        <v>851341</v>
      </c>
      <c r="F36" s="219">
        <v>96588.862370000017</v>
      </c>
      <c r="G36" s="219">
        <v>14621261.817790003</v>
      </c>
      <c r="H36" s="219">
        <v>3833614.3275100002</v>
      </c>
      <c r="I36" s="219">
        <v>9537093.0340600014</v>
      </c>
      <c r="J36" s="219">
        <v>1059110.7</v>
      </c>
      <c r="K36" s="219">
        <v>191443.75621999998</v>
      </c>
      <c r="L36" s="219">
        <v>-2.1043022765847326</v>
      </c>
      <c r="M36" s="219">
        <v>-14.547976587213626</v>
      </c>
      <c r="N36" s="219">
        <v>0.37624960518776618</v>
      </c>
      <c r="O36" s="219">
        <v>24.404991654342965</v>
      </c>
      <c r="P36" s="220">
        <v>98.20479455140719</v>
      </c>
    </row>
    <row r="37" spans="1:16" ht="13.8" thickTop="1" x14ac:dyDescent="0.3"/>
  </sheetData>
  <mergeCells count="24">
    <mergeCell ref="F7:F8"/>
    <mergeCell ref="H7:H8"/>
    <mergeCell ref="M7:M8"/>
    <mergeCell ref="N7:N8"/>
    <mergeCell ref="O7:O8"/>
    <mergeCell ref="I7:I8"/>
    <mergeCell ref="J7:J8"/>
    <mergeCell ref="K7:K8"/>
    <mergeCell ref="N1:P1"/>
    <mergeCell ref="A3:P3"/>
    <mergeCell ref="A5:A8"/>
    <mergeCell ref="B5:F5"/>
    <mergeCell ref="G5:K5"/>
    <mergeCell ref="L5:P5"/>
    <mergeCell ref="B6:B8"/>
    <mergeCell ref="C6:F6"/>
    <mergeCell ref="G6:G8"/>
    <mergeCell ref="H6:K6"/>
    <mergeCell ref="C7:C8"/>
    <mergeCell ref="D7:D8"/>
    <mergeCell ref="E7:E8"/>
    <mergeCell ref="P7:P8"/>
    <mergeCell ref="L6:L8"/>
    <mergeCell ref="M6:P6"/>
  </mergeCells>
  <pageMargins left="0.39370078740157483" right="0.39370078740157483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3" sqref="A3:G11"/>
    </sheetView>
  </sheetViews>
  <sheetFormatPr defaultColWidth="9.109375" defaultRowHeight="13.8" x14ac:dyDescent="0.25"/>
  <cols>
    <col min="1" max="1" width="25.109375" style="234" customWidth="1"/>
    <col min="2" max="2" width="11.6640625" style="234" customWidth="1"/>
    <col min="3" max="3" width="7" style="234" customWidth="1"/>
    <col min="4" max="4" width="11.44140625" style="234" customWidth="1"/>
    <col min="5" max="5" width="7.33203125" style="234" customWidth="1"/>
    <col min="6" max="6" width="9.88671875" style="234" bestFit="1" customWidth="1"/>
    <col min="7" max="16384" width="9.109375" style="234"/>
  </cols>
  <sheetData>
    <row r="1" spans="1:7" ht="34.5" customHeight="1" x14ac:dyDescent="0.25">
      <c r="A1" s="417" t="s">
        <v>258</v>
      </c>
      <c r="B1" s="417"/>
      <c r="C1" s="417"/>
      <c r="D1" s="417"/>
      <c r="E1" s="417"/>
      <c r="F1" s="417"/>
      <c r="G1" s="417"/>
    </row>
    <row r="2" spans="1:7" ht="14.4" thickBot="1" x14ac:dyDescent="0.3"/>
    <row r="3" spans="1:7" ht="62.25" customHeight="1" thickTop="1" x14ac:dyDescent="0.25">
      <c r="A3" s="418" t="s">
        <v>248</v>
      </c>
      <c r="B3" s="415" t="s">
        <v>265</v>
      </c>
      <c r="C3" s="415" t="s">
        <v>249</v>
      </c>
      <c r="D3" s="415" t="s">
        <v>266</v>
      </c>
      <c r="E3" s="415" t="s">
        <v>249</v>
      </c>
      <c r="F3" s="415" t="s">
        <v>250</v>
      </c>
      <c r="G3" s="416"/>
    </row>
    <row r="4" spans="1:7" ht="31.2" x14ac:dyDescent="0.25">
      <c r="A4" s="419"/>
      <c r="B4" s="420"/>
      <c r="C4" s="420"/>
      <c r="D4" s="420"/>
      <c r="E4" s="420"/>
      <c r="F4" s="239" t="s">
        <v>251</v>
      </c>
      <c r="G4" s="240" t="s">
        <v>252</v>
      </c>
    </row>
    <row r="5" spans="1:7" s="281" customFormat="1" ht="10.199999999999999" x14ac:dyDescent="0.2">
      <c r="A5" s="278">
        <v>1</v>
      </c>
      <c r="B5" s="279">
        <v>2</v>
      </c>
      <c r="C5" s="279">
        <v>3</v>
      </c>
      <c r="D5" s="279">
        <v>4</v>
      </c>
      <c r="E5" s="279">
        <v>5</v>
      </c>
      <c r="F5" s="279" t="s">
        <v>277</v>
      </c>
      <c r="G5" s="280" t="s">
        <v>278</v>
      </c>
    </row>
    <row r="6" spans="1:7" ht="15.6" x14ac:dyDescent="0.25">
      <c r="A6" s="241" t="s">
        <v>253</v>
      </c>
      <c r="B6" s="242">
        <f>6783671.2/1000</f>
        <v>6783.6711999999998</v>
      </c>
      <c r="C6" s="242">
        <f>B6/$B$11%</f>
        <v>49.903214504923049</v>
      </c>
      <c r="D6" s="242">
        <f>6056586700/1000000</f>
        <v>6056.5866999999998</v>
      </c>
      <c r="E6" s="242">
        <f>D6/$D$11%</f>
        <v>53.937290806463793</v>
      </c>
      <c r="F6" s="242">
        <f>D6-B6</f>
        <v>-727.08449999999993</v>
      </c>
      <c r="G6" s="243">
        <f>E6-C6</f>
        <v>4.0340763015407433</v>
      </c>
    </row>
    <row r="7" spans="1:7" ht="15.6" x14ac:dyDescent="0.25">
      <c r="A7" s="241" t="s">
        <v>254</v>
      </c>
      <c r="B7" s="242">
        <f>1326382.88318/1000</f>
        <v>1326.3828831799999</v>
      </c>
      <c r="C7" s="242">
        <f t="shared" ref="C7:C11" si="0">B7/$B$11%</f>
        <v>9.7573670043132132</v>
      </c>
      <c r="D7" s="242">
        <f>977478819.98/1000000</f>
        <v>977.47881998000003</v>
      </c>
      <c r="E7" s="242">
        <f t="shared" ref="E7:E11" si="1">D7/$D$11%</f>
        <v>8.704995401191951</v>
      </c>
      <c r="F7" s="242">
        <f t="shared" ref="F7:F11" si="2">D7-B7</f>
        <v>-348.90406319999988</v>
      </c>
      <c r="G7" s="243">
        <f t="shared" ref="G7:G11" si="3">E7-C7</f>
        <v>-1.0523716031212622</v>
      </c>
    </row>
    <row r="8" spans="1:7" ht="15.6" x14ac:dyDescent="0.25">
      <c r="A8" s="241" t="s">
        <v>255</v>
      </c>
      <c r="B8" s="242">
        <f>2471304.20768/1000</f>
        <v>2471.3042076800002</v>
      </c>
      <c r="C8" s="242">
        <f t="shared" si="0"/>
        <v>18.179835128620908</v>
      </c>
      <c r="D8" s="242">
        <f>2299501781.19/1000000</f>
        <v>2299.5017811900002</v>
      </c>
      <c r="E8" s="242">
        <f t="shared" si="1"/>
        <v>20.478349014970181</v>
      </c>
      <c r="F8" s="242">
        <f t="shared" si="2"/>
        <v>-171.80242649000002</v>
      </c>
      <c r="G8" s="243">
        <f t="shared" si="3"/>
        <v>2.2985138863492729</v>
      </c>
    </row>
    <row r="9" spans="1:7" ht="31.2" x14ac:dyDescent="0.25">
      <c r="A9" s="241" t="s">
        <v>256</v>
      </c>
      <c r="B9" s="242">
        <f>3011893.55622/1000</f>
        <v>3011.8935562199999</v>
      </c>
      <c r="C9" s="242">
        <f t="shared" si="0"/>
        <v>22.156611924534634</v>
      </c>
      <c r="D9" s="242">
        <f>1895373955.32/1000000</f>
        <v>1895.3739553199998</v>
      </c>
      <c r="E9" s="242">
        <f t="shared" si="1"/>
        <v>16.879364777374086</v>
      </c>
      <c r="F9" s="242">
        <f t="shared" si="2"/>
        <v>-1116.5196009000001</v>
      </c>
      <c r="G9" s="243">
        <f t="shared" si="3"/>
        <v>-5.2772471471605478</v>
      </c>
    </row>
    <row r="10" spans="1:7" ht="31.2" x14ac:dyDescent="0.25">
      <c r="A10" s="276" t="s">
        <v>276</v>
      </c>
      <c r="B10" s="277">
        <f>403.927/1000</f>
        <v>0.40392700000000004</v>
      </c>
      <c r="C10" s="242">
        <f t="shared" si="0"/>
        <v>2.9714376081980587E-3</v>
      </c>
      <c r="D10" s="277"/>
      <c r="E10" s="242">
        <f t="shared" si="1"/>
        <v>0</v>
      </c>
      <c r="F10" s="242">
        <f t="shared" si="2"/>
        <v>-0.40392700000000004</v>
      </c>
      <c r="G10" s="243">
        <f t="shared" si="3"/>
        <v>-2.9714376081980587E-3</v>
      </c>
    </row>
    <row r="11" spans="1:7" s="235" customFormat="1" ht="15" customHeight="1" thickBot="1" x14ac:dyDescent="0.3">
      <c r="A11" s="244" t="s">
        <v>257</v>
      </c>
      <c r="B11" s="245">
        <f>SUM(B6:B10)</f>
        <v>13593.65577408</v>
      </c>
      <c r="C11" s="245">
        <f t="shared" si="0"/>
        <v>100</v>
      </c>
      <c r="D11" s="245">
        <f>SUM(D6:D10)</f>
        <v>11228.941256489999</v>
      </c>
      <c r="E11" s="245">
        <f t="shared" si="1"/>
        <v>100</v>
      </c>
      <c r="F11" s="283">
        <f t="shared" si="2"/>
        <v>-2364.7145175900005</v>
      </c>
      <c r="G11" s="282">
        <f t="shared" si="3"/>
        <v>0</v>
      </c>
    </row>
    <row r="12" spans="1:7" ht="14.4" thickTop="1" x14ac:dyDescent="0.25"/>
  </sheetData>
  <mergeCells count="7">
    <mergeCell ref="F3:G3"/>
    <mergeCell ref="A1:G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5"/>
  <sheetViews>
    <sheetView workbookViewId="0">
      <pane xSplit="5" ySplit="6" topLeftCell="CE7" activePane="bottomRight" state="frozen"/>
      <selection pane="topRight" activeCell="F1" sqref="F1"/>
      <selection pane="bottomLeft" activeCell="A7" sqref="A7"/>
      <selection pane="bottomRight" activeCell="DF11" sqref="DF11"/>
    </sheetView>
  </sheetViews>
  <sheetFormatPr defaultColWidth="9.109375" defaultRowHeight="13.2" x14ac:dyDescent="0.3"/>
  <cols>
    <col min="1" max="1" width="21" style="193" bestFit="1" customWidth="1"/>
    <col min="2" max="5" width="9.109375" style="194" hidden="1" customWidth="1"/>
    <col min="6" max="6" width="12.33203125" style="199" bestFit="1" customWidth="1"/>
    <col min="7" max="10" width="9.109375" style="194" hidden="1" customWidth="1"/>
    <col min="11" max="11" width="14.5546875" style="199" customWidth="1"/>
    <col min="12" max="14" width="9.109375" style="194" hidden="1" customWidth="1"/>
    <col min="15" max="15" width="11.33203125" style="199" bestFit="1" customWidth="1"/>
    <col min="16" max="18" width="9.109375" style="194" hidden="1" customWidth="1"/>
    <col min="19" max="19" width="9.6640625" style="199" bestFit="1" customWidth="1"/>
    <col min="20" max="23" width="9.109375" style="194" hidden="1" customWidth="1"/>
    <col min="24" max="24" width="12.33203125" style="199" bestFit="1" customWidth="1"/>
    <col min="25" max="28" width="9.109375" style="194" hidden="1" customWidth="1"/>
    <col min="29" max="31" width="12.33203125" style="199" bestFit="1" customWidth="1"/>
    <col min="32" max="32" width="5.109375" style="199" bestFit="1" customWidth="1"/>
    <col min="33" max="33" width="12.33203125" style="199" bestFit="1" customWidth="1"/>
    <col min="34" max="34" width="12.33203125" style="199" customWidth="1"/>
    <col min="35" max="35" width="11.33203125" style="199" bestFit="1" customWidth="1"/>
    <col min="36" max="36" width="9.109375" style="199" customWidth="1"/>
    <col min="37" max="38" width="12.33203125" style="199" bestFit="1" customWidth="1"/>
    <col min="39" max="39" width="5.109375" style="199" bestFit="1" customWidth="1"/>
    <col min="40" max="43" width="9.109375" style="194" hidden="1" customWidth="1"/>
    <col min="44" max="44" width="9.109375" style="199" customWidth="1"/>
    <col min="45" max="45" width="12.33203125" style="199" bestFit="1" customWidth="1"/>
    <col min="46" max="49" width="9.109375" style="194" hidden="1" customWidth="1"/>
    <col min="50" max="50" width="9.109375" style="199" customWidth="1"/>
    <col min="51" max="53" width="12.33203125" style="199" bestFit="1" customWidth="1"/>
    <col min="54" max="54" width="5.109375" style="199" bestFit="1" customWidth="1"/>
    <col min="55" max="58" width="9.109375" style="194" hidden="1" customWidth="1"/>
    <col min="59" max="59" width="12.33203125" style="199" bestFit="1" customWidth="1"/>
    <col min="60" max="63" width="9.109375" style="194" hidden="1" customWidth="1"/>
    <col min="64" max="64" width="11.33203125" style="199" bestFit="1" customWidth="1"/>
    <col min="65" max="67" width="11.33203125" style="194" hidden="1" customWidth="1"/>
    <col min="68" max="68" width="11.33203125" style="199" hidden="1" customWidth="1"/>
    <col min="69" max="71" width="11.33203125" style="194" hidden="1" customWidth="1"/>
    <col min="72" max="72" width="11.33203125" style="199" hidden="1" customWidth="1"/>
    <col min="73" max="73" width="6.109375" style="199" hidden="1" customWidth="1"/>
    <col min="74" max="74" width="12.33203125" style="199" bestFit="1" customWidth="1"/>
    <col min="75" max="75" width="11.33203125" style="199" bestFit="1" customWidth="1"/>
    <col min="76" max="76" width="11.33203125" style="194" hidden="1" customWidth="1"/>
    <col min="77" max="77" width="11.33203125" style="199" customWidth="1"/>
    <col min="78" max="78" width="11.33203125" style="194" hidden="1" customWidth="1"/>
    <col min="79" max="83" width="11.33203125" style="199" customWidth="1"/>
    <col min="84" max="84" width="15.109375" style="199" customWidth="1"/>
    <col min="85" max="85" width="12.33203125" style="199" bestFit="1" customWidth="1"/>
    <col min="86" max="86" width="11.33203125" style="199" bestFit="1" customWidth="1"/>
    <col min="87" max="90" width="9.109375" style="194" hidden="1" customWidth="1"/>
    <col min="91" max="91" width="12.33203125" style="199" bestFit="1" customWidth="1"/>
    <col min="92" max="95" width="9.109375" style="194" hidden="1" customWidth="1"/>
    <col min="96" max="98" width="12.33203125" style="199" bestFit="1" customWidth="1"/>
    <col min="99" max="99" width="9.109375" style="199"/>
    <col min="100" max="100" width="9.109375" style="194" hidden="1" customWidth="1"/>
    <col min="101" max="101" width="11.33203125" style="199" bestFit="1" customWidth="1"/>
    <col min="102" max="102" width="9.109375" style="194" hidden="1" customWidth="1"/>
    <col min="103" max="103" width="11.33203125" style="199" bestFit="1" customWidth="1"/>
    <col min="104" max="104" width="9.109375" style="194" hidden="1" customWidth="1"/>
    <col min="105" max="105" width="0" style="199" hidden="1" customWidth="1"/>
    <col min="106" max="106" width="9.109375" style="194" hidden="1" customWidth="1"/>
    <col min="107" max="107" width="0" style="199" hidden="1" customWidth="1"/>
    <col min="108" max="108" width="6.109375" style="199" hidden="1" customWidth="1"/>
    <col min="109" max="16384" width="9.109375" style="199"/>
  </cols>
  <sheetData>
    <row r="1" spans="1:108" s="188" customFormat="1" x14ac:dyDescent="0.3">
      <c r="B1" s="189"/>
      <c r="C1" s="189"/>
      <c r="D1" s="189"/>
      <c r="E1" s="189"/>
      <c r="G1" s="189"/>
      <c r="H1" s="189"/>
      <c r="I1" s="189"/>
      <c r="J1" s="189"/>
      <c r="L1" s="189"/>
      <c r="M1" s="189"/>
      <c r="N1" s="189"/>
      <c r="P1" s="189"/>
      <c r="Q1" s="189"/>
      <c r="R1" s="189"/>
      <c r="T1" s="189"/>
      <c r="U1" s="189"/>
      <c r="V1" s="189"/>
      <c r="W1" s="189"/>
      <c r="Y1" s="189"/>
      <c r="Z1" s="189"/>
      <c r="AA1" s="189"/>
      <c r="AB1" s="189"/>
      <c r="AN1" s="189"/>
      <c r="AO1" s="189"/>
      <c r="AP1" s="189"/>
      <c r="AQ1" s="189"/>
      <c r="AT1" s="189"/>
      <c r="AU1" s="189"/>
      <c r="AV1" s="189"/>
      <c r="AW1" s="189"/>
      <c r="BC1" s="189"/>
      <c r="BD1" s="189"/>
      <c r="BE1" s="189"/>
      <c r="BF1" s="189"/>
      <c r="BH1" s="189"/>
      <c r="BI1" s="189"/>
      <c r="BJ1" s="189"/>
      <c r="BK1" s="189"/>
      <c r="BM1" s="189"/>
      <c r="BN1" s="189"/>
      <c r="BO1" s="189"/>
      <c r="BQ1" s="189"/>
      <c r="BR1" s="189"/>
      <c r="BS1" s="189"/>
      <c r="BX1" s="189"/>
      <c r="BZ1" s="189"/>
      <c r="CI1" s="189"/>
      <c r="CJ1" s="189"/>
      <c r="CK1" s="189"/>
      <c r="CL1" s="189"/>
      <c r="CN1" s="189"/>
      <c r="CO1" s="189"/>
      <c r="CP1" s="189"/>
      <c r="CQ1" s="189"/>
      <c r="CV1" s="189"/>
      <c r="CX1" s="189"/>
      <c r="CZ1" s="189"/>
      <c r="DB1" s="189"/>
    </row>
    <row r="2" spans="1:108" s="188" customFormat="1" x14ac:dyDescent="0.3">
      <c r="B2" s="189"/>
      <c r="C2" s="189"/>
      <c r="D2" s="189"/>
      <c r="E2" s="189"/>
      <c r="G2" s="189"/>
      <c r="H2" s="189"/>
      <c r="I2" s="189"/>
      <c r="J2" s="189"/>
      <c r="L2" s="189"/>
      <c r="M2" s="189"/>
      <c r="N2" s="189"/>
      <c r="P2" s="189"/>
      <c r="Q2" s="189"/>
      <c r="R2" s="189"/>
      <c r="T2" s="189"/>
      <c r="U2" s="189"/>
      <c r="V2" s="189"/>
      <c r="W2" s="189"/>
      <c r="Y2" s="189"/>
      <c r="Z2" s="189"/>
      <c r="AA2" s="189"/>
      <c r="AB2" s="189"/>
      <c r="AN2" s="189"/>
      <c r="AO2" s="189"/>
      <c r="AP2" s="189"/>
      <c r="AQ2" s="189"/>
      <c r="AT2" s="189"/>
      <c r="AU2" s="189"/>
      <c r="AV2" s="189"/>
      <c r="AW2" s="189"/>
      <c r="BC2" s="189"/>
      <c r="BD2" s="189"/>
      <c r="BE2" s="189"/>
      <c r="BF2" s="189"/>
      <c r="BH2" s="189"/>
      <c r="BI2" s="189"/>
      <c r="BJ2" s="189"/>
      <c r="BK2" s="189"/>
      <c r="BM2" s="189"/>
      <c r="BN2" s="189"/>
      <c r="BO2" s="189"/>
      <c r="BQ2" s="189"/>
      <c r="BR2" s="189"/>
      <c r="BS2" s="189"/>
      <c r="BX2" s="189"/>
      <c r="BZ2" s="189"/>
      <c r="CI2" s="189"/>
      <c r="CJ2" s="189"/>
      <c r="CK2" s="189"/>
      <c r="CL2" s="189"/>
      <c r="CN2" s="189"/>
      <c r="CO2" s="189"/>
      <c r="CP2" s="189"/>
      <c r="CQ2" s="189"/>
      <c r="CV2" s="189"/>
      <c r="CX2" s="189"/>
      <c r="CZ2" s="189"/>
      <c r="DB2" s="189"/>
    </row>
    <row r="3" spans="1:108" s="188" customFormat="1" x14ac:dyDescent="0.3">
      <c r="B3" s="189"/>
      <c r="C3" s="189"/>
      <c r="D3" s="189"/>
      <c r="E3" s="189"/>
      <c r="G3" s="189"/>
      <c r="H3" s="189"/>
      <c r="I3" s="189"/>
      <c r="J3" s="189"/>
      <c r="L3" s="189"/>
      <c r="M3" s="189"/>
      <c r="N3" s="189"/>
      <c r="P3" s="189"/>
      <c r="Q3" s="189"/>
      <c r="R3" s="189"/>
      <c r="T3" s="189"/>
      <c r="U3" s="189"/>
      <c r="V3" s="189"/>
      <c r="W3" s="189"/>
      <c r="Y3" s="189"/>
      <c r="Z3" s="189"/>
      <c r="AA3" s="189"/>
      <c r="AB3" s="189"/>
      <c r="AN3" s="189"/>
      <c r="AO3" s="189"/>
      <c r="AP3" s="189"/>
      <c r="AQ3" s="189"/>
      <c r="AT3" s="189"/>
      <c r="AU3" s="189"/>
      <c r="AV3" s="189"/>
      <c r="AW3" s="189"/>
      <c r="BC3" s="189"/>
      <c r="BD3" s="189"/>
      <c r="BE3" s="189"/>
      <c r="BF3" s="189"/>
      <c r="BH3" s="189"/>
      <c r="BI3" s="189"/>
      <c r="BJ3" s="189"/>
      <c r="BK3" s="189"/>
      <c r="BM3" s="189"/>
      <c r="BN3" s="189"/>
      <c r="BO3" s="189"/>
      <c r="BQ3" s="189"/>
      <c r="BR3" s="189"/>
      <c r="BS3" s="189"/>
      <c r="BX3" s="189"/>
      <c r="BZ3" s="189"/>
      <c r="CI3" s="189"/>
      <c r="CJ3" s="189"/>
      <c r="CK3" s="189"/>
      <c r="CL3" s="189"/>
      <c r="CN3" s="189"/>
      <c r="CO3" s="189"/>
      <c r="CP3" s="189"/>
      <c r="CQ3" s="189"/>
      <c r="CV3" s="189"/>
      <c r="CX3" s="189"/>
      <c r="CZ3" s="189"/>
      <c r="DB3" s="189"/>
    </row>
    <row r="4" spans="1:108" s="190" customFormat="1" ht="64.5" customHeight="1" x14ac:dyDescent="0.3">
      <c r="A4" s="422" t="s">
        <v>127</v>
      </c>
      <c r="B4" s="422" t="s">
        <v>128</v>
      </c>
      <c r="C4" s="422"/>
      <c r="D4" s="422"/>
      <c r="E4" s="422"/>
      <c r="F4" s="422"/>
      <c r="G4" s="422"/>
      <c r="H4" s="422"/>
      <c r="I4" s="422"/>
      <c r="J4" s="422"/>
      <c r="K4" s="422"/>
      <c r="L4" s="422" t="s">
        <v>221</v>
      </c>
      <c r="M4" s="422"/>
      <c r="N4" s="422"/>
      <c r="O4" s="422"/>
      <c r="P4" s="422"/>
      <c r="Q4" s="422"/>
      <c r="R4" s="422"/>
      <c r="S4" s="422"/>
      <c r="T4" s="422" t="s">
        <v>129</v>
      </c>
      <c r="U4" s="422"/>
      <c r="V4" s="422"/>
      <c r="W4" s="422"/>
      <c r="X4" s="422"/>
      <c r="Y4" s="422"/>
      <c r="Z4" s="422"/>
      <c r="AA4" s="422"/>
      <c r="AB4" s="422"/>
      <c r="AC4" s="422"/>
      <c r="AD4" s="422" t="s">
        <v>130</v>
      </c>
      <c r="AE4" s="422"/>
      <c r="AF4" s="422"/>
      <c r="AG4" s="421" t="s">
        <v>131</v>
      </c>
      <c r="AH4" s="421"/>
      <c r="AI4" s="421"/>
      <c r="AJ4" s="421"/>
      <c r="AK4" s="422" t="s">
        <v>132</v>
      </c>
      <c r="AL4" s="422"/>
      <c r="AM4" s="422"/>
      <c r="AN4" s="422" t="s">
        <v>133</v>
      </c>
      <c r="AO4" s="422"/>
      <c r="AP4" s="422"/>
      <c r="AQ4" s="422"/>
      <c r="AR4" s="422"/>
      <c r="AS4" s="422"/>
      <c r="AT4" s="422"/>
      <c r="AU4" s="422"/>
      <c r="AV4" s="422"/>
      <c r="AW4" s="422"/>
      <c r="AX4" s="422"/>
      <c r="AY4" s="422"/>
      <c r="AZ4" s="422" t="s">
        <v>134</v>
      </c>
      <c r="BA4" s="422"/>
      <c r="BB4" s="422"/>
      <c r="BC4" s="422" t="s">
        <v>135</v>
      </c>
      <c r="BD4" s="422"/>
      <c r="BE4" s="422"/>
      <c r="BF4" s="422"/>
      <c r="BG4" s="422"/>
      <c r="BH4" s="422"/>
      <c r="BI4" s="422"/>
      <c r="BJ4" s="422"/>
      <c r="BK4" s="422"/>
      <c r="BL4" s="422"/>
      <c r="BM4" s="422" t="s">
        <v>136</v>
      </c>
      <c r="BN4" s="422"/>
      <c r="BO4" s="422"/>
      <c r="BP4" s="422"/>
      <c r="BQ4" s="422"/>
      <c r="BR4" s="422"/>
      <c r="BS4" s="422"/>
      <c r="BT4" s="422"/>
      <c r="BU4" s="422"/>
      <c r="BV4" s="422" t="s">
        <v>218</v>
      </c>
      <c r="BW4" s="190" t="s">
        <v>137</v>
      </c>
      <c r="BX4" s="422" t="s">
        <v>270</v>
      </c>
      <c r="BY4" s="422"/>
      <c r="BZ4" s="422" t="s">
        <v>137</v>
      </c>
      <c r="CA4" s="422"/>
      <c r="CB4" s="422" t="s">
        <v>273</v>
      </c>
      <c r="CC4" s="190" t="s">
        <v>137</v>
      </c>
      <c r="CD4" s="422" t="s">
        <v>138</v>
      </c>
      <c r="CE4" s="422"/>
      <c r="CF4" s="422" t="s">
        <v>139</v>
      </c>
      <c r="CG4" s="422" t="s">
        <v>264</v>
      </c>
      <c r="CH4" s="422" t="s">
        <v>140</v>
      </c>
      <c r="CI4" s="422" t="s">
        <v>141</v>
      </c>
      <c r="CJ4" s="422"/>
      <c r="CK4" s="422"/>
      <c r="CL4" s="422"/>
      <c r="CM4" s="422"/>
      <c r="CN4" s="422"/>
      <c r="CO4" s="422"/>
      <c r="CP4" s="422"/>
      <c r="CQ4" s="422"/>
      <c r="CR4" s="422"/>
      <c r="CS4" s="422" t="s">
        <v>142</v>
      </c>
      <c r="CT4" s="422"/>
      <c r="CU4" s="422"/>
      <c r="CV4" s="422" t="s">
        <v>143</v>
      </c>
      <c r="CW4" s="422"/>
      <c r="CX4" s="422"/>
      <c r="CY4" s="422"/>
      <c r="CZ4" s="422" t="s">
        <v>144</v>
      </c>
      <c r="DA4" s="422"/>
      <c r="DB4" s="422"/>
      <c r="DC4" s="422"/>
      <c r="DD4" s="422"/>
    </row>
    <row r="5" spans="1:108" s="190" customFormat="1" ht="12.75" customHeight="1" x14ac:dyDescent="0.3">
      <c r="A5" s="422"/>
      <c r="B5" s="422" t="s">
        <v>145</v>
      </c>
      <c r="C5" s="422"/>
      <c r="D5" s="422"/>
      <c r="E5" s="422"/>
      <c r="F5" s="422"/>
      <c r="G5" s="422" t="s">
        <v>146</v>
      </c>
      <c r="H5" s="422"/>
      <c r="I5" s="422"/>
      <c r="J5" s="422"/>
      <c r="K5" s="422"/>
      <c r="L5" s="422" t="s">
        <v>145</v>
      </c>
      <c r="M5" s="422"/>
      <c r="N5" s="422"/>
      <c r="O5" s="422"/>
      <c r="P5" s="422" t="s">
        <v>146</v>
      </c>
      <c r="Q5" s="422"/>
      <c r="R5" s="422"/>
      <c r="S5" s="422"/>
      <c r="T5" s="422" t="s">
        <v>145</v>
      </c>
      <c r="U5" s="422"/>
      <c r="V5" s="422"/>
      <c r="W5" s="422"/>
      <c r="X5" s="422"/>
      <c r="Y5" s="422" t="s">
        <v>146</v>
      </c>
      <c r="Z5" s="422"/>
      <c r="AA5" s="422"/>
      <c r="AB5" s="422"/>
      <c r="AC5" s="422"/>
      <c r="AD5" s="422" t="s">
        <v>145</v>
      </c>
      <c r="AE5" s="422" t="s">
        <v>146</v>
      </c>
      <c r="AF5" s="422" t="s">
        <v>147</v>
      </c>
      <c r="AG5" s="421" t="s">
        <v>145</v>
      </c>
      <c r="AH5" s="421" t="s">
        <v>56</v>
      </c>
      <c r="AI5" s="421" t="s">
        <v>146</v>
      </c>
      <c r="AJ5" s="421" t="s">
        <v>56</v>
      </c>
      <c r="AK5" s="422" t="s">
        <v>145</v>
      </c>
      <c r="AL5" s="422" t="s">
        <v>146</v>
      </c>
      <c r="AM5" s="422" t="s">
        <v>147</v>
      </c>
      <c r="AN5" s="422" t="s">
        <v>145</v>
      </c>
      <c r="AO5" s="422"/>
      <c r="AP5" s="422"/>
      <c r="AQ5" s="422"/>
      <c r="AR5" s="422"/>
      <c r="AS5" s="422"/>
      <c r="AT5" s="422" t="s">
        <v>146</v>
      </c>
      <c r="AU5" s="422"/>
      <c r="AV5" s="422"/>
      <c r="AW5" s="422"/>
      <c r="AX5" s="422"/>
      <c r="AY5" s="422"/>
      <c r="AZ5" s="422" t="s">
        <v>145</v>
      </c>
      <c r="BA5" s="422" t="s">
        <v>146</v>
      </c>
      <c r="BB5" s="422" t="s">
        <v>147</v>
      </c>
      <c r="BC5" s="422" t="s">
        <v>145</v>
      </c>
      <c r="BD5" s="422"/>
      <c r="BE5" s="422"/>
      <c r="BF5" s="422"/>
      <c r="BG5" s="422"/>
      <c r="BH5" s="422" t="s">
        <v>146</v>
      </c>
      <c r="BI5" s="422"/>
      <c r="BJ5" s="422"/>
      <c r="BK5" s="422"/>
      <c r="BL5" s="422"/>
      <c r="BM5" s="422" t="s">
        <v>145</v>
      </c>
      <c r="BN5" s="422"/>
      <c r="BO5" s="422"/>
      <c r="BP5" s="422"/>
      <c r="BQ5" s="422" t="s">
        <v>146</v>
      </c>
      <c r="BR5" s="422"/>
      <c r="BS5" s="422"/>
      <c r="BT5" s="422"/>
      <c r="BU5" s="422" t="s">
        <v>147</v>
      </c>
      <c r="BV5" s="422"/>
      <c r="BW5" s="422" t="s">
        <v>148</v>
      </c>
      <c r="BX5" s="422"/>
      <c r="BY5" s="422"/>
      <c r="BZ5" s="422" t="s">
        <v>149</v>
      </c>
      <c r="CA5" s="422"/>
      <c r="CB5" s="422"/>
      <c r="CC5" s="422" t="s">
        <v>150</v>
      </c>
      <c r="CD5" s="422"/>
      <c r="CE5" s="422"/>
      <c r="CF5" s="422"/>
      <c r="CG5" s="422"/>
      <c r="CH5" s="422"/>
      <c r="CI5" s="422" t="s">
        <v>145</v>
      </c>
      <c r="CJ5" s="422"/>
      <c r="CK5" s="422"/>
      <c r="CL5" s="422"/>
      <c r="CM5" s="422"/>
      <c r="CN5" s="422" t="s">
        <v>146</v>
      </c>
      <c r="CO5" s="422"/>
      <c r="CP5" s="422"/>
      <c r="CQ5" s="422"/>
      <c r="CR5" s="422"/>
      <c r="CS5" s="422"/>
      <c r="CT5" s="422"/>
      <c r="CU5" s="422"/>
      <c r="CV5" s="422" t="s">
        <v>145</v>
      </c>
      <c r="CW5" s="422"/>
      <c r="CX5" s="422" t="s">
        <v>146</v>
      </c>
      <c r="CY5" s="422"/>
      <c r="CZ5" s="422" t="s">
        <v>145</v>
      </c>
      <c r="DA5" s="422"/>
      <c r="DB5" s="422" t="s">
        <v>146</v>
      </c>
      <c r="DC5" s="422"/>
      <c r="DD5" s="422" t="s">
        <v>147</v>
      </c>
    </row>
    <row r="6" spans="1:108" s="190" customFormat="1" ht="52.8" x14ac:dyDescent="0.3">
      <c r="A6" s="422"/>
      <c r="B6" s="191" t="s">
        <v>151</v>
      </c>
      <c r="C6" s="191" t="s">
        <v>152</v>
      </c>
      <c r="D6" s="191" t="s">
        <v>219</v>
      </c>
      <c r="E6" s="191" t="s">
        <v>220</v>
      </c>
      <c r="F6" s="190" t="s">
        <v>154</v>
      </c>
      <c r="G6" s="191" t="s">
        <v>151</v>
      </c>
      <c r="H6" s="191" t="s">
        <v>152</v>
      </c>
      <c r="I6" s="191" t="s">
        <v>219</v>
      </c>
      <c r="J6" s="191" t="s">
        <v>220</v>
      </c>
      <c r="K6" s="190" t="s">
        <v>154</v>
      </c>
      <c r="L6" s="191" t="s">
        <v>152</v>
      </c>
      <c r="M6" s="191" t="s">
        <v>219</v>
      </c>
      <c r="N6" s="191" t="s">
        <v>220</v>
      </c>
      <c r="O6" s="190" t="s">
        <v>154</v>
      </c>
      <c r="P6" s="191" t="s">
        <v>152</v>
      </c>
      <c r="Q6" s="191" t="s">
        <v>219</v>
      </c>
      <c r="R6" s="191" t="s">
        <v>220</v>
      </c>
      <c r="S6" s="190" t="s">
        <v>154</v>
      </c>
      <c r="T6" s="191" t="s">
        <v>151</v>
      </c>
      <c r="U6" s="191" t="s">
        <v>152</v>
      </c>
      <c r="V6" s="191" t="s">
        <v>219</v>
      </c>
      <c r="W6" s="191" t="s">
        <v>220</v>
      </c>
      <c r="X6" s="190" t="s">
        <v>154</v>
      </c>
      <c r="Y6" s="191" t="s">
        <v>151</v>
      </c>
      <c r="Z6" s="191" t="s">
        <v>152</v>
      </c>
      <c r="AA6" s="191" t="s">
        <v>219</v>
      </c>
      <c r="AB6" s="191" t="s">
        <v>220</v>
      </c>
      <c r="AC6" s="190" t="s">
        <v>154</v>
      </c>
      <c r="AD6" s="422"/>
      <c r="AE6" s="422"/>
      <c r="AF6" s="422"/>
      <c r="AG6" s="421"/>
      <c r="AH6" s="421"/>
      <c r="AI6" s="421"/>
      <c r="AJ6" s="421"/>
      <c r="AK6" s="422"/>
      <c r="AL6" s="422"/>
      <c r="AM6" s="422"/>
      <c r="AN6" s="191" t="s">
        <v>151</v>
      </c>
      <c r="AO6" s="191" t="s">
        <v>152</v>
      </c>
      <c r="AP6" s="191" t="s">
        <v>219</v>
      </c>
      <c r="AQ6" s="191" t="s">
        <v>220</v>
      </c>
      <c r="AR6" s="192" t="s">
        <v>155</v>
      </c>
      <c r="AS6" s="190" t="s">
        <v>154</v>
      </c>
      <c r="AT6" s="191" t="s">
        <v>151</v>
      </c>
      <c r="AU6" s="191" t="s">
        <v>152</v>
      </c>
      <c r="AV6" s="191" t="s">
        <v>219</v>
      </c>
      <c r="AW6" s="191" t="s">
        <v>220</v>
      </c>
      <c r="AX6" s="192" t="s">
        <v>155</v>
      </c>
      <c r="AY6" s="190" t="s">
        <v>154</v>
      </c>
      <c r="AZ6" s="422"/>
      <c r="BA6" s="422"/>
      <c r="BB6" s="422"/>
      <c r="BC6" s="191" t="s">
        <v>151</v>
      </c>
      <c r="BD6" s="191" t="s">
        <v>152</v>
      </c>
      <c r="BE6" s="191" t="s">
        <v>219</v>
      </c>
      <c r="BF6" s="191" t="s">
        <v>220</v>
      </c>
      <c r="BG6" s="190" t="s">
        <v>154</v>
      </c>
      <c r="BH6" s="191" t="s">
        <v>151</v>
      </c>
      <c r="BI6" s="191" t="s">
        <v>152</v>
      </c>
      <c r="BJ6" s="191" t="s">
        <v>219</v>
      </c>
      <c r="BK6" s="191" t="s">
        <v>220</v>
      </c>
      <c r="BL6" s="190" t="s">
        <v>154</v>
      </c>
      <c r="BM6" s="191" t="s">
        <v>151</v>
      </c>
      <c r="BN6" s="191" t="s">
        <v>152</v>
      </c>
      <c r="BO6" s="191" t="s">
        <v>153</v>
      </c>
      <c r="BP6" s="190" t="s">
        <v>154</v>
      </c>
      <c r="BQ6" s="191" t="s">
        <v>151</v>
      </c>
      <c r="BR6" s="191" t="s">
        <v>152</v>
      </c>
      <c r="BS6" s="191" t="s">
        <v>153</v>
      </c>
      <c r="BT6" s="190" t="s">
        <v>154</v>
      </c>
      <c r="BU6" s="422"/>
      <c r="BV6" s="422"/>
      <c r="BW6" s="422"/>
      <c r="BX6" s="422"/>
      <c r="BY6" s="422"/>
      <c r="BZ6" s="422"/>
      <c r="CA6" s="422"/>
      <c r="CB6" s="422"/>
      <c r="CC6" s="422"/>
      <c r="CD6" s="190" t="s">
        <v>145</v>
      </c>
      <c r="CE6" s="190" t="s">
        <v>146</v>
      </c>
      <c r="CF6" s="422"/>
      <c r="CG6" s="422"/>
      <c r="CH6" s="422"/>
      <c r="CI6" s="191" t="s">
        <v>151</v>
      </c>
      <c r="CJ6" s="191" t="s">
        <v>152</v>
      </c>
      <c r="CK6" s="191" t="s">
        <v>219</v>
      </c>
      <c r="CL6" s="191" t="s">
        <v>220</v>
      </c>
      <c r="CM6" s="190" t="s">
        <v>154</v>
      </c>
      <c r="CN6" s="191" t="s">
        <v>151</v>
      </c>
      <c r="CO6" s="191" t="s">
        <v>152</v>
      </c>
      <c r="CP6" s="191" t="s">
        <v>219</v>
      </c>
      <c r="CQ6" s="191" t="s">
        <v>220</v>
      </c>
      <c r="CR6" s="190" t="s">
        <v>154</v>
      </c>
      <c r="CS6" s="190" t="s">
        <v>145</v>
      </c>
      <c r="CT6" s="190" t="s">
        <v>146</v>
      </c>
      <c r="CU6" s="190" t="s">
        <v>147</v>
      </c>
      <c r="CV6" s="191" t="s">
        <v>156</v>
      </c>
      <c r="CW6" s="190" t="s">
        <v>154</v>
      </c>
      <c r="CX6" s="191" t="s">
        <v>156</v>
      </c>
      <c r="CY6" s="190" t="s">
        <v>154</v>
      </c>
      <c r="CZ6" s="191" t="s">
        <v>156</v>
      </c>
      <c r="DA6" s="190" t="s">
        <v>154</v>
      </c>
      <c r="DB6" s="191" t="s">
        <v>156</v>
      </c>
      <c r="DC6" s="190" t="s">
        <v>154</v>
      </c>
      <c r="DD6" s="422"/>
    </row>
    <row r="7" spans="1:108" x14ac:dyDescent="0.3">
      <c r="A7" s="193" t="s">
        <v>157</v>
      </c>
      <c r="B7" s="194">
        <v>0</v>
      </c>
      <c r="C7" s="194">
        <v>1295260028.52</v>
      </c>
      <c r="D7" s="194">
        <v>199708673.28</v>
      </c>
      <c r="E7" s="194">
        <v>87948406.510000005</v>
      </c>
      <c r="F7" s="195">
        <f>(B7+C7+D7+E7)/1000</f>
        <v>1582917.10831</v>
      </c>
      <c r="G7" s="194">
        <v>0</v>
      </c>
      <c r="H7" s="194">
        <v>949140999.87</v>
      </c>
      <c r="I7" s="194">
        <v>132502589.64</v>
      </c>
      <c r="J7" s="194">
        <v>49515854.030000001</v>
      </c>
      <c r="K7" s="195">
        <f>(G7+H7+I7+J7)/1000</f>
        <v>1131159.4435399999</v>
      </c>
      <c r="L7" s="194">
        <v>149456189.25</v>
      </c>
      <c r="M7" s="194">
        <v>1869000</v>
      </c>
      <c r="N7" s="194">
        <v>4686518.1500000004</v>
      </c>
      <c r="O7" s="195">
        <f>(L7+M7+N7)/1000</f>
        <v>156011.70740000001</v>
      </c>
      <c r="P7" s="194">
        <v>92758269.519999996</v>
      </c>
      <c r="Q7" s="194">
        <v>1529333.31</v>
      </c>
      <c r="R7" s="194">
        <v>1814356.32</v>
      </c>
      <c r="S7" s="195">
        <f>(P7+Q7+R7)/1000</f>
        <v>96101.959149999995</v>
      </c>
      <c r="T7" s="194">
        <v>0</v>
      </c>
      <c r="U7" s="194">
        <v>1370557885.74</v>
      </c>
      <c r="V7" s="194">
        <v>209731163.28</v>
      </c>
      <c r="W7" s="194">
        <v>103687193.7</v>
      </c>
      <c r="X7" s="195">
        <f>(T7+U7+V7+W7)/1000</f>
        <v>1683976.24272</v>
      </c>
      <c r="Y7" s="194">
        <v>0</v>
      </c>
      <c r="Z7" s="194">
        <v>978279580.55999994</v>
      </c>
      <c r="AA7" s="194">
        <v>123654821.98999999</v>
      </c>
      <c r="AB7" s="194">
        <v>60849906.020000003</v>
      </c>
      <c r="AC7" s="195">
        <f>(Y7+Z7+AA7+AB7)/1000</f>
        <v>1162784.3085699999</v>
      </c>
      <c r="AD7" s="195">
        <f>F7-O7</f>
        <v>1426905.4009100001</v>
      </c>
      <c r="AE7" s="195">
        <f>K7-S7</f>
        <v>1035057.4843899999</v>
      </c>
      <c r="AF7" s="195">
        <f>AE7/AD7%</f>
        <v>72.53861985033474</v>
      </c>
      <c r="AG7" s="196">
        <v>1426905</v>
      </c>
      <c r="AH7" s="196">
        <f>AG7-AD7</f>
        <v>-0.40091000008396804</v>
      </c>
      <c r="AI7" s="196">
        <v>1035057</v>
      </c>
      <c r="AJ7" s="196">
        <f>AI7-AE7</f>
        <v>-0.48438999988138676</v>
      </c>
      <c r="AK7" s="195">
        <f t="shared" ref="AK7:AK32" si="0">X7-O7</f>
        <v>1527964.53532</v>
      </c>
      <c r="AL7" s="195">
        <f>AC7-S7</f>
        <v>1066682.3494199999</v>
      </c>
      <c r="AM7" s="195">
        <f>AL7/AK7%</f>
        <v>69.810674578033044</v>
      </c>
      <c r="AN7" s="194">
        <v>0</v>
      </c>
      <c r="AO7" s="194">
        <v>1030996971.86</v>
      </c>
      <c r="AP7" s="194">
        <v>79047038.5</v>
      </c>
      <c r="AQ7" s="194">
        <v>70409150.75</v>
      </c>
      <c r="AR7" s="197">
        <f>L7-AP7-AQ7</f>
        <v>0</v>
      </c>
      <c r="AS7" s="195">
        <f>(AN7+AO7+AP7+AQ7)/1000</f>
        <v>1180453.1611100002</v>
      </c>
      <c r="AT7" s="194">
        <v>0</v>
      </c>
      <c r="AU7" s="194">
        <v>755422922.78999996</v>
      </c>
      <c r="AV7" s="194">
        <v>51423372.719999999</v>
      </c>
      <c r="AW7" s="194">
        <v>41334896.799999997</v>
      </c>
      <c r="AX7" s="197">
        <f>P7-AV7-AW7</f>
        <v>0</v>
      </c>
      <c r="AY7" s="195">
        <f>(AT7+AU7+AV7+AW7)/1000</f>
        <v>848181.19230999995</v>
      </c>
      <c r="AZ7" s="195">
        <f>AS7-O7</f>
        <v>1024441.4537100003</v>
      </c>
      <c r="BA7" s="195">
        <f t="shared" ref="BA7:BA32" si="1">AY7-S7</f>
        <v>752079.23315999995</v>
      </c>
      <c r="BB7" s="195">
        <f>BA7/AZ7%</f>
        <v>73.41358849120715</v>
      </c>
      <c r="BC7" s="194">
        <v>0</v>
      </c>
      <c r="BD7" s="194">
        <v>302777800</v>
      </c>
      <c r="BE7" s="194">
        <v>120661634.78</v>
      </c>
      <c r="BF7" s="194">
        <v>21337984.050000001</v>
      </c>
      <c r="BG7" s="195">
        <f>(BC7+BD7+BE7+BF7)/1000</f>
        <v>444777.41882999998</v>
      </c>
      <c r="BH7" s="194">
        <v>0</v>
      </c>
      <c r="BI7" s="194">
        <v>232172820.41999999</v>
      </c>
      <c r="BJ7" s="194">
        <v>80446758.859999999</v>
      </c>
      <c r="BK7" s="194">
        <v>11949796.4</v>
      </c>
      <c r="BL7" s="195">
        <f>(BH7+BI7+BJ7+BK7)/1000</f>
        <v>324569.37567999994</v>
      </c>
      <c r="BM7" s="198"/>
      <c r="BN7" s="198"/>
      <c r="BO7" s="198"/>
      <c r="BP7" s="195">
        <f>(BM7+BN7+BO7)/1000</f>
        <v>0</v>
      </c>
      <c r="BQ7" s="198"/>
      <c r="BR7" s="198"/>
      <c r="BS7" s="198"/>
      <c r="BT7" s="195">
        <f>(BQ7+BR7+BS7)/1000</f>
        <v>0</v>
      </c>
      <c r="BU7" s="195" t="e">
        <f>BT7/BP7%</f>
        <v>#DIV/0!</v>
      </c>
      <c r="BV7" s="195">
        <v>43806.600229999996</v>
      </c>
      <c r="BW7" s="195">
        <v>48758.63521</v>
      </c>
      <c r="BX7" s="198">
        <v>18298911.18</v>
      </c>
      <c r="BY7" s="195">
        <f>BX7/1000</f>
        <v>18298.911179999999</v>
      </c>
      <c r="BZ7" s="198">
        <v>6509722.6200000001</v>
      </c>
      <c r="CA7" s="195">
        <f>BZ7/1000</f>
        <v>6509.7226200000005</v>
      </c>
      <c r="CB7" s="195">
        <f>BY7-BV7</f>
        <v>-25507.689049999997</v>
      </c>
      <c r="CC7" s="195">
        <f>CA7-BW7</f>
        <v>-42248.91259</v>
      </c>
      <c r="CD7" s="195">
        <f t="shared" ref="CD7:CD32" si="2">AD7-AK7</f>
        <v>-101059.13440999994</v>
      </c>
      <c r="CE7" s="195">
        <f t="shared" ref="CE7:CE32" si="3">AE7-AL7</f>
        <v>-31624.865029999986</v>
      </c>
      <c r="CF7" s="195">
        <v>39000</v>
      </c>
      <c r="CG7" s="195">
        <v>34650</v>
      </c>
      <c r="CH7" s="195">
        <f>CG7-CF7</f>
        <v>-4350</v>
      </c>
      <c r="CI7" s="194">
        <v>0</v>
      </c>
      <c r="CJ7" s="194">
        <v>992482228.51999998</v>
      </c>
      <c r="CK7" s="194">
        <v>79047038.5</v>
      </c>
      <c r="CL7" s="194">
        <v>66610422.460000001</v>
      </c>
      <c r="CM7" s="195">
        <f>(CI7+CJ7+CK7+CL7)/1000</f>
        <v>1138139.6894799999</v>
      </c>
      <c r="CN7" s="194">
        <v>0</v>
      </c>
      <c r="CO7" s="194">
        <v>716968179.45000005</v>
      </c>
      <c r="CP7" s="194">
        <v>52055830.780000001</v>
      </c>
      <c r="CQ7" s="194">
        <v>37566057.630000003</v>
      </c>
      <c r="CR7" s="195">
        <f>(CN7+CO7+CP7+CQ7)/1000</f>
        <v>806590.06786000007</v>
      </c>
      <c r="CS7" s="199">
        <f t="shared" ref="CS7:CS32" si="4">CM7-O7</f>
        <v>982127.98207999999</v>
      </c>
      <c r="CT7" s="199">
        <f t="shared" ref="CT7:CT32" si="5">CR7-S7</f>
        <v>710488.10871000006</v>
      </c>
      <c r="CU7" s="195">
        <f>CT7/CS7%</f>
        <v>72.341703084896594</v>
      </c>
      <c r="CV7" s="194">
        <v>228983000</v>
      </c>
      <c r="CW7" s="195">
        <f>CV7/1000</f>
        <v>228983</v>
      </c>
      <c r="CX7" s="194">
        <v>171576060.27000001</v>
      </c>
      <c r="CY7" s="195">
        <f>CX7/1000</f>
        <v>171576.06027000002</v>
      </c>
      <c r="DA7" s="195">
        <f>CZ7/1000</f>
        <v>0</v>
      </c>
      <c r="DC7" s="195">
        <f>DB7/1000</f>
        <v>0</v>
      </c>
      <c r="DD7" s="200" t="e">
        <f>DC7/DA7%</f>
        <v>#DIV/0!</v>
      </c>
    </row>
    <row r="8" spans="1:108" x14ac:dyDescent="0.3">
      <c r="A8" s="193" t="s">
        <v>158</v>
      </c>
      <c r="B8" s="194">
        <v>0</v>
      </c>
      <c r="C8" s="194">
        <v>621661714.48000002</v>
      </c>
      <c r="D8" s="194">
        <v>0</v>
      </c>
      <c r="E8" s="194">
        <v>24613860.940000001</v>
      </c>
      <c r="F8" s="195">
        <f t="shared" ref="F8:F32" si="6">(B8+C8+D8+E8)/1000</f>
        <v>646275.57542000012</v>
      </c>
      <c r="G8" s="194">
        <v>0</v>
      </c>
      <c r="H8" s="194">
        <v>433382835.12</v>
      </c>
      <c r="I8" s="194">
        <v>0</v>
      </c>
      <c r="J8" s="194">
        <v>8579305.9499999993</v>
      </c>
      <c r="K8" s="195">
        <f t="shared" ref="K8:K32" si="7">(G8+H8+I8+J8)/1000</f>
        <v>441962.14107000001</v>
      </c>
      <c r="L8" s="194">
        <v>35771500</v>
      </c>
      <c r="M8" s="194">
        <v>0</v>
      </c>
      <c r="N8" s="194">
        <v>431900</v>
      </c>
      <c r="O8" s="195">
        <f t="shared" ref="O8:O32" si="8">(L8+M8+N8)/1000</f>
        <v>36203.4</v>
      </c>
      <c r="P8" s="194">
        <v>27465677.969999999</v>
      </c>
      <c r="Q8" s="194">
        <v>0</v>
      </c>
      <c r="R8" s="194">
        <v>324000</v>
      </c>
      <c r="S8" s="195">
        <f t="shared" ref="S8:S32" si="9">(P8+Q8+R8)/1000</f>
        <v>27789.677969999997</v>
      </c>
      <c r="T8" s="194">
        <v>0</v>
      </c>
      <c r="U8" s="194">
        <v>634014415.73000002</v>
      </c>
      <c r="V8" s="194">
        <v>0</v>
      </c>
      <c r="W8" s="194">
        <v>76776575.280000001</v>
      </c>
      <c r="X8" s="195">
        <f t="shared" ref="X8:X32" si="10">(T8+U8+V8+W8)/1000</f>
        <v>710790.99101</v>
      </c>
      <c r="Y8" s="194">
        <v>0</v>
      </c>
      <c r="Z8" s="194">
        <v>415986619.39999998</v>
      </c>
      <c r="AA8" s="194">
        <v>0</v>
      </c>
      <c r="AB8" s="194">
        <v>59537771.670000002</v>
      </c>
      <c r="AC8" s="195">
        <f t="shared" ref="AC8:AC32" si="11">(Y8+Z8+AA8+AB8)/1000</f>
        <v>475524.39107000001</v>
      </c>
      <c r="AD8" s="195">
        <f t="shared" ref="AD8:AD32" si="12">F8-O8</f>
        <v>610072.1754200001</v>
      </c>
      <c r="AE8" s="195">
        <f t="shared" ref="AE8:AE32" si="13">K8-S8</f>
        <v>414172.46309999999</v>
      </c>
      <c r="AF8" s="195">
        <f t="shared" ref="AF8:AF33" si="14">AE8/AD8%</f>
        <v>67.889092436458981</v>
      </c>
      <c r="AG8" s="196">
        <v>610072</v>
      </c>
      <c r="AH8" s="196">
        <f t="shared" ref="AH8:AH32" si="15">AG8-AD8</f>
        <v>-0.17542000010143965</v>
      </c>
      <c r="AI8" s="196">
        <v>414172</v>
      </c>
      <c r="AJ8" s="196">
        <f t="shared" ref="AJ8:AJ32" si="16">AI8-AE8</f>
        <v>-0.46309999999357387</v>
      </c>
      <c r="AK8" s="195">
        <f t="shared" si="0"/>
        <v>674587.59100999997</v>
      </c>
      <c r="AL8" s="195">
        <f t="shared" ref="AL8:AL32" si="17">AC8-S8</f>
        <v>447734.71309999999</v>
      </c>
      <c r="AM8" s="195">
        <f t="shared" ref="AM8:AM34" si="18">AL8/AK8%</f>
        <v>66.371620093047767</v>
      </c>
      <c r="AN8" s="194">
        <v>0</v>
      </c>
      <c r="AO8" s="194">
        <v>540146952.73000002</v>
      </c>
      <c r="AP8" s="194">
        <v>0</v>
      </c>
      <c r="AQ8" s="194">
        <v>35771500</v>
      </c>
      <c r="AR8" s="197">
        <f t="shared" ref="AR8:AR32" si="19">L8-AP8-AQ8</f>
        <v>0</v>
      </c>
      <c r="AS8" s="195">
        <f t="shared" ref="AS8:AS32" si="20">(AN8+AO8+AP8+AQ8)/1000</f>
        <v>575918.45273000002</v>
      </c>
      <c r="AT8" s="194">
        <v>0</v>
      </c>
      <c r="AU8" s="194">
        <v>371918562.80000001</v>
      </c>
      <c r="AV8" s="194">
        <v>0</v>
      </c>
      <c r="AW8" s="194">
        <v>27465677.969999999</v>
      </c>
      <c r="AX8" s="197">
        <f t="shared" ref="AX8:AX32" si="21">P8-AV8-AW8</f>
        <v>0</v>
      </c>
      <c r="AY8" s="195">
        <f t="shared" ref="AY8:AY32" si="22">(AT8+AU8+AV8+AW8)/1000</f>
        <v>399384.24076999997</v>
      </c>
      <c r="AZ8" s="195">
        <f t="shared" ref="AZ8:AZ32" si="23">AS8-O8</f>
        <v>539715.05273</v>
      </c>
      <c r="BA8" s="195">
        <f t="shared" si="1"/>
        <v>371594.56279999996</v>
      </c>
      <c r="BB8" s="195">
        <f t="shared" ref="BB8:BB33" si="24">BA8/AZ8%</f>
        <v>68.8501387760803</v>
      </c>
      <c r="BC8" s="194">
        <v>0</v>
      </c>
      <c r="BD8" s="194">
        <v>80830600</v>
      </c>
      <c r="BE8" s="194">
        <v>0</v>
      </c>
      <c r="BF8" s="194">
        <v>16381881.57</v>
      </c>
      <c r="BG8" s="195">
        <f t="shared" ref="BG8:BG32" si="25">(BC8+BD8+BE8+BF8)/1000</f>
        <v>97212.481569999989</v>
      </c>
      <c r="BH8" s="194">
        <v>0</v>
      </c>
      <c r="BI8" s="194">
        <v>60780110.57</v>
      </c>
      <c r="BJ8" s="194">
        <v>0</v>
      </c>
      <c r="BK8" s="194">
        <v>8653148.6099999994</v>
      </c>
      <c r="BL8" s="195">
        <f t="shared" ref="BL8:BL32" si="26">(BH8+BI8+BJ8+BK8)/1000</f>
        <v>69433.259180000008</v>
      </c>
      <c r="BM8" s="198"/>
      <c r="BN8" s="198"/>
      <c r="BO8" s="198"/>
      <c r="BP8" s="195">
        <f t="shared" ref="BP8:BP32" si="27">(BM8+BN8+BO8)/1000</f>
        <v>0</v>
      </c>
      <c r="BQ8" s="198"/>
      <c r="BR8" s="198"/>
      <c r="BS8" s="198"/>
      <c r="BT8" s="195">
        <f t="shared" ref="BT8:BT32" si="28">(BQ8+BR8+BS8)/1000</f>
        <v>0</v>
      </c>
      <c r="BU8" s="195" t="e">
        <f t="shared" ref="BU8:BU33" si="29">BT8/BP8%</f>
        <v>#DIV/0!</v>
      </c>
      <c r="BV8" s="195">
        <v>66934.622929999998</v>
      </c>
      <c r="BW8" s="195">
        <v>51674.591270000004</v>
      </c>
      <c r="BX8" s="198">
        <v>42971690.890000001</v>
      </c>
      <c r="BY8" s="195">
        <f t="shared" ref="BY8:BY32" si="30">BX8/1000</f>
        <v>42971.690889999998</v>
      </c>
      <c r="BZ8" s="198">
        <v>3851449.42</v>
      </c>
      <c r="CA8" s="195">
        <f t="shared" ref="CA8:CA32" si="31">BZ8/1000</f>
        <v>3851.4494199999999</v>
      </c>
      <c r="CB8" s="195">
        <f t="shared" ref="CB8:CB32" si="32">BY8-BV8</f>
        <v>-23962.93204</v>
      </c>
      <c r="CC8" s="195">
        <f t="shared" ref="CC8:CC32" si="33">CA8-BW8</f>
        <v>-47823.141850000007</v>
      </c>
      <c r="CD8" s="195">
        <f t="shared" si="2"/>
        <v>-64515.415589999873</v>
      </c>
      <c r="CE8" s="195">
        <f t="shared" si="3"/>
        <v>-33562.25</v>
      </c>
      <c r="CF8" s="195">
        <v>0</v>
      </c>
      <c r="CG8" s="195">
        <v>0</v>
      </c>
      <c r="CH8" s="195">
        <f t="shared" ref="CH8:CH32" si="34">CG8-CF8</f>
        <v>0</v>
      </c>
      <c r="CI8" s="194">
        <v>0</v>
      </c>
      <c r="CJ8" s="194">
        <v>540831114.48000002</v>
      </c>
      <c r="CK8" s="194">
        <v>0</v>
      </c>
      <c r="CL8" s="194">
        <v>8231979.3700000001</v>
      </c>
      <c r="CM8" s="195">
        <f t="shared" ref="CM8:CM32" si="35">(CI8+CJ8+CK8+CL8)/1000</f>
        <v>549063.09385000006</v>
      </c>
      <c r="CN8" s="194">
        <v>0</v>
      </c>
      <c r="CO8" s="194">
        <v>372602724.55000001</v>
      </c>
      <c r="CP8" s="194">
        <v>0</v>
      </c>
      <c r="CQ8" s="194">
        <v>-73842.66</v>
      </c>
      <c r="CR8" s="195">
        <f t="shared" ref="CR8:CR32" si="36">(CN8+CO8+CP8+CQ8)/1000</f>
        <v>372528.88188999996</v>
      </c>
      <c r="CS8" s="199">
        <f t="shared" si="4"/>
        <v>512859.69385000004</v>
      </c>
      <c r="CT8" s="199">
        <f t="shared" si="5"/>
        <v>344739.20391999994</v>
      </c>
      <c r="CU8" s="195">
        <f t="shared" ref="CU8:CU34" si="37">CT8/CS8%</f>
        <v>67.219009029948921</v>
      </c>
      <c r="CV8" s="194">
        <v>40131000</v>
      </c>
      <c r="CW8" s="195">
        <f t="shared" ref="CW8:CY32" si="38">CV8/1000</f>
        <v>40131</v>
      </c>
      <c r="CX8" s="194">
        <v>28283819.850000001</v>
      </c>
      <c r="CY8" s="195">
        <f t="shared" si="38"/>
        <v>28283.81985</v>
      </c>
      <c r="DA8" s="195">
        <f t="shared" ref="DA8:DA32" si="39">CZ8/1000</f>
        <v>0</v>
      </c>
      <c r="DC8" s="195">
        <f t="shared" ref="DC8:DC32" si="40">DB8/1000</f>
        <v>0</v>
      </c>
      <c r="DD8" s="195"/>
    </row>
    <row r="9" spans="1:108" x14ac:dyDescent="0.3">
      <c r="A9" s="193" t="s">
        <v>159</v>
      </c>
      <c r="B9" s="194">
        <v>0</v>
      </c>
      <c r="C9" s="194">
        <v>402624990.35000002</v>
      </c>
      <c r="D9" s="194">
        <v>0</v>
      </c>
      <c r="E9" s="194">
        <v>43676513</v>
      </c>
      <c r="F9" s="195">
        <f t="shared" si="6"/>
        <v>446301.50335000001</v>
      </c>
      <c r="G9" s="194">
        <v>0</v>
      </c>
      <c r="H9" s="194">
        <v>305436714.61000001</v>
      </c>
      <c r="I9" s="194">
        <v>0</v>
      </c>
      <c r="J9" s="194">
        <v>29786815.850000001</v>
      </c>
      <c r="K9" s="195">
        <f t="shared" si="7"/>
        <v>335223.53046000004</v>
      </c>
      <c r="L9" s="194">
        <v>32068718</v>
      </c>
      <c r="M9" s="194">
        <v>0</v>
      </c>
      <c r="N9" s="194">
        <v>8380800</v>
      </c>
      <c r="O9" s="195">
        <f t="shared" si="8"/>
        <v>40449.517999999996</v>
      </c>
      <c r="P9" s="194">
        <v>21449641.609999999</v>
      </c>
      <c r="Q9" s="194">
        <v>0</v>
      </c>
      <c r="R9" s="194">
        <v>6310900</v>
      </c>
      <c r="S9" s="195">
        <f t="shared" si="9"/>
        <v>27760.54161</v>
      </c>
      <c r="T9" s="194">
        <v>0</v>
      </c>
      <c r="U9" s="194">
        <v>412493776.35000002</v>
      </c>
      <c r="V9" s="194">
        <v>0</v>
      </c>
      <c r="W9" s="194">
        <v>45642769.829999998</v>
      </c>
      <c r="X9" s="195">
        <f t="shared" si="10"/>
        <v>458136.54618</v>
      </c>
      <c r="Y9" s="194">
        <v>0</v>
      </c>
      <c r="Z9" s="194">
        <v>294679231.23000002</v>
      </c>
      <c r="AA9" s="194">
        <v>0</v>
      </c>
      <c r="AB9" s="194">
        <v>30389026.870000001</v>
      </c>
      <c r="AC9" s="195">
        <f t="shared" si="11"/>
        <v>325068.25810000004</v>
      </c>
      <c r="AD9" s="195">
        <f t="shared" si="12"/>
        <v>405851.98535000003</v>
      </c>
      <c r="AE9" s="195">
        <f t="shared" si="13"/>
        <v>307462.98885000002</v>
      </c>
      <c r="AF9" s="195">
        <f t="shared" si="14"/>
        <v>75.757418947907581</v>
      </c>
      <c r="AG9" s="196">
        <v>405852</v>
      </c>
      <c r="AH9" s="196">
        <f t="shared" si="15"/>
        <v>1.46499999682419E-2</v>
      </c>
      <c r="AI9" s="196">
        <v>307463</v>
      </c>
      <c r="AJ9" s="196">
        <f t="shared" si="16"/>
        <v>1.1149999976623803E-2</v>
      </c>
      <c r="AK9" s="195">
        <f t="shared" si="0"/>
        <v>417687.02818000002</v>
      </c>
      <c r="AL9" s="195">
        <f t="shared" si="17"/>
        <v>297307.71649000002</v>
      </c>
      <c r="AM9" s="195">
        <f t="shared" si="18"/>
        <v>71.17954267947168</v>
      </c>
      <c r="AN9" s="194">
        <v>0</v>
      </c>
      <c r="AO9" s="194">
        <v>340729708.35000002</v>
      </c>
      <c r="AP9" s="194">
        <v>0</v>
      </c>
      <c r="AQ9" s="194">
        <v>32068718</v>
      </c>
      <c r="AR9" s="197">
        <f t="shared" si="19"/>
        <v>0</v>
      </c>
      <c r="AS9" s="195">
        <f t="shared" si="20"/>
        <v>372798.42635000002</v>
      </c>
      <c r="AT9" s="194">
        <v>0</v>
      </c>
      <c r="AU9" s="194">
        <v>252683668.5</v>
      </c>
      <c r="AV9" s="194">
        <v>0</v>
      </c>
      <c r="AW9" s="194">
        <v>21449641.609999999</v>
      </c>
      <c r="AX9" s="197">
        <f t="shared" si="21"/>
        <v>0</v>
      </c>
      <c r="AY9" s="195">
        <f t="shared" si="22"/>
        <v>274133.31011000002</v>
      </c>
      <c r="AZ9" s="195">
        <f t="shared" si="23"/>
        <v>332348.90835000004</v>
      </c>
      <c r="BA9" s="195">
        <f t="shared" si="1"/>
        <v>246372.76850000001</v>
      </c>
      <c r="BB9" s="195">
        <f t="shared" si="24"/>
        <v>74.130759063767499</v>
      </c>
      <c r="BC9" s="194">
        <v>0</v>
      </c>
      <c r="BD9" s="194">
        <v>61506500</v>
      </c>
      <c r="BE9" s="194">
        <v>0</v>
      </c>
      <c r="BF9" s="194">
        <v>11427700</v>
      </c>
      <c r="BG9" s="195">
        <f t="shared" si="25"/>
        <v>72934.2</v>
      </c>
      <c r="BH9" s="194">
        <v>0</v>
      </c>
      <c r="BI9" s="194">
        <v>52364264.109999999</v>
      </c>
      <c r="BJ9" s="194">
        <v>0</v>
      </c>
      <c r="BK9" s="194">
        <v>8157079.2400000002</v>
      </c>
      <c r="BL9" s="195">
        <f t="shared" si="26"/>
        <v>60521.343350000003</v>
      </c>
      <c r="BM9" s="198"/>
      <c r="BN9" s="198"/>
      <c r="BO9" s="198"/>
      <c r="BP9" s="195">
        <f t="shared" si="27"/>
        <v>0</v>
      </c>
      <c r="BQ9" s="198"/>
      <c r="BR9" s="198"/>
      <c r="BS9" s="198"/>
      <c r="BT9" s="195">
        <f t="shared" si="28"/>
        <v>0</v>
      </c>
      <c r="BU9" s="195" t="e">
        <f t="shared" si="29"/>
        <v>#DIV/0!</v>
      </c>
      <c r="BV9" s="195">
        <v>10727.61341</v>
      </c>
      <c r="BW9" s="195">
        <v>4632.1909999999998</v>
      </c>
      <c r="BX9" s="198">
        <v>31787781.23</v>
      </c>
      <c r="BY9" s="195">
        <f t="shared" si="30"/>
        <v>31787.781230000001</v>
      </c>
      <c r="BZ9" s="198">
        <v>2132425.0099999998</v>
      </c>
      <c r="CA9" s="195">
        <f t="shared" si="31"/>
        <v>2132.4250099999999</v>
      </c>
      <c r="CB9" s="195">
        <f t="shared" si="32"/>
        <v>21060.167820000002</v>
      </c>
      <c r="CC9" s="195">
        <f t="shared" si="33"/>
        <v>-2499.7659899999999</v>
      </c>
      <c r="CD9" s="195">
        <f t="shared" si="2"/>
        <v>-11835.042829999991</v>
      </c>
      <c r="CE9" s="195">
        <f t="shared" si="3"/>
        <v>10155.272360000003</v>
      </c>
      <c r="CF9" s="195">
        <v>0</v>
      </c>
      <c r="CG9" s="195">
        <v>0</v>
      </c>
      <c r="CH9" s="195">
        <f t="shared" si="34"/>
        <v>0</v>
      </c>
      <c r="CI9" s="194">
        <v>0</v>
      </c>
      <c r="CJ9" s="194">
        <v>341118490.35000002</v>
      </c>
      <c r="CK9" s="194">
        <v>0</v>
      </c>
      <c r="CL9" s="194">
        <v>32248813</v>
      </c>
      <c r="CM9" s="195">
        <f t="shared" si="35"/>
        <v>373367.30335</v>
      </c>
      <c r="CN9" s="194">
        <v>0</v>
      </c>
      <c r="CO9" s="194">
        <v>253072450.5</v>
      </c>
      <c r="CP9" s="194">
        <v>0</v>
      </c>
      <c r="CQ9" s="194">
        <v>21629736.609999999</v>
      </c>
      <c r="CR9" s="195">
        <f t="shared" si="36"/>
        <v>274702.18711</v>
      </c>
      <c r="CS9" s="199">
        <f t="shared" si="4"/>
        <v>332917.78535000002</v>
      </c>
      <c r="CT9" s="199">
        <f t="shared" si="5"/>
        <v>246941.64549999998</v>
      </c>
      <c r="CU9" s="195">
        <f t="shared" si="37"/>
        <v>74.174963419388234</v>
      </c>
      <c r="CV9" s="194">
        <v>36352000</v>
      </c>
      <c r="CW9" s="195">
        <f t="shared" si="38"/>
        <v>36352</v>
      </c>
      <c r="CX9" s="194">
        <v>33418253.73</v>
      </c>
      <c r="CY9" s="195">
        <f t="shared" si="38"/>
        <v>33418.253730000004</v>
      </c>
      <c r="DA9" s="195">
        <f t="shared" si="39"/>
        <v>0</v>
      </c>
      <c r="DC9" s="195">
        <f t="shared" si="40"/>
        <v>0</v>
      </c>
      <c r="DD9" s="200" t="e">
        <f t="shared" ref="DD9:DD30" si="41">DC9/DA9%</f>
        <v>#DIV/0!</v>
      </c>
    </row>
    <row r="10" spans="1:108" x14ac:dyDescent="0.3">
      <c r="A10" s="193" t="s">
        <v>160</v>
      </c>
      <c r="B10" s="194">
        <v>0</v>
      </c>
      <c r="C10" s="194">
        <v>546372271.52999997</v>
      </c>
      <c r="D10" s="194">
        <v>27443831.469999999</v>
      </c>
      <c r="E10" s="194">
        <v>43555537.979999997</v>
      </c>
      <c r="F10" s="195">
        <f t="shared" si="6"/>
        <v>617371.64098000003</v>
      </c>
      <c r="G10" s="194">
        <v>0</v>
      </c>
      <c r="H10" s="194">
        <v>432592237.00999999</v>
      </c>
      <c r="I10" s="194">
        <v>14523584.66</v>
      </c>
      <c r="J10" s="194">
        <v>31540298.899999999</v>
      </c>
      <c r="K10" s="195">
        <f t="shared" si="7"/>
        <v>478656.12056999997</v>
      </c>
      <c r="L10" s="194">
        <v>38870199.329999998</v>
      </c>
      <c r="M10" s="194">
        <v>203400</v>
      </c>
      <c r="N10" s="194">
        <v>0</v>
      </c>
      <c r="O10" s="195">
        <f t="shared" si="8"/>
        <v>39073.599329999997</v>
      </c>
      <c r="P10" s="194">
        <v>29254987.32</v>
      </c>
      <c r="Q10" s="194">
        <v>0</v>
      </c>
      <c r="R10" s="194">
        <v>0</v>
      </c>
      <c r="S10" s="195">
        <f t="shared" si="9"/>
        <v>29254.98732</v>
      </c>
      <c r="T10" s="194">
        <v>0</v>
      </c>
      <c r="U10" s="194">
        <v>549947876.26999998</v>
      </c>
      <c r="V10" s="194">
        <v>27498253.66</v>
      </c>
      <c r="W10" s="194">
        <v>46051906.25</v>
      </c>
      <c r="X10" s="195">
        <f t="shared" si="10"/>
        <v>623498.03617999994</v>
      </c>
      <c r="Y10" s="194">
        <v>0</v>
      </c>
      <c r="Z10" s="194">
        <v>429586343.72000003</v>
      </c>
      <c r="AA10" s="194">
        <v>14983295.859999999</v>
      </c>
      <c r="AB10" s="194">
        <v>32436638.870000001</v>
      </c>
      <c r="AC10" s="195">
        <f t="shared" si="11"/>
        <v>477006.27845000004</v>
      </c>
      <c r="AD10" s="195">
        <f t="shared" si="12"/>
        <v>578298.04165000003</v>
      </c>
      <c r="AE10" s="195">
        <f t="shared" si="13"/>
        <v>449401.13324999996</v>
      </c>
      <c r="AF10" s="195">
        <f t="shared" si="14"/>
        <v>77.710989988444126</v>
      </c>
      <c r="AG10" s="196">
        <v>578298</v>
      </c>
      <c r="AH10" s="196">
        <f t="shared" si="15"/>
        <v>-4.1650000028312206E-2</v>
      </c>
      <c r="AI10" s="196">
        <v>449401</v>
      </c>
      <c r="AJ10" s="196">
        <f t="shared" si="16"/>
        <v>-0.13324999995529652</v>
      </c>
      <c r="AK10" s="195">
        <f t="shared" si="0"/>
        <v>584424.43684999994</v>
      </c>
      <c r="AL10" s="195">
        <f t="shared" si="17"/>
        <v>447751.29113000003</v>
      </c>
      <c r="AM10" s="195">
        <f t="shared" si="18"/>
        <v>76.614060415293878</v>
      </c>
      <c r="AN10" s="194">
        <v>0</v>
      </c>
      <c r="AO10" s="194">
        <v>473938054</v>
      </c>
      <c r="AP10" s="194">
        <v>2642353.66</v>
      </c>
      <c r="AQ10" s="194">
        <v>36227845.670000002</v>
      </c>
      <c r="AR10" s="197">
        <f t="shared" si="19"/>
        <v>0</v>
      </c>
      <c r="AS10" s="195">
        <f t="shared" si="20"/>
        <v>512808.25333000004</v>
      </c>
      <c r="AT10" s="194">
        <v>0</v>
      </c>
      <c r="AU10" s="194">
        <v>378457196.62</v>
      </c>
      <c r="AV10" s="194">
        <v>2142512.7599999998</v>
      </c>
      <c r="AW10" s="194">
        <v>27112474.559999999</v>
      </c>
      <c r="AX10" s="197">
        <f t="shared" si="21"/>
        <v>0</v>
      </c>
      <c r="AY10" s="195">
        <f t="shared" si="22"/>
        <v>407712.18394000002</v>
      </c>
      <c r="AZ10" s="195">
        <f t="shared" si="23"/>
        <v>473734.65400000004</v>
      </c>
      <c r="BA10" s="195">
        <f t="shared" si="1"/>
        <v>378457.19662</v>
      </c>
      <c r="BB10" s="195">
        <f t="shared" si="24"/>
        <v>79.888011870037261</v>
      </c>
      <c r="BC10" s="194">
        <v>0</v>
      </c>
      <c r="BD10" s="194">
        <v>72966900</v>
      </c>
      <c r="BE10" s="194">
        <v>25153000</v>
      </c>
      <c r="BF10" s="194">
        <v>7333161.3099999996</v>
      </c>
      <c r="BG10" s="195">
        <f t="shared" si="25"/>
        <v>105453.06131</v>
      </c>
      <c r="BH10" s="194">
        <v>0</v>
      </c>
      <c r="BI10" s="194">
        <v>54667722.859999999</v>
      </c>
      <c r="BJ10" s="194">
        <v>12732594.09</v>
      </c>
      <c r="BK10" s="194">
        <v>4433293.34</v>
      </c>
      <c r="BL10" s="195">
        <f t="shared" si="26"/>
        <v>71833.610290000011</v>
      </c>
      <c r="BM10" s="198"/>
      <c r="BN10" s="198"/>
      <c r="BO10" s="198"/>
      <c r="BP10" s="195">
        <f t="shared" si="27"/>
        <v>0</v>
      </c>
      <c r="BQ10" s="198"/>
      <c r="BR10" s="198"/>
      <c r="BS10" s="198"/>
      <c r="BT10" s="195">
        <f t="shared" si="28"/>
        <v>0</v>
      </c>
      <c r="BU10" s="195" t="e">
        <f t="shared" si="29"/>
        <v>#DIV/0!</v>
      </c>
      <c r="BV10" s="195">
        <v>6582.2419800000007</v>
      </c>
      <c r="BW10" s="195">
        <v>731.99118999999996</v>
      </c>
      <c r="BX10" s="198">
        <v>62602089.469999999</v>
      </c>
      <c r="BY10" s="195">
        <f t="shared" si="30"/>
        <v>62602.089469999999</v>
      </c>
      <c r="BZ10" s="198">
        <v>3041760.58</v>
      </c>
      <c r="CA10" s="195">
        <f t="shared" si="31"/>
        <v>3041.7605800000001</v>
      </c>
      <c r="CB10" s="195">
        <f t="shared" si="32"/>
        <v>56019.84749</v>
      </c>
      <c r="CC10" s="195">
        <f t="shared" si="33"/>
        <v>2309.7693900000004</v>
      </c>
      <c r="CD10" s="195">
        <f t="shared" si="2"/>
        <v>-6126.3951999999117</v>
      </c>
      <c r="CE10" s="195">
        <f t="shared" si="3"/>
        <v>1649.8421199999284</v>
      </c>
      <c r="CF10" s="195">
        <v>0</v>
      </c>
      <c r="CG10" s="195">
        <v>0</v>
      </c>
      <c r="CH10" s="195">
        <f t="shared" si="34"/>
        <v>0</v>
      </c>
      <c r="CI10" s="194">
        <v>0</v>
      </c>
      <c r="CJ10" s="194">
        <v>473405371.52999997</v>
      </c>
      <c r="CK10" s="194">
        <v>2290831.4700000002</v>
      </c>
      <c r="CL10" s="194">
        <v>36222376.670000002</v>
      </c>
      <c r="CM10" s="195">
        <f t="shared" si="35"/>
        <v>511918.57967000001</v>
      </c>
      <c r="CN10" s="194">
        <v>0</v>
      </c>
      <c r="CO10" s="194">
        <v>377924514.14999998</v>
      </c>
      <c r="CP10" s="194">
        <v>1790990.57</v>
      </c>
      <c r="CQ10" s="194">
        <v>27107005.559999999</v>
      </c>
      <c r="CR10" s="195">
        <f t="shared" si="36"/>
        <v>406822.51027999999</v>
      </c>
      <c r="CS10" s="199">
        <f t="shared" si="4"/>
        <v>472844.98034000001</v>
      </c>
      <c r="CT10" s="199">
        <f t="shared" si="5"/>
        <v>377567.52295999997</v>
      </c>
      <c r="CU10" s="195">
        <f t="shared" si="37"/>
        <v>79.850170491079211</v>
      </c>
      <c r="CV10" s="194">
        <v>49103000</v>
      </c>
      <c r="CW10" s="195">
        <f t="shared" si="38"/>
        <v>49103</v>
      </c>
      <c r="CX10" s="194">
        <v>34866383.020000003</v>
      </c>
      <c r="CY10" s="195">
        <f t="shared" si="38"/>
        <v>34866.383020000001</v>
      </c>
      <c r="DA10" s="195">
        <f t="shared" si="39"/>
        <v>0</v>
      </c>
      <c r="DC10" s="195">
        <f t="shared" si="40"/>
        <v>0</v>
      </c>
      <c r="DD10" s="200" t="e">
        <f t="shared" si="41"/>
        <v>#DIV/0!</v>
      </c>
    </row>
    <row r="11" spans="1:108" x14ac:dyDescent="0.3">
      <c r="A11" s="193" t="s">
        <v>161</v>
      </c>
      <c r="B11" s="194">
        <v>0</v>
      </c>
      <c r="C11" s="194">
        <v>588807801.60000002</v>
      </c>
      <c r="D11" s="194">
        <v>66392272.289999999</v>
      </c>
      <c r="E11" s="194">
        <v>8656804.4399999995</v>
      </c>
      <c r="F11" s="195">
        <f t="shared" si="6"/>
        <v>663856.87833000009</v>
      </c>
      <c r="G11" s="194">
        <v>0</v>
      </c>
      <c r="H11" s="194">
        <v>409991480.68000001</v>
      </c>
      <c r="I11" s="194">
        <v>50278233.950000003</v>
      </c>
      <c r="J11" s="194">
        <v>2761650.56</v>
      </c>
      <c r="K11" s="195">
        <f t="shared" si="7"/>
        <v>463031.36518999998</v>
      </c>
      <c r="L11" s="194">
        <v>46173514.259999998</v>
      </c>
      <c r="M11" s="194">
        <v>0</v>
      </c>
      <c r="N11" s="194">
        <v>3185951.53</v>
      </c>
      <c r="O11" s="195">
        <f t="shared" si="8"/>
        <v>49359.465790000002</v>
      </c>
      <c r="P11" s="194">
        <v>38683703.479999997</v>
      </c>
      <c r="Q11" s="194">
        <v>0</v>
      </c>
      <c r="R11" s="194">
        <v>2759876.4</v>
      </c>
      <c r="S11" s="195">
        <f t="shared" si="9"/>
        <v>41443.579879999998</v>
      </c>
      <c r="T11" s="194">
        <v>0</v>
      </c>
      <c r="U11" s="194">
        <v>609229467.94000006</v>
      </c>
      <c r="V11" s="194">
        <v>67494085.709999993</v>
      </c>
      <c r="W11" s="194">
        <v>19180924.859999999</v>
      </c>
      <c r="X11" s="195">
        <f t="shared" si="10"/>
        <v>695904.47851000016</v>
      </c>
      <c r="Y11" s="194">
        <v>0</v>
      </c>
      <c r="Z11" s="194">
        <v>422270714.10000002</v>
      </c>
      <c r="AA11" s="194">
        <v>50285543.390000001</v>
      </c>
      <c r="AB11" s="194">
        <v>12886573.390000001</v>
      </c>
      <c r="AC11" s="195">
        <f t="shared" si="11"/>
        <v>485442.83088000002</v>
      </c>
      <c r="AD11" s="195">
        <f>F11-O11</f>
        <v>614497.41254000005</v>
      </c>
      <c r="AE11" s="195">
        <f t="shared" si="13"/>
        <v>421587.78531000001</v>
      </c>
      <c r="AF11" s="200">
        <f t="shared" si="14"/>
        <v>68.606926035275578</v>
      </c>
      <c r="AG11" s="201">
        <v>614497</v>
      </c>
      <c r="AH11" s="196">
        <f t="shared" si="15"/>
        <v>-0.41254000004846603</v>
      </c>
      <c r="AI11" s="201">
        <v>421588</v>
      </c>
      <c r="AJ11" s="196">
        <f t="shared" si="16"/>
        <v>0.21468999999342486</v>
      </c>
      <c r="AK11" s="195">
        <f t="shared" si="0"/>
        <v>646545.01272000012</v>
      </c>
      <c r="AL11" s="195">
        <f t="shared" si="17"/>
        <v>443999.25100000005</v>
      </c>
      <c r="AM11" s="195">
        <f t="shared" si="18"/>
        <v>68.672596998638241</v>
      </c>
      <c r="AN11" s="194">
        <v>0</v>
      </c>
      <c r="AO11" s="194">
        <v>506308677.85000002</v>
      </c>
      <c r="AP11" s="194">
        <v>39502870.259999998</v>
      </c>
      <c r="AQ11" s="194">
        <v>6670644</v>
      </c>
      <c r="AR11" s="197">
        <f t="shared" si="19"/>
        <v>0</v>
      </c>
      <c r="AS11" s="195">
        <f t="shared" si="20"/>
        <v>552482.19211000006</v>
      </c>
      <c r="AT11" s="194">
        <v>0</v>
      </c>
      <c r="AU11" s="194">
        <v>352318890.43000001</v>
      </c>
      <c r="AV11" s="194">
        <v>33164509.48</v>
      </c>
      <c r="AW11" s="194">
        <v>5519194</v>
      </c>
      <c r="AX11" s="197">
        <f t="shared" si="21"/>
        <v>0</v>
      </c>
      <c r="AY11" s="195">
        <f t="shared" si="22"/>
        <v>391002.59391000005</v>
      </c>
      <c r="AZ11" s="195">
        <f t="shared" si="23"/>
        <v>503122.72632000007</v>
      </c>
      <c r="BA11" s="195">
        <f t="shared" si="1"/>
        <v>349559.01403000008</v>
      </c>
      <c r="BB11" s="195">
        <f t="shared" si="24"/>
        <v>69.477881984538072</v>
      </c>
      <c r="BC11" s="194">
        <v>0</v>
      </c>
      <c r="BD11" s="194">
        <v>91823849</v>
      </c>
      <c r="BE11" s="194">
        <v>26586000</v>
      </c>
      <c r="BF11" s="194">
        <v>7543000</v>
      </c>
      <c r="BG11" s="195">
        <f t="shared" si="25"/>
        <v>125952.849</v>
      </c>
      <c r="BH11" s="194">
        <v>0</v>
      </c>
      <c r="BI11" s="194">
        <v>66997315.5</v>
      </c>
      <c r="BJ11" s="194">
        <v>16810322.440000001</v>
      </c>
      <c r="BK11" s="194">
        <v>2790996.12</v>
      </c>
      <c r="BL11" s="195">
        <f t="shared" si="26"/>
        <v>86598.634059999997</v>
      </c>
      <c r="BM11" s="198"/>
      <c r="BN11" s="198"/>
      <c r="BO11" s="198"/>
      <c r="BP11" s="195">
        <f t="shared" si="27"/>
        <v>0</v>
      </c>
      <c r="BQ11" s="198"/>
      <c r="BR11" s="198"/>
      <c r="BS11" s="198"/>
      <c r="BT11" s="195">
        <f t="shared" si="28"/>
        <v>0</v>
      </c>
      <c r="BU11" s="195" t="e">
        <f t="shared" si="29"/>
        <v>#DIV/0!</v>
      </c>
      <c r="BV11" s="195">
        <v>33047.307339999999</v>
      </c>
      <c r="BW11" s="195">
        <v>23851.66359</v>
      </c>
      <c r="BX11" s="198">
        <v>10589095.41</v>
      </c>
      <c r="BY11" s="195">
        <f t="shared" si="30"/>
        <v>10589.09541</v>
      </c>
      <c r="BZ11" s="198">
        <v>7543153.7000000002</v>
      </c>
      <c r="CA11" s="195">
        <f t="shared" si="31"/>
        <v>7543.1536999999998</v>
      </c>
      <c r="CB11" s="195">
        <f t="shared" si="32"/>
        <v>-22458.211929999998</v>
      </c>
      <c r="CC11" s="195">
        <f t="shared" si="33"/>
        <v>-16308.509890000001</v>
      </c>
      <c r="CD11" s="195">
        <f t="shared" si="2"/>
        <v>-32047.600180000067</v>
      </c>
      <c r="CE11" s="195">
        <f t="shared" si="3"/>
        <v>-22411.465690000041</v>
      </c>
      <c r="CF11" s="195">
        <v>4000</v>
      </c>
      <c r="CG11" s="195">
        <v>900</v>
      </c>
      <c r="CH11" s="195">
        <f t="shared" si="34"/>
        <v>-3100</v>
      </c>
      <c r="CI11" s="194">
        <v>0</v>
      </c>
      <c r="CJ11" s="194">
        <v>496983952.60000002</v>
      </c>
      <c r="CK11" s="194">
        <v>39806272.289999999</v>
      </c>
      <c r="CL11" s="194">
        <v>1113804.44</v>
      </c>
      <c r="CM11" s="195">
        <f t="shared" si="35"/>
        <v>537904.02933000005</v>
      </c>
      <c r="CN11" s="194">
        <v>0</v>
      </c>
      <c r="CO11" s="194">
        <v>342994165.18000001</v>
      </c>
      <c r="CP11" s="194">
        <v>33467911.510000002</v>
      </c>
      <c r="CQ11" s="194">
        <v>-29345.56</v>
      </c>
      <c r="CR11" s="195">
        <f t="shared" si="36"/>
        <v>376432.73112999997</v>
      </c>
      <c r="CS11" s="199">
        <f t="shared" si="4"/>
        <v>488544.56354000006</v>
      </c>
      <c r="CT11" s="199">
        <f t="shared" si="5"/>
        <v>334989.15125</v>
      </c>
      <c r="CU11" s="200">
        <f t="shared" si="37"/>
        <v>68.568801343866028</v>
      </c>
      <c r="CV11" s="194">
        <v>51854000</v>
      </c>
      <c r="CW11" s="195">
        <f t="shared" si="38"/>
        <v>51854</v>
      </c>
      <c r="CX11" s="194">
        <v>37115923.57</v>
      </c>
      <c r="CY11" s="195">
        <f t="shared" si="38"/>
        <v>37115.923569999999</v>
      </c>
      <c r="DA11" s="195">
        <f t="shared" si="39"/>
        <v>0</v>
      </c>
      <c r="DC11" s="195">
        <f t="shared" si="40"/>
        <v>0</v>
      </c>
      <c r="DD11" s="195" t="e">
        <f t="shared" si="41"/>
        <v>#DIV/0!</v>
      </c>
    </row>
    <row r="12" spans="1:108" x14ac:dyDescent="0.3">
      <c r="A12" s="193" t="s">
        <v>162</v>
      </c>
      <c r="B12" s="194">
        <v>0</v>
      </c>
      <c r="C12" s="194">
        <v>831461685.94000006</v>
      </c>
      <c r="D12" s="194">
        <v>-52444678.920000002</v>
      </c>
      <c r="E12" s="194">
        <v>35544743.640000001</v>
      </c>
      <c r="F12" s="195">
        <f t="shared" si="6"/>
        <v>814561.75066000014</v>
      </c>
      <c r="G12" s="194">
        <v>0</v>
      </c>
      <c r="H12" s="194">
        <v>585425819.66999996</v>
      </c>
      <c r="I12" s="194">
        <v>-102114235.53</v>
      </c>
      <c r="J12" s="194">
        <v>24491916.43</v>
      </c>
      <c r="K12" s="195">
        <f t="shared" si="7"/>
        <v>507803.50056999997</v>
      </c>
      <c r="L12" s="194">
        <v>222593612.65000001</v>
      </c>
      <c r="M12" s="194">
        <v>0</v>
      </c>
      <c r="N12" s="194">
        <v>0</v>
      </c>
      <c r="O12" s="195">
        <f t="shared" si="8"/>
        <v>222593.61265</v>
      </c>
      <c r="P12" s="194">
        <v>176357314.79999998</v>
      </c>
      <c r="Q12" s="194">
        <v>0</v>
      </c>
      <c r="R12" s="194">
        <v>0</v>
      </c>
      <c r="S12" s="195">
        <f t="shared" si="9"/>
        <v>176357.31479999999</v>
      </c>
      <c r="T12" s="194">
        <v>0</v>
      </c>
      <c r="U12" s="194">
        <v>857617948.88999999</v>
      </c>
      <c r="V12" s="194">
        <v>285818844.32999998</v>
      </c>
      <c r="W12" s="194">
        <v>51903403.710000001</v>
      </c>
      <c r="X12" s="195">
        <f t="shared" si="10"/>
        <v>1195340.1969300001</v>
      </c>
      <c r="Y12" s="194">
        <v>0</v>
      </c>
      <c r="Z12" s="194">
        <v>589978781.86000001</v>
      </c>
      <c r="AA12" s="194">
        <v>227283104.46000001</v>
      </c>
      <c r="AB12" s="194">
        <v>38544947.299999997</v>
      </c>
      <c r="AC12" s="195">
        <f t="shared" si="11"/>
        <v>855806.83362000005</v>
      </c>
      <c r="AD12" s="195">
        <f t="shared" si="12"/>
        <v>591968.13801000011</v>
      </c>
      <c r="AE12" s="195">
        <f t="shared" si="13"/>
        <v>331446.18576999998</v>
      </c>
      <c r="AF12" s="195">
        <f t="shared" si="14"/>
        <v>55.990544843209264</v>
      </c>
      <c r="AG12" s="196">
        <v>591968</v>
      </c>
      <c r="AH12" s="196">
        <f t="shared" si="15"/>
        <v>-0.13801000011153519</v>
      </c>
      <c r="AI12" s="196">
        <v>331446</v>
      </c>
      <c r="AJ12" s="196">
        <f t="shared" si="16"/>
        <v>-0.18576999998185784</v>
      </c>
      <c r="AK12" s="195">
        <f t="shared" si="0"/>
        <v>972746.58428000007</v>
      </c>
      <c r="AL12" s="195">
        <f t="shared" si="17"/>
        <v>679449.51882000011</v>
      </c>
      <c r="AM12" s="195">
        <f t="shared" si="18"/>
        <v>69.848563829490061</v>
      </c>
      <c r="AN12" s="194">
        <v>0</v>
      </c>
      <c r="AO12" s="194">
        <v>738362087.05999994</v>
      </c>
      <c r="AP12" s="194">
        <v>190593957.25999999</v>
      </c>
      <c r="AQ12" s="194">
        <v>31999655.390000001</v>
      </c>
      <c r="AR12" s="197">
        <f t="shared" si="19"/>
        <v>0</v>
      </c>
      <c r="AS12" s="195">
        <f t="shared" si="20"/>
        <v>960955.69970999996</v>
      </c>
      <c r="AT12" s="194">
        <v>0</v>
      </c>
      <c r="AU12" s="194">
        <v>525477034.94999999</v>
      </c>
      <c r="AV12" s="194">
        <v>150918183.11000001</v>
      </c>
      <c r="AW12" s="194">
        <v>25439131.690000001</v>
      </c>
      <c r="AX12" s="197">
        <f t="shared" si="21"/>
        <v>-3.3527612686157227E-8</v>
      </c>
      <c r="AY12" s="195">
        <f t="shared" si="22"/>
        <v>701834.34975000005</v>
      </c>
      <c r="AZ12" s="195">
        <f t="shared" si="23"/>
        <v>738362.08705999993</v>
      </c>
      <c r="BA12" s="195">
        <f t="shared" si="1"/>
        <v>525477.03495</v>
      </c>
      <c r="BB12" s="195">
        <f t="shared" si="24"/>
        <v>71.167932936851784</v>
      </c>
      <c r="BC12" s="194">
        <v>0</v>
      </c>
      <c r="BD12" s="194">
        <v>107917000</v>
      </c>
      <c r="BE12" s="194">
        <v>32062000</v>
      </c>
      <c r="BF12" s="194">
        <v>12570000</v>
      </c>
      <c r="BG12" s="195">
        <f t="shared" si="25"/>
        <v>152549</v>
      </c>
      <c r="BH12" s="194">
        <v>0</v>
      </c>
      <c r="BI12" s="194">
        <v>74766185.840000004</v>
      </c>
      <c r="BJ12" s="194">
        <v>22068217.539999999</v>
      </c>
      <c r="BK12" s="194">
        <v>8077696.4900000002</v>
      </c>
      <c r="BL12" s="195">
        <f t="shared" si="26"/>
        <v>104912.09986999999</v>
      </c>
      <c r="BM12" s="198"/>
      <c r="BN12" s="198"/>
      <c r="BO12" s="198"/>
      <c r="BP12" s="195">
        <f t="shared" si="27"/>
        <v>0</v>
      </c>
      <c r="BQ12" s="198"/>
      <c r="BR12" s="198"/>
      <c r="BS12" s="198"/>
      <c r="BT12" s="195">
        <f t="shared" si="28"/>
        <v>0</v>
      </c>
      <c r="BU12" s="195" t="e">
        <f t="shared" si="29"/>
        <v>#DIV/0!</v>
      </c>
      <c r="BV12" s="195">
        <v>381979.45551</v>
      </c>
      <c r="BW12" s="195">
        <v>361879.47941000003</v>
      </c>
      <c r="BX12" s="198">
        <v>38524573.359999999</v>
      </c>
      <c r="BY12" s="195">
        <f t="shared" si="30"/>
        <v>38524.573360000002</v>
      </c>
      <c r="BZ12" s="198">
        <v>2183668.4900000002</v>
      </c>
      <c r="CA12" s="195">
        <f t="shared" si="31"/>
        <v>2183.66849</v>
      </c>
      <c r="CB12" s="195">
        <f t="shared" si="32"/>
        <v>-343454.88215000002</v>
      </c>
      <c r="CC12" s="195">
        <f t="shared" si="33"/>
        <v>-359695.81092000002</v>
      </c>
      <c r="CD12" s="195">
        <f t="shared" si="2"/>
        <v>-380778.44626999996</v>
      </c>
      <c r="CE12" s="195">
        <f t="shared" si="3"/>
        <v>-348003.33305000013</v>
      </c>
      <c r="CF12" s="195">
        <v>10950</v>
      </c>
      <c r="CG12" s="195">
        <v>10950</v>
      </c>
      <c r="CH12" s="195">
        <f t="shared" si="34"/>
        <v>0</v>
      </c>
      <c r="CI12" s="194">
        <v>0</v>
      </c>
      <c r="CJ12" s="194">
        <v>723544685.94000006</v>
      </c>
      <c r="CK12" s="194">
        <v>-84506678.920000002</v>
      </c>
      <c r="CL12" s="194">
        <v>22974743.640000001</v>
      </c>
      <c r="CM12" s="195">
        <f t="shared" si="35"/>
        <v>662012.75066000014</v>
      </c>
      <c r="CN12" s="194">
        <v>0</v>
      </c>
      <c r="CO12" s="194">
        <v>510659633.82999998</v>
      </c>
      <c r="CP12" s="194">
        <v>-124182453.06999999</v>
      </c>
      <c r="CQ12" s="194">
        <v>16414219.939999999</v>
      </c>
      <c r="CR12" s="195">
        <f t="shared" si="36"/>
        <v>402891.4007</v>
      </c>
      <c r="CS12" s="199">
        <f t="shared" si="4"/>
        <v>439419.13801000011</v>
      </c>
      <c r="CT12" s="199">
        <f t="shared" si="5"/>
        <v>226534.08590000001</v>
      </c>
      <c r="CU12" s="195">
        <f t="shared" si="37"/>
        <v>51.553076847291216</v>
      </c>
      <c r="CV12" s="194">
        <v>93184000</v>
      </c>
      <c r="CW12" s="195">
        <f t="shared" si="38"/>
        <v>93184</v>
      </c>
      <c r="CX12" s="194">
        <v>61035358.090000004</v>
      </c>
      <c r="CY12" s="195">
        <f t="shared" si="38"/>
        <v>61035.358090000002</v>
      </c>
      <c r="DA12" s="195">
        <f t="shared" si="39"/>
        <v>0</v>
      </c>
      <c r="DC12" s="195">
        <f t="shared" si="40"/>
        <v>0</v>
      </c>
      <c r="DD12" s="195"/>
    </row>
    <row r="13" spans="1:108" x14ac:dyDescent="0.3">
      <c r="A13" s="193" t="s">
        <v>163</v>
      </c>
      <c r="B13" s="194">
        <v>0</v>
      </c>
      <c r="C13" s="194">
        <v>506789698.87</v>
      </c>
      <c r="D13" s="194">
        <v>98113800.670000002</v>
      </c>
      <c r="E13" s="194">
        <v>31766809.600000001</v>
      </c>
      <c r="F13" s="195">
        <f t="shared" si="6"/>
        <v>636670.30914000003</v>
      </c>
      <c r="G13" s="194">
        <v>0</v>
      </c>
      <c r="H13" s="194">
        <v>361737250.07999998</v>
      </c>
      <c r="I13" s="194">
        <v>61383220.140000001</v>
      </c>
      <c r="J13" s="194">
        <v>14878656.23</v>
      </c>
      <c r="K13" s="195">
        <f t="shared" si="7"/>
        <v>437999.12644999998</v>
      </c>
      <c r="L13" s="194">
        <v>55987128.790000007</v>
      </c>
      <c r="M13" s="194">
        <v>0</v>
      </c>
      <c r="N13" s="194">
        <v>0</v>
      </c>
      <c r="O13" s="195">
        <f t="shared" si="8"/>
        <v>55987.12879000001</v>
      </c>
      <c r="P13" s="194">
        <v>31590926.890000001</v>
      </c>
      <c r="Q13" s="194">
        <v>0</v>
      </c>
      <c r="R13" s="194">
        <v>0</v>
      </c>
      <c r="S13" s="195">
        <f t="shared" si="9"/>
        <v>31590.926889999999</v>
      </c>
      <c r="T13" s="194">
        <v>0</v>
      </c>
      <c r="U13" s="194">
        <v>530924593.80000001</v>
      </c>
      <c r="V13" s="194">
        <v>104988497.56</v>
      </c>
      <c r="W13" s="194">
        <v>32143765.300000001</v>
      </c>
      <c r="X13" s="195">
        <f t="shared" si="10"/>
        <v>668056.85665999993</v>
      </c>
      <c r="Y13" s="194">
        <v>0</v>
      </c>
      <c r="Z13" s="194">
        <v>380468256.54000002</v>
      </c>
      <c r="AA13" s="194">
        <v>62086645.5</v>
      </c>
      <c r="AB13" s="194">
        <v>15213134.060000001</v>
      </c>
      <c r="AC13" s="195">
        <f t="shared" si="11"/>
        <v>457768.03610000003</v>
      </c>
      <c r="AD13" s="195">
        <f t="shared" si="12"/>
        <v>580683.18035000004</v>
      </c>
      <c r="AE13" s="195">
        <f t="shared" si="13"/>
        <v>406408.19955999998</v>
      </c>
      <c r="AF13" s="195">
        <f t="shared" si="14"/>
        <v>69.987940638308515</v>
      </c>
      <c r="AG13" s="196">
        <v>580683</v>
      </c>
      <c r="AH13" s="196">
        <f t="shared" si="15"/>
        <v>-0.18035000003874302</v>
      </c>
      <c r="AI13" s="196">
        <v>406408</v>
      </c>
      <c r="AJ13" s="196">
        <f t="shared" si="16"/>
        <v>-0.19955999997910112</v>
      </c>
      <c r="AK13" s="195">
        <f t="shared" si="0"/>
        <v>612069.72786999994</v>
      </c>
      <c r="AL13" s="195">
        <f t="shared" si="17"/>
        <v>426177.10921000002</v>
      </c>
      <c r="AM13" s="195">
        <f t="shared" si="18"/>
        <v>69.628849427514496</v>
      </c>
      <c r="AN13" s="194">
        <v>0</v>
      </c>
      <c r="AO13" s="194">
        <v>404792866.50999999</v>
      </c>
      <c r="AP13" s="194">
        <v>30577819.190000001</v>
      </c>
      <c r="AQ13" s="194">
        <v>25409309.600000001</v>
      </c>
      <c r="AR13" s="197">
        <f t="shared" si="19"/>
        <v>0</v>
      </c>
      <c r="AS13" s="195">
        <f t="shared" si="20"/>
        <v>460779.99530000001</v>
      </c>
      <c r="AT13" s="194">
        <v>0</v>
      </c>
      <c r="AU13" s="194">
        <v>294869182.35000002</v>
      </c>
      <c r="AV13" s="194">
        <v>18835278.289999999</v>
      </c>
      <c r="AW13" s="194">
        <v>12755648.6</v>
      </c>
      <c r="AX13" s="197">
        <f t="shared" si="21"/>
        <v>0</v>
      </c>
      <c r="AY13" s="195">
        <f t="shared" si="22"/>
        <v>326460.10924000008</v>
      </c>
      <c r="AZ13" s="195">
        <f t="shared" si="23"/>
        <v>404792.86651000002</v>
      </c>
      <c r="BA13" s="195">
        <f t="shared" si="1"/>
        <v>294869.18235000008</v>
      </c>
      <c r="BB13" s="195">
        <f t="shared" si="24"/>
        <v>72.844461141885176</v>
      </c>
      <c r="BC13" s="194">
        <v>0</v>
      </c>
      <c r="BD13" s="194">
        <v>111390051.47</v>
      </c>
      <c r="BE13" s="194">
        <v>67535981.480000004</v>
      </c>
      <c r="BF13" s="194">
        <v>6357500</v>
      </c>
      <c r="BG13" s="195">
        <f t="shared" si="25"/>
        <v>185283.53294999999</v>
      </c>
      <c r="BH13" s="194">
        <v>0</v>
      </c>
      <c r="BI13" s="194">
        <v>76261286.840000004</v>
      </c>
      <c r="BJ13" s="194">
        <v>42227941.850000001</v>
      </c>
      <c r="BK13" s="194">
        <v>2123007.63</v>
      </c>
      <c r="BL13" s="195">
        <f t="shared" si="26"/>
        <v>120612.23632</v>
      </c>
      <c r="BM13" s="198"/>
      <c r="BN13" s="198"/>
      <c r="BO13" s="198"/>
      <c r="BP13" s="195">
        <f t="shared" si="27"/>
        <v>0</v>
      </c>
      <c r="BQ13" s="198"/>
      <c r="BR13" s="198"/>
      <c r="BS13" s="198"/>
      <c r="BT13" s="195">
        <f t="shared" si="28"/>
        <v>0</v>
      </c>
      <c r="BU13" s="195" t="e">
        <f t="shared" si="29"/>
        <v>#DIV/0!</v>
      </c>
      <c r="BV13" s="195">
        <v>15737.725960000002</v>
      </c>
      <c r="BW13" s="195">
        <v>9437.5511400000014</v>
      </c>
      <c r="BX13" s="198">
        <v>19141941.239999998</v>
      </c>
      <c r="BY13" s="195">
        <f t="shared" si="30"/>
        <v>19141.94124</v>
      </c>
      <c r="BZ13" s="198">
        <v>709857.54</v>
      </c>
      <c r="CA13" s="195">
        <f t="shared" si="31"/>
        <v>709.85754000000009</v>
      </c>
      <c r="CB13" s="195">
        <f t="shared" si="32"/>
        <v>3404.2152799999985</v>
      </c>
      <c r="CC13" s="195">
        <f t="shared" si="33"/>
        <v>-8727.6936000000005</v>
      </c>
      <c r="CD13" s="195">
        <f t="shared" si="2"/>
        <v>-31386.547519999905</v>
      </c>
      <c r="CE13" s="195">
        <f t="shared" si="3"/>
        <v>-19768.909650000045</v>
      </c>
      <c r="CF13" s="195">
        <v>30754.069829999997</v>
      </c>
      <c r="CG13" s="195">
        <v>30514.9</v>
      </c>
      <c r="CH13" s="195">
        <f t="shared" si="34"/>
        <v>-239.16982999999527</v>
      </c>
      <c r="CI13" s="194">
        <v>0</v>
      </c>
      <c r="CJ13" s="194">
        <v>395399647.39999998</v>
      </c>
      <c r="CK13" s="194">
        <v>30577819.190000001</v>
      </c>
      <c r="CL13" s="194">
        <v>25409309.600000001</v>
      </c>
      <c r="CM13" s="195">
        <f t="shared" si="35"/>
        <v>451386.77619</v>
      </c>
      <c r="CN13" s="194">
        <v>0</v>
      </c>
      <c r="CO13" s="194">
        <v>285475963.24000001</v>
      </c>
      <c r="CP13" s="194">
        <v>19155278.289999999</v>
      </c>
      <c r="CQ13" s="194">
        <v>12755648.6</v>
      </c>
      <c r="CR13" s="195">
        <f t="shared" si="36"/>
        <v>317386.89013000007</v>
      </c>
      <c r="CS13" s="199">
        <f t="shared" si="4"/>
        <v>395399.64740000002</v>
      </c>
      <c r="CT13" s="199">
        <f t="shared" si="5"/>
        <v>285795.96324000007</v>
      </c>
      <c r="CU13" s="195">
        <f t="shared" si="37"/>
        <v>72.280277718831385</v>
      </c>
      <c r="CV13" s="194">
        <v>93395900</v>
      </c>
      <c r="CW13" s="195">
        <f t="shared" si="38"/>
        <v>93395.9</v>
      </c>
      <c r="CX13" s="194">
        <v>71854463.959999993</v>
      </c>
      <c r="CY13" s="195">
        <f t="shared" si="38"/>
        <v>71854.463959999994</v>
      </c>
      <c r="DA13" s="195">
        <f t="shared" si="39"/>
        <v>0</v>
      </c>
      <c r="DC13" s="195">
        <f t="shared" si="40"/>
        <v>0</v>
      </c>
      <c r="DD13" s="195" t="e">
        <f t="shared" si="41"/>
        <v>#DIV/0!</v>
      </c>
    </row>
    <row r="14" spans="1:108" x14ac:dyDescent="0.3">
      <c r="A14" s="193" t="s">
        <v>164</v>
      </c>
      <c r="B14" s="194">
        <v>0</v>
      </c>
      <c r="C14" s="194">
        <v>581975773.80999994</v>
      </c>
      <c r="D14" s="194">
        <v>0</v>
      </c>
      <c r="E14" s="194">
        <v>62914308.590000004</v>
      </c>
      <c r="F14" s="195">
        <f t="shared" si="6"/>
        <v>644890.08239999996</v>
      </c>
      <c r="G14" s="194">
        <v>0</v>
      </c>
      <c r="H14" s="194">
        <v>375405399</v>
      </c>
      <c r="I14" s="194">
        <v>0</v>
      </c>
      <c r="J14" s="194">
        <v>45053238.530000001</v>
      </c>
      <c r="K14" s="195">
        <f t="shared" si="7"/>
        <v>420458.63752999995</v>
      </c>
      <c r="L14" s="194">
        <v>44412441.630000003</v>
      </c>
      <c r="M14" s="194">
        <v>0</v>
      </c>
      <c r="N14" s="194">
        <v>638523.81000000006</v>
      </c>
      <c r="O14" s="195">
        <f t="shared" si="8"/>
        <v>45050.965440000007</v>
      </c>
      <c r="P14" s="194">
        <v>37554783.450000003</v>
      </c>
      <c r="Q14" s="194">
        <v>0</v>
      </c>
      <c r="R14" s="194">
        <v>377192.22</v>
      </c>
      <c r="S14" s="195">
        <f t="shared" si="9"/>
        <v>37931.97567</v>
      </c>
      <c r="T14" s="194">
        <v>0</v>
      </c>
      <c r="U14" s="194">
        <v>587396926.83000004</v>
      </c>
      <c r="V14" s="194">
        <v>0</v>
      </c>
      <c r="W14" s="194">
        <v>65353687.200000003</v>
      </c>
      <c r="X14" s="195">
        <f t="shared" si="10"/>
        <v>652750.61403000006</v>
      </c>
      <c r="Y14" s="194">
        <v>0</v>
      </c>
      <c r="Z14" s="194">
        <v>375477878.23000002</v>
      </c>
      <c r="AA14" s="194">
        <v>0</v>
      </c>
      <c r="AB14" s="194">
        <v>47330346.920000002</v>
      </c>
      <c r="AC14" s="195">
        <f t="shared" si="11"/>
        <v>422808.22515000001</v>
      </c>
      <c r="AD14" s="195">
        <f t="shared" si="12"/>
        <v>599839.1169599999</v>
      </c>
      <c r="AE14" s="195">
        <f t="shared" si="13"/>
        <v>382526.66185999993</v>
      </c>
      <c r="AF14" s="195">
        <f t="shared" si="14"/>
        <v>63.771543242904023</v>
      </c>
      <c r="AG14" s="196">
        <v>599839</v>
      </c>
      <c r="AH14" s="196">
        <f t="shared" si="15"/>
        <v>-0.11695999989751726</v>
      </c>
      <c r="AI14" s="196">
        <v>382527</v>
      </c>
      <c r="AJ14" s="196">
        <f t="shared" si="16"/>
        <v>0.33814000006532297</v>
      </c>
      <c r="AK14" s="195">
        <f t="shared" si="0"/>
        <v>607699.64859</v>
      </c>
      <c r="AL14" s="195">
        <f t="shared" si="17"/>
        <v>384876.24948</v>
      </c>
      <c r="AM14" s="195">
        <f t="shared" si="18"/>
        <v>63.333301306492366</v>
      </c>
      <c r="AN14" s="194">
        <v>0</v>
      </c>
      <c r="AO14" s="194">
        <v>506537422.81</v>
      </c>
      <c r="AP14" s="194">
        <v>0</v>
      </c>
      <c r="AQ14" s="194">
        <v>44412441.630000003</v>
      </c>
      <c r="AR14" s="197">
        <f t="shared" si="19"/>
        <v>0</v>
      </c>
      <c r="AS14" s="195">
        <f t="shared" si="20"/>
        <v>550949.86444000003</v>
      </c>
      <c r="AT14" s="194">
        <v>0</v>
      </c>
      <c r="AU14" s="194">
        <v>321857418.63999999</v>
      </c>
      <c r="AV14" s="194">
        <v>0</v>
      </c>
      <c r="AW14" s="194">
        <v>37554783.450000003</v>
      </c>
      <c r="AX14" s="197">
        <f t="shared" si="21"/>
        <v>0</v>
      </c>
      <c r="AY14" s="195">
        <f t="shared" si="22"/>
        <v>359412.20208999998</v>
      </c>
      <c r="AZ14" s="195">
        <f t="shared" si="23"/>
        <v>505898.89900000003</v>
      </c>
      <c r="BA14" s="195">
        <f t="shared" si="1"/>
        <v>321480.22641999996</v>
      </c>
      <c r="BB14" s="195">
        <f t="shared" si="24"/>
        <v>63.546338419684901</v>
      </c>
      <c r="BC14" s="194">
        <v>0</v>
      </c>
      <c r="BD14" s="194">
        <v>74776500</v>
      </c>
      <c r="BE14" s="194">
        <v>0</v>
      </c>
      <c r="BF14" s="194">
        <v>18337166.960000001</v>
      </c>
      <c r="BG14" s="195">
        <f t="shared" si="25"/>
        <v>93113.666960000002</v>
      </c>
      <c r="BH14" s="194">
        <v>0</v>
      </c>
      <c r="BI14" s="194">
        <v>53036129.359999999</v>
      </c>
      <c r="BJ14" s="194">
        <v>0</v>
      </c>
      <c r="BK14" s="194">
        <v>7348755.0800000001</v>
      </c>
      <c r="BL14" s="195">
        <f t="shared" si="26"/>
        <v>60384.884439999994</v>
      </c>
      <c r="BM14" s="198"/>
      <c r="BN14" s="198"/>
      <c r="BO14" s="198"/>
      <c r="BP14" s="195">
        <f t="shared" si="27"/>
        <v>0</v>
      </c>
      <c r="BQ14" s="198"/>
      <c r="BR14" s="198"/>
      <c r="BS14" s="198"/>
      <c r="BT14" s="195">
        <f t="shared" si="28"/>
        <v>0</v>
      </c>
      <c r="BU14" s="195" t="e">
        <f t="shared" si="29"/>
        <v>#DIV/0!</v>
      </c>
      <c r="BV14" s="195">
        <v>14522.05084</v>
      </c>
      <c r="BW14" s="195">
        <v>18.548999999999999</v>
      </c>
      <c r="BX14" s="198">
        <v>15706849.369999999</v>
      </c>
      <c r="BY14" s="195">
        <f t="shared" si="30"/>
        <v>15706.84937</v>
      </c>
      <c r="BZ14" s="198">
        <v>1789412.17</v>
      </c>
      <c r="CA14" s="195">
        <f t="shared" si="31"/>
        <v>1789.4121699999998</v>
      </c>
      <c r="CB14" s="195">
        <f t="shared" si="32"/>
        <v>1184.79853</v>
      </c>
      <c r="CC14" s="195">
        <f t="shared" si="33"/>
        <v>1770.8631699999999</v>
      </c>
      <c r="CD14" s="195">
        <f t="shared" si="2"/>
        <v>-7860.5316300000995</v>
      </c>
      <c r="CE14" s="195">
        <f t="shared" si="3"/>
        <v>-2349.5876200000639</v>
      </c>
      <c r="CF14" s="195">
        <v>0</v>
      </c>
      <c r="CG14" s="195">
        <v>0</v>
      </c>
      <c r="CH14" s="195">
        <f t="shared" si="34"/>
        <v>0</v>
      </c>
      <c r="CI14" s="194">
        <v>0</v>
      </c>
      <c r="CJ14" s="194">
        <v>507199273.81</v>
      </c>
      <c r="CK14" s="194">
        <v>0</v>
      </c>
      <c r="CL14" s="194">
        <v>44577141.630000003</v>
      </c>
      <c r="CM14" s="195">
        <f t="shared" si="35"/>
        <v>551776.41544000001</v>
      </c>
      <c r="CN14" s="194">
        <v>0</v>
      </c>
      <c r="CO14" s="194">
        <v>322369269.63999999</v>
      </c>
      <c r="CP14" s="194">
        <v>0</v>
      </c>
      <c r="CQ14" s="194">
        <v>37704483.450000003</v>
      </c>
      <c r="CR14" s="195">
        <f t="shared" si="36"/>
        <v>360073.75308999995</v>
      </c>
      <c r="CS14" s="199">
        <f t="shared" si="4"/>
        <v>506725.45</v>
      </c>
      <c r="CT14" s="199">
        <f t="shared" si="5"/>
        <v>322141.77741999994</v>
      </c>
      <c r="CU14" s="195">
        <f t="shared" si="37"/>
        <v>63.573238214105871</v>
      </c>
      <c r="CV14" s="194">
        <v>43154000</v>
      </c>
      <c r="CW14" s="195">
        <f t="shared" si="38"/>
        <v>43154</v>
      </c>
      <c r="CX14" s="194">
        <v>29456361.030000001</v>
      </c>
      <c r="CY14" s="195">
        <f t="shared" si="38"/>
        <v>29456.36103</v>
      </c>
      <c r="DA14" s="195">
        <f t="shared" si="39"/>
        <v>0</v>
      </c>
      <c r="DC14" s="195">
        <f t="shared" si="40"/>
        <v>0</v>
      </c>
      <c r="DD14" s="195"/>
    </row>
    <row r="15" spans="1:108" x14ac:dyDescent="0.3">
      <c r="A15" s="193" t="s">
        <v>165</v>
      </c>
      <c r="B15" s="194">
        <v>0</v>
      </c>
      <c r="C15" s="194">
        <v>475389227.07999998</v>
      </c>
      <c r="D15" s="194">
        <v>27971919.809999999</v>
      </c>
      <c r="E15" s="194">
        <v>17844001.91</v>
      </c>
      <c r="F15" s="195">
        <f t="shared" si="6"/>
        <v>521205.14880000002</v>
      </c>
      <c r="G15" s="194">
        <v>0</v>
      </c>
      <c r="H15" s="194">
        <v>332766027.94</v>
      </c>
      <c r="I15" s="194">
        <v>20536290.82</v>
      </c>
      <c r="J15" s="194">
        <v>12004582.439999999</v>
      </c>
      <c r="K15" s="195">
        <f t="shared" si="7"/>
        <v>365306.90119999996</v>
      </c>
      <c r="L15" s="194">
        <v>14537526.879999999</v>
      </c>
      <c r="M15" s="194">
        <v>140000</v>
      </c>
      <c r="N15" s="194">
        <v>979500</v>
      </c>
      <c r="O15" s="195">
        <f t="shared" si="8"/>
        <v>15657.026879999999</v>
      </c>
      <c r="P15" s="194">
        <v>12071698.630000001</v>
      </c>
      <c r="Q15" s="194">
        <v>140000</v>
      </c>
      <c r="R15" s="194">
        <v>651500</v>
      </c>
      <c r="S15" s="195">
        <f t="shared" si="9"/>
        <v>12863.198630000001</v>
      </c>
      <c r="T15" s="194">
        <v>0</v>
      </c>
      <c r="U15" s="194">
        <v>610318429.05999994</v>
      </c>
      <c r="V15" s="194">
        <v>32915369.84</v>
      </c>
      <c r="W15" s="194">
        <v>18419197.190000001</v>
      </c>
      <c r="X15" s="195">
        <f t="shared" si="10"/>
        <v>661652.99609000003</v>
      </c>
      <c r="Y15" s="194">
        <v>0</v>
      </c>
      <c r="Z15" s="194">
        <v>454064463.79000002</v>
      </c>
      <c r="AA15" s="194">
        <v>22237421.59</v>
      </c>
      <c r="AB15" s="194">
        <v>12181281.82</v>
      </c>
      <c r="AC15" s="195">
        <f t="shared" si="11"/>
        <v>488483.16719999997</v>
      </c>
      <c r="AD15" s="195">
        <f t="shared" si="12"/>
        <v>505548.12192000001</v>
      </c>
      <c r="AE15" s="195">
        <f t="shared" si="13"/>
        <v>352443.70256999996</v>
      </c>
      <c r="AF15" s="200">
        <f t="shared" si="14"/>
        <v>69.715164054307792</v>
      </c>
      <c r="AG15" s="201">
        <v>505548</v>
      </c>
      <c r="AH15" s="196">
        <f t="shared" si="15"/>
        <v>-0.12192000000504777</v>
      </c>
      <c r="AI15" s="201">
        <v>352444</v>
      </c>
      <c r="AJ15" s="196">
        <f t="shared" si="16"/>
        <v>0.29743000003509223</v>
      </c>
      <c r="AK15" s="195">
        <f t="shared" si="0"/>
        <v>645995.96921000001</v>
      </c>
      <c r="AL15" s="195">
        <f t="shared" si="17"/>
        <v>475619.96856999997</v>
      </c>
      <c r="AM15" s="200">
        <f t="shared" si="18"/>
        <v>73.625841528337105</v>
      </c>
      <c r="AN15" s="194">
        <v>0</v>
      </c>
      <c r="AO15" s="194">
        <v>396491297.02999997</v>
      </c>
      <c r="AP15" s="194">
        <v>5127226.88</v>
      </c>
      <c r="AQ15" s="194">
        <v>9410300</v>
      </c>
      <c r="AR15" s="197">
        <f t="shared" si="19"/>
        <v>0</v>
      </c>
      <c r="AS15" s="195">
        <f t="shared" si="20"/>
        <v>411028.82390999998</v>
      </c>
      <c r="AT15" s="194">
        <v>0</v>
      </c>
      <c r="AU15" s="194">
        <v>277141433.19</v>
      </c>
      <c r="AV15" s="194">
        <v>4322100.59</v>
      </c>
      <c r="AW15" s="194">
        <v>7749598.04</v>
      </c>
      <c r="AX15" s="197">
        <f t="shared" si="21"/>
        <v>0</v>
      </c>
      <c r="AY15" s="195">
        <f t="shared" si="22"/>
        <v>289213.13182000001</v>
      </c>
      <c r="AZ15" s="195">
        <f t="shared" si="23"/>
        <v>395371.79702999996</v>
      </c>
      <c r="BA15" s="195">
        <f t="shared" si="1"/>
        <v>276349.93319000001</v>
      </c>
      <c r="BB15" s="195">
        <f t="shared" si="24"/>
        <v>69.896218006928592</v>
      </c>
      <c r="BC15" s="194">
        <v>0</v>
      </c>
      <c r="BD15" s="194">
        <v>91790336</v>
      </c>
      <c r="BE15" s="194">
        <v>22844692.93</v>
      </c>
      <c r="BF15" s="194">
        <v>8398701.9100000001</v>
      </c>
      <c r="BG15" s="195">
        <f t="shared" si="25"/>
        <v>123033.73084</v>
      </c>
      <c r="BH15" s="194">
        <v>0</v>
      </c>
      <c r="BI15" s="194">
        <v>68248129.640000001</v>
      </c>
      <c r="BJ15" s="194">
        <v>16214190.23</v>
      </c>
      <c r="BK15" s="194">
        <v>4219984.4000000004</v>
      </c>
      <c r="BL15" s="195">
        <f t="shared" si="26"/>
        <v>88682.304270000008</v>
      </c>
      <c r="BM15" s="198"/>
      <c r="BN15" s="198"/>
      <c r="BO15" s="198"/>
      <c r="BP15" s="195">
        <f t="shared" si="27"/>
        <v>0</v>
      </c>
      <c r="BQ15" s="198"/>
      <c r="BR15" s="198"/>
      <c r="BS15" s="198"/>
      <c r="BT15" s="195">
        <f t="shared" si="28"/>
        <v>0</v>
      </c>
      <c r="BU15" s="195" t="e">
        <f t="shared" si="29"/>
        <v>#DIV/0!</v>
      </c>
      <c r="BV15" s="195">
        <v>132140.10045999999</v>
      </c>
      <c r="BW15" s="195">
        <v>18481.705600000001</v>
      </c>
      <c r="BX15" s="198">
        <v>21732934.640000001</v>
      </c>
      <c r="BY15" s="195">
        <f t="shared" si="30"/>
        <v>21732.934639999999</v>
      </c>
      <c r="BZ15" s="198">
        <v>6232484.9699999997</v>
      </c>
      <c r="CA15" s="195">
        <f t="shared" si="31"/>
        <v>6232.4849699999995</v>
      </c>
      <c r="CB15" s="195">
        <f t="shared" si="32"/>
        <v>-110407.16581999999</v>
      </c>
      <c r="CC15" s="195">
        <f t="shared" si="33"/>
        <v>-12249.220630000002</v>
      </c>
      <c r="CD15" s="195">
        <f t="shared" si="2"/>
        <v>-140447.84729000001</v>
      </c>
      <c r="CE15" s="195">
        <f t="shared" si="3"/>
        <v>-123176.266</v>
      </c>
      <c r="CF15" s="195">
        <v>16144.1</v>
      </c>
      <c r="CG15" s="195">
        <v>16144.1</v>
      </c>
      <c r="CH15" s="195">
        <f t="shared" si="34"/>
        <v>0</v>
      </c>
      <c r="CI15" s="194">
        <v>0</v>
      </c>
      <c r="CJ15" s="194">
        <v>383598891.07999998</v>
      </c>
      <c r="CK15" s="194">
        <v>5127226.88</v>
      </c>
      <c r="CL15" s="194">
        <v>9445300</v>
      </c>
      <c r="CM15" s="195">
        <f t="shared" si="35"/>
        <v>398171.41795999999</v>
      </c>
      <c r="CN15" s="194">
        <v>0</v>
      </c>
      <c r="CO15" s="194">
        <v>264517898.30000001</v>
      </c>
      <c r="CP15" s="194">
        <v>4322100.59</v>
      </c>
      <c r="CQ15" s="194">
        <v>7784598.04</v>
      </c>
      <c r="CR15" s="195">
        <f t="shared" si="36"/>
        <v>276624.59693</v>
      </c>
      <c r="CS15" s="199">
        <f t="shared" si="4"/>
        <v>382514.39107999997</v>
      </c>
      <c r="CT15" s="199">
        <f t="shared" si="5"/>
        <v>263761.3983</v>
      </c>
      <c r="CU15" s="200">
        <f t="shared" si="37"/>
        <v>68.954633982603895</v>
      </c>
      <c r="CV15" s="194">
        <v>79451590</v>
      </c>
      <c r="CW15" s="195">
        <f t="shared" si="38"/>
        <v>79451.59</v>
      </c>
      <c r="CX15" s="194">
        <v>57318031.140000001</v>
      </c>
      <c r="CY15" s="195">
        <f t="shared" si="38"/>
        <v>57318.031139999999</v>
      </c>
      <c r="DA15" s="195">
        <f t="shared" si="39"/>
        <v>0</v>
      </c>
      <c r="DC15" s="195">
        <f t="shared" si="40"/>
        <v>0</v>
      </c>
      <c r="DD15" s="195" t="e">
        <f t="shared" si="41"/>
        <v>#DIV/0!</v>
      </c>
    </row>
    <row r="16" spans="1:108" x14ac:dyDescent="0.3">
      <c r="A16" s="193" t="s">
        <v>166</v>
      </c>
      <c r="B16" s="194">
        <v>0</v>
      </c>
      <c r="C16" s="194">
        <v>351351106.5</v>
      </c>
      <c r="D16" s="194">
        <v>0</v>
      </c>
      <c r="E16" s="194">
        <v>33669600</v>
      </c>
      <c r="F16" s="195">
        <f t="shared" si="6"/>
        <v>385020.70649999997</v>
      </c>
      <c r="G16" s="194">
        <v>0</v>
      </c>
      <c r="H16" s="194">
        <v>266016496.93000001</v>
      </c>
      <c r="I16" s="194">
        <v>0</v>
      </c>
      <c r="J16" s="194">
        <v>22988292.289999999</v>
      </c>
      <c r="K16" s="195">
        <f t="shared" si="7"/>
        <v>289004.78922000004</v>
      </c>
      <c r="L16" s="194">
        <v>27494900</v>
      </c>
      <c r="M16" s="194">
        <v>0</v>
      </c>
      <c r="N16" s="194">
        <v>3135000</v>
      </c>
      <c r="O16" s="195">
        <f t="shared" si="8"/>
        <v>30629.9</v>
      </c>
      <c r="P16" s="194">
        <v>19631281.59</v>
      </c>
      <c r="Q16" s="194">
        <v>0</v>
      </c>
      <c r="R16" s="194">
        <v>2284000</v>
      </c>
      <c r="S16" s="195">
        <f t="shared" si="9"/>
        <v>21915.281589999999</v>
      </c>
      <c r="T16" s="194">
        <v>0</v>
      </c>
      <c r="U16" s="194">
        <v>360743516.10000002</v>
      </c>
      <c r="V16" s="194">
        <v>0</v>
      </c>
      <c r="W16" s="194">
        <v>34876467.439999998</v>
      </c>
      <c r="X16" s="195">
        <f t="shared" si="10"/>
        <v>395619.98354000004</v>
      </c>
      <c r="Y16" s="194">
        <v>0</v>
      </c>
      <c r="Z16" s="194">
        <v>275493522.98000002</v>
      </c>
      <c r="AA16" s="194">
        <v>0</v>
      </c>
      <c r="AB16" s="194">
        <v>22650389.829999998</v>
      </c>
      <c r="AC16" s="195">
        <f t="shared" si="11"/>
        <v>298143.91281000001</v>
      </c>
      <c r="AD16" s="195">
        <f t="shared" si="12"/>
        <v>354390.80649999995</v>
      </c>
      <c r="AE16" s="195">
        <f t="shared" si="13"/>
        <v>267089.50763000001</v>
      </c>
      <c r="AF16" s="200">
        <f t="shared" si="14"/>
        <v>75.365811621301191</v>
      </c>
      <c r="AG16" s="201">
        <v>354391</v>
      </c>
      <c r="AH16" s="196">
        <f t="shared" si="15"/>
        <v>0.19350000005215406</v>
      </c>
      <c r="AI16" s="201">
        <v>267090</v>
      </c>
      <c r="AJ16" s="196">
        <f t="shared" si="16"/>
        <v>0.49236999999266118</v>
      </c>
      <c r="AK16" s="195">
        <f t="shared" si="0"/>
        <v>364990.08354000002</v>
      </c>
      <c r="AL16" s="195">
        <f t="shared" si="17"/>
        <v>276228.63121999998</v>
      </c>
      <c r="AM16" s="200">
        <f t="shared" si="18"/>
        <v>75.681133180629971</v>
      </c>
      <c r="AN16" s="194">
        <v>0</v>
      </c>
      <c r="AO16" s="194">
        <v>301692687</v>
      </c>
      <c r="AP16" s="194">
        <v>0</v>
      </c>
      <c r="AQ16" s="194">
        <v>27494900</v>
      </c>
      <c r="AR16" s="197">
        <f t="shared" si="19"/>
        <v>0</v>
      </c>
      <c r="AS16" s="195">
        <f t="shared" si="20"/>
        <v>329187.587</v>
      </c>
      <c r="AT16" s="194">
        <v>0</v>
      </c>
      <c r="AU16" s="194">
        <v>230213827.09</v>
      </c>
      <c r="AV16" s="194">
        <v>0</v>
      </c>
      <c r="AW16" s="194">
        <v>19631281.59</v>
      </c>
      <c r="AX16" s="197">
        <f t="shared" si="21"/>
        <v>0</v>
      </c>
      <c r="AY16" s="195">
        <f t="shared" si="22"/>
        <v>249845.10868</v>
      </c>
      <c r="AZ16" s="195">
        <f t="shared" si="23"/>
        <v>298557.68699999998</v>
      </c>
      <c r="BA16" s="195">
        <f t="shared" si="1"/>
        <v>227929.82709000001</v>
      </c>
      <c r="BB16" s="195">
        <f t="shared" si="24"/>
        <v>76.343647145819432</v>
      </c>
      <c r="BC16" s="194">
        <v>0</v>
      </c>
      <c r="BD16" s="194">
        <v>49640900</v>
      </c>
      <c r="BE16" s="194">
        <v>0</v>
      </c>
      <c r="BF16" s="194">
        <v>6174700</v>
      </c>
      <c r="BG16" s="195">
        <f t="shared" si="25"/>
        <v>55815.6</v>
      </c>
      <c r="BH16" s="194">
        <v>0</v>
      </c>
      <c r="BI16" s="194">
        <v>35785150.340000004</v>
      </c>
      <c r="BJ16" s="194">
        <v>0</v>
      </c>
      <c r="BK16" s="194">
        <v>3357010.7</v>
      </c>
      <c r="BL16" s="195">
        <f t="shared" si="26"/>
        <v>39142.161040000006</v>
      </c>
      <c r="BM16" s="198"/>
      <c r="BN16" s="198"/>
      <c r="BO16" s="198"/>
      <c r="BP16" s="195">
        <f t="shared" si="27"/>
        <v>0</v>
      </c>
      <c r="BQ16" s="198"/>
      <c r="BR16" s="198"/>
      <c r="BS16" s="198"/>
      <c r="BT16" s="195">
        <f t="shared" si="28"/>
        <v>0</v>
      </c>
      <c r="BU16" s="195" t="e">
        <f t="shared" si="29"/>
        <v>#DIV/0!</v>
      </c>
      <c r="BV16" s="195">
        <v>8299.2770400000009</v>
      </c>
      <c r="BW16" s="195">
        <v>5647.6805000000004</v>
      </c>
      <c r="BX16" s="198">
        <v>15597944.09</v>
      </c>
      <c r="BY16" s="195">
        <f t="shared" si="30"/>
        <v>15597.944089999999</v>
      </c>
      <c r="BZ16" s="198">
        <v>717495.95</v>
      </c>
      <c r="CA16" s="195">
        <f t="shared" si="31"/>
        <v>717.49594999999999</v>
      </c>
      <c r="CB16" s="195">
        <f t="shared" si="32"/>
        <v>7298.6670499999982</v>
      </c>
      <c r="CC16" s="195">
        <f t="shared" si="33"/>
        <v>-4930.1845499999999</v>
      </c>
      <c r="CD16" s="195">
        <f t="shared" si="2"/>
        <v>-10599.277040000074</v>
      </c>
      <c r="CE16" s="195">
        <f t="shared" si="3"/>
        <v>-9139.1235899999738</v>
      </c>
      <c r="CF16" s="195">
        <v>2000</v>
      </c>
      <c r="CG16" s="195">
        <v>4800</v>
      </c>
      <c r="CH16" s="195">
        <f t="shared" si="34"/>
        <v>2800</v>
      </c>
      <c r="CI16" s="194">
        <v>0</v>
      </c>
      <c r="CJ16" s="194">
        <v>301710206.5</v>
      </c>
      <c r="CK16" s="194">
        <v>0</v>
      </c>
      <c r="CL16" s="194">
        <v>27494900</v>
      </c>
      <c r="CM16" s="195">
        <f t="shared" si="35"/>
        <v>329205.10649999999</v>
      </c>
      <c r="CN16" s="194">
        <v>0</v>
      </c>
      <c r="CO16" s="194">
        <v>230231346.59</v>
      </c>
      <c r="CP16" s="194">
        <v>0</v>
      </c>
      <c r="CQ16" s="194">
        <v>19631281.59</v>
      </c>
      <c r="CR16" s="195">
        <f t="shared" si="36"/>
        <v>249862.62818</v>
      </c>
      <c r="CS16" s="199">
        <f t="shared" si="4"/>
        <v>298575.20649999997</v>
      </c>
      <c r="CT16" s="199">
        <f t="shared" si="5"/>
        <v>227947.34659</v>
      </c>
      <c r="CU16" s="200">
        <f t="shared" si="37"/>
        <v>76.345035229842509</v>
      </c>
      <c r="CV16" s="194">
        <v>30447300</v>
      </c>
      <c r="CW16" s="195">
        <f t="shared" si="38"/>
        <v>30447.3</v>
      </c>
      <c r="CX16" s="194">
        <v>21947391.57</v>
      </c>
      <c r="CY16" s="195">
        <f t="shared" si="38"/>
        <v>21947.39157</v>
      </c>
      <c r="DA16" s="195">
        <f t="shared" si="39"/>
        <v>0</v>
      </c>
      <c r="DC16" s="195">
        <f t="shared" si="40"/>
        <v>0</v>
      </c>
      <c r="DD16" s="195" t="e">
        <f t="shared" si="41"/>
        <v>#DIV/0!</v>
      </c>
    </row>
    <row r="17" spans="1:108" x14ac:dyDescent="0.3">
      <c r="A17" s="193" t="s">
        <v>167</v>
      </c>
      <c r="B17" s="194">
        <v>0</v>
      </c>
      <c r="C17" s="194">
        <v>507568820.35000002</v>
      </c>
      <c r="D17" s="194">
        <v>40630904.200000003</v>
      </c>
      <c r="E17" s="194">
        <v>47352778.479999997</v>
      </c>
      <c r="F17" s="195">
        <f t="shared" si="6"/>
        <v>595552.50303000014</v>
      </c>
      <c r="G17" s="194">
        <v>0</v>
      </c>
      <c r="H17" s="194">
        <v>367058883.60000002</v>
      </c>
      <c r="I17" s="194">
        <v>25563199.25</v>
      </c>
      <c r="J17" s="194">
        <v>38437211.439999998</v>
      </c>
      <c r="K17" s="195">
        <f t="shared" si="7"/>
        <v>431059.29429000005</v>
      </c>
      <c r="L17" s="194">
        <v>58543810.950000003</v>
      </c>
      <c r="M17" s="194">
        <v>2041640</v>
      </c>
      <c r="N17" s="194">
        <v>4061400</v>
      </c>
      <c r="O17" s="195">
        <f t="shared" si="8"/>
        <v>64646.85095</v>
      </c>
      <c r="P17" s="194">
        <v>42360498.740000002</v>
      </c>
      <c r="Q17" s="194">
        <v>289540</v>
      </c>
      <c r="R17" s="194">
        <v>2630602.5</v>
      </c>
      <c r="S17" s="195">
        <f t="shared" si="9"/>
        <v>45280.641240000004</v>
      </c>
      <c r="T17" s="194">
        <v>0</v>
      </c>
      <c r="U17" s="194">
        <v>512981206.51999998</v>
      </c>
      <c r="V17" s="194">
        <v>41097848.539999999</v>
      </c>
      <c r="W17" s="194">
        <v>51306963.350000001</v>
      </c>
      <c r="X17" s="195">
        <f t="shared" si="10"/>
        <v>605386.01841000002</v>
      </c>
      <c r="Y17" s="194">
        <v>0</v>
      </c>
      <c r="Z17" s="194">
        <v>355072440.18000001</v>
      </c>
      <c r="AA17" s="194">
        <v>24000421.579999998</v>
      </c>
      <c r="AB17" s="194">
        <v>36177705.380000003</v>
      </c>
      <c r="AC17" s="195">
        <f t="shared" si="11"/>
        <v>415250.56714</v>
      </c>
      <c r="AD17" s="195">
        <f t="shared" si="12"/>
        <v>530905.65208000015</v>
      </c>
      <c r="AE17" s="195">
        <f t="shared" si="13"/>
        <v>385778.65305000002</v>
      </c>
      <c r="AF17" s="195">
        <f t="shared" si="14"/>
        <v>72.664258053871407</v>
      </c>
      <c r="AG17" s="196">
        <v>530946</v>
      </c>
      <c r="AH17" s="196">
        <f t="shared" si="15"/>
        <v>40.347919999854639</v>
      </c>
      <c r="AI17" s="196">
        <v>385779</v>
      </c>
      <c r="AJ17" s="196">
        <f t="shared" si="16"/>
        <v>0.34694999997736886</v>
      </c>
      <c r="AK17" s="195">
        <f t="shared" si="0"/>
        <v>540739.16746000003</v>
      </c>
      <c r="AL17" s="195">
        <f t="shared" si="17"/>
        <v>369969.92589999997</v>
      </c>
      <c r="AM17" s="195">
        <f t="shared" si="18"/>
        <v>68.419294950992736</v>
      </c>
      <c r="AN17" s="194">
        <v>0</v>
      </c>
      <c r="AO17" s="194">
        <v>364298971</v>
      </c>
      <c r="AP17" s="194">
        <v>20151441.949999999</v>
      </c>
      <c r="AQ17" s="194">
        <v>38352369</v>
      </c>
      <c r="AR17" s="197">
        <f t="shared" si="19"/>
        <v>40000</v>
      </c>
      <c r="AS17" s="195">
        <f t="shared" si="20"/>
        <v>422802.78194999998</v>
      </c>
      <c r="AT17" s="194">
        <v>0</v>
      </c>
      <c r="AU17" s="194">
        <v>249947552.78</v>
      </c>
      <c r="AV17" s="194">
        <v>13302832.74</v>
      </c>
      <c r="AW17" s="194">
        <v>29057666</v>
      </c>
      <c r="AX17" s="197">
        <f t="shared" si="21"/>
        <v>0</v>
      </c>
      <c r="AY17" s="195">
        <f t="shared" si="22"/>
        <v>292308.05151999998</v>
      </c>
      <c r="AZ17" s="195">
        <f t="shared" si="23"/>
        <v>358155.93099999998</v>
      </c>
      <c r="BA17" s="195">
        <f t="shared" si="1"/>
        <v>247027.41027999998</v>
      </c>
      <c r="BB17" s="195">
        <f t="shared" si="24"/>
        <v>68.972028353761928</v>
      </c>
      <c r="BC17" s="194">
        <v>0</v>
      </c>
      <c r="BD17" s="194">
        <v>141342143.93000001</v>
      </c>
      <c r="BE17" s="194">
        <v>20326647</v>
      </c>
      <c r="BF17" s="194">
        <v>9000409.4800000004</v>
      </c>
      <c r="BG17" s="195">
        <f t="shared" si="25"/>
        <v>170669.20040999999</v>
      </c>
      <c r="BH17" s="194">
        <v>0</v>
      </c>
      <c r="BI17" s="194">
        <v>115183625.40000001</v>
      </c>
      <c r="BJ17" s="194">
        <v>12107551.26</v>
      </c>
      <c r="BK17" s="194">
        <v>9379545.4399999995</v>
      </c>
      <c r="BL17" s="195">
        <f t="shared" si="26"/>
        <v>136670.72210000001</v>
      </c>
      <c r="BM17" s="198"/>
      <c r="BN17" s="198"/>
      <c r="BO17" s="198"/>
      <c r="BP17" s="195">
        <f t="shared" si="27"/>
        <v>0</v>
      </c>
      <c r="BQ17" s="198"/>
      <c r="BR17" s="198"/>
      <c r="BS17" s="198"/>
      <c r="BT17" s="195">
        <f t="shared" si="28"/>
        <v>0</v>
      </c>
      <c r="BU17" s="195" t="e">
        <f t="shared" si="29"/>
        <v>#DIV/0!</v>
      </c>
      <c r="BV17" s="195">
        <v>13195.60908</v>
      </c>
      <c r="BW17" s="195">
        <v>1435.4765500000001</v>
      </c>
      <c r="BX17" s="198">
        <v>29534722.66</v>
      </c>
      <c r="BY17" s="195">
        <f t="shared" si="30"/>
        <v>29534.722659999999</v>
      </c>
      <c r="BZ17" s="198">
        <v>1637825.34</v>
      </c>
      <c r="CA17" s="195">
        <f t="shared" si="31"/>
        <v>1637.8253400000001</v>
      </c>
      <c r="CB17" s="195">
        <f t="shared" si="32"/>
        <v>16339.113579999999</v>
      </c>
      <c r="CC17" s="195">
        <f t="shared" si="33"/>
        <v>202.34879000000001</v>
      </c>
      <c r="CD17" s="195">
        <f t="shared" si="2"/>
        <v>-9833.5153799998807</v>
      </c>
      <c r="CE17" s="195">
        <f t="shared" si="3"/>
        <v>15808.72715000005</v>
      </c>
      <c r="CF17" s="195">
        <v>11000</v>
      </c>
      <c r="CG17" s="195">
        <v>7000</v>
      </c>
      <c r="CH17" s="195">
        <f t="shared" si="34"/>
        <v>-4000</v>
      </c>
      <c r="CI17" s="194">
        <v>0</v>
      </c>
      <c r="CJ17" s="194">
        <v>366226676.42000002</v>
      </c>
      <c r="CK17" s="194">
        <v>20304257.199999999</v>
      </c>
      <c r="CL17" s="194">
        <v>38352369</v>
      </c>
      <c r="CM17" s="195">
        <f t="shared" si="35"/>
        <v>424883.30262000003</v>
      </c>
      <c r="CN17" s="194">
        <v>0</v>
      </c>
      <c r="CO17" s="194">
        <v>251875258.19999999</v>
      </c>
      <c r="CP17" s="194">
        <v>13455647.99</v>
      </c>
      <c r="CQ17" s="194">
        <v>29057666</v>
      </c>
      <c r="CR17" s="195">
        <f t="shared" si="36"/>
        <v>294388.57218999998</v>
      </c>
      <c r="CS17" s="199">
        <f t="shared" si="4"/>
        <v>360236.45167000004</v>
      </c>
      <c r="CT17" s="199">
        <f t="shared" si="5"/>
        <v>249107.93094999998</v>
      </c>
      <c r="CU17" s="195">
        <f t="shared" si="37"/>
        <v>69.151228254435225</v>
      </c>
      <c r="CV17" s="194">
        <v>98723600</v>
      </c>
      <c r="CW17" s="195">
        <f t="shared" si="38"/>
        <v>98723.6</v>
      </c>
      <c r="CX17" s="194">
        <v>71216337.510000005</v>
      </c>
      <c r="CY17" s="195">
        <f t="shared" si="38"/>
        <v>71216.337510000012</v>
      </c>
      <c r="DA17" s="195">
        <f t="shared" si="39"/>
        <v>0</v>
      </c>
      <c r="DC17" s="195">
        <f t="shared" si="40"/>
        <v>0</v>
      </c>
      <c r="DD17" s="195" t="e">
        <f t="shared" si="41"/>
        <v>#DIV/0!</v>
      </c>
    </row>
    <row r="18" spans="1:108" x14ac:dyDescent="0.3">
      <c r="A18" s="193" t="s">
        <v>168</v>
      </c>
      <c r="B18" s="194">
        <v>0</v>
      </c>
      <c r="C18" s="194">
        <v>672712552.59000003</v>
      </c>
      <c r="D18" s="194">
        <v>127318749.51000001</v>
      </c>
      <c r="E18" s="194">
        <v>8188902.1699999999</v>
      </c>
      <c r="F18" s="195">
        <f t="shared" si="6"/>
        <v>808220.20426999999</v>
      </c>
      <c r="G18" s="194">
        <v>0</v>
      </c>
      <c r="H18" s="194">
        <v>432275885.13999999</v>
      </c>
      <c r="I18" s="194">
        <v>59750847.310000002</v>
      </c>
      <c r="J18" s="194">
        <v>4479022.93</v>
      </c>
      <c r="K18" s="195">
        <f t="shared" si="7"/>
        <v>496505.75537999999</v>
      </c>
      <c r="L18" s="194">
        <v>44464549.509999998</v>
      </c>
      <c r="M18" s="194">
        <v>36294944.75</v>
      </c>
      <c r="N18" s="194">
        <v>95000</v>
      </c>
      <c r="O18" s="195">
        <f t="shared" si="8"/>
        <v>80854.494259999992</v>
      </c>
      <c r="P18" s="194">
        <v>18030949.66</v>
      </c>
      <c r="Q18" s="194">
        <v>25800912.739999998</v>
      </c>
      <c r="R18" s="194">
        <v>35000</v>
      </c>
      <c r="S18" s="195">
        <f t="shared" si="9"/>
        <v>43866.862399999998</v>
      </c>
      <c r="T18" s="194">
        <v>0</v>
      </c>
      <c r="U18" s="194">
        <v>739755563.78999996</v>
      </c>
      <c r="V18" s="194">
        <v>136391378.93000001</v>
      </c>
      <c r="W18" s="194">
        <v>15013329.029999999</v>
      </c>
      <c r="X18" s="195">
        <f t="shared" si="10"/>
        <v>891160.27174999996</v>
      </c>
      <c r="Y18" s="194">
        <v>0</v>
      </c>
      <c r="Z18" s="194">
        <v>484457676.44</v>
      </c>
      <c r="AA18" s="194">
        <v>66628825.590000004</v>
      </c>
      <c r="AB18" s="194">
        <v>11007589.52</v>
      </c>
      <c r="AC18" s="195">
        <f t="shared" si="11"/>
        <v>562094.0915499999</v>
      </c>
      <c r="AD18" s="195">
        <f t="shared" si="12"/>
        <v>727365.71001000004</v>
      </c>
      <c r="AE18" s="195">
        <f t="shared" si="13"/>
        <v>452638.89298</v>
      </c>
      <c r="AF18" s="195">
        <f t="shared" si="14"/>
        <v>62.229891614464066</v>
      </c>
      <c r="AG18" s="196">
        <v>727366</v>
      </c>
      <c r="AH18" s="196">
        <f t="shared" si="15"/>
        <v>0.28998999996110797</v>
      </c>
      <c r="AI18" s="196">
        <v>452639</v>
      </c>
      <c r="AJ18" s="196">
        <f t="shared" si="16"/>
        <v>0.10701999999582767</v>
      </c>
      <c r="AK18" s="195">
        <f t="shared" si="0"/>
        <v>810305.77749000001</v>
      </c>
      <c r="AL18" s="195">
        <f t="shared" si="17"/>
        <v>518227.22914999991</v>
      </c>
      <c r="AM18" s="195">
        <f t="shared" si="18"/>
        <v>63.954527234799997</v>
      </c>
      <c r="AN18" s="194">
        <v>0</v>
      </c>
      <c r="AO18" s="194">
        <v>529684170.13999999</v>
      </c>
      <c r="AP18" s="194">
        <v>40516749.509999998</v>
      </c>
      <c r="AQ18" s="194">
        <v>3947800</v>
      </c>
      <c r="AR18" s="197">
        <f t="shared" si="19"/>
        <v>0</v>
      </c>
      <c r="AS18" s="195">
        <f t="shared" si="20"/>
        <v>574148.71964999998</v>
      </c>
      <c r="AT18" s="194">
        <v>0</v>
      </c>
      <c r="AU18" s="194">
        <v>349658728.58999997</v>
      </c>
      <c r="AV18" s="194">
        <v>14510160.109999999</v>
      </c>
      <c r="AW18" s="194">
        <v>3520789.55</v>
      </c>
      <c r="AX18" s="197">
        <f t="shared" si="21"/>
        <v>0</v>
      </c>
      <c r="AY18" s="195">
        <f t="shared" si="22"/>
        <v>367689.67825</v>
      </c>
      <c r="AZ18" s="195">
        <f t="shared" si="23"/>
        <v>493294.22538999998</v>
      </c>
      <c r="BA18" s="195">
        <f t="shared" si="1"/>
        <v>323822.81585000001</v>
      </c>
      <c r="BB18" s="195">
        <f t="shared" si="24"/>
        <v>65.644963833498082</v>
      </c>
      <c r="BC18" s="194">
        <v>0</v>
      </c>
      <c r="BD18" s="194">
        <v>180262000</v>
      </c>
      <c r="BE18" s="194">
        <v>86652000</v>
      </c>
      <c r="BF18" s="194">
        <v>5803300</v>
      </c>
      <c r="BG18" s="195">
        <f t="shared" si="25"/>
        <v>272717.3</v>
      </c>
      <c r="BH18" s="194">
        <v>0</v>
      </c>
      <c r="BI18" s="194">
        <v>119850774.09999999</v>
      </c>
      <c r="BJ18" s="194">
        <v>45090687.200000003</v>
      </c>
      <c r="BK18" s="194">
        <v>2520431.21</v>
      </c>
      <c r="BL18" s="195">
        <f t="shared" si="26"/>
        <v>167461.89251000003</v>
      </c>
      <c r="BM18" s="198"/>
      <c r="BN18" s="198"/>
      <c r="BO18" s="198"/>
      <c r="BP18" s="195">
        <f t="shared" si="27"/>
        <v>0</v>
      </c>
      <c r="BQ18" s="198"/>
      <c r="BR18" s="198"/>
      <c r="BS18" s="198"/>
      <c r="BT18" s="195">
        <f t="shared" si="28"/>
        <v>0</v>
      </c>
      <c r="BU18" s="195" t="e">
        <f t="shared" si="29"/>
        <v>#DIV/0!</v>
      </c>
      <c r="BV18" s="195">
        <v>56842.208039999998</v>
      </c>
      <c r="BW18" s="195">
        <v>54133.320030000003</v>
      </c>
      <c r="BX18" s="198">
        <v>8746303.5899999999</v>
      </c>
      <c r="BY18" s="195">
        <f t="shared" si="30"/>
        <v>8746.3035899999995</v>
      </c>
      <c r="BZ18" s="198">
        <v>5517927.6399999997</v>
      </c>
      <c r="CA18" s="195">
        <f t="shared" si="31"/>
        <v>5517.9276399999999</v>
      </c>
      <c r="CB18" s="195">
        <f t="shared" si="32"/>
        <v>-48095.904450000002</v>
      </c>
      <c r="CC18" s="195">
        <f t="shared" si="33"/>
        <v>-48615.392390000001</v>
      </c>
      <c r="CD18" s="195">
        <f t="shared" si="2"/>
        <v>-82940.067479999969</v>
      </c>
      <c r="CE18" s="195">
        <f t="shared" si="3"/>
        <v>-65588.336169999908</v>
      </c>
      <c r="CF18" s="195">
        <v>80000</v>
      </c>
      <c r="CG18" s="195">
        <v>93079</v>
      </c>
      <c r="CH18" s="195">
        <f t="shared" si="34"/>
        <v>13079</v>
      </c>
      <c r="CI18" s="194">
        <v>0</v>
      </c>
      <c r="CJ18" s="194">
        <v>492450552.58999997</v>
      </c>
      <c r="CK18" s="194">
        <v>40666749.509999998</v>
      </c>
      <c r="CL18" s="194">
        <v>2385602.17</v>
      </c>
      <c r="CM18" s="195">
        <f t="shared" si="35"/>
        <v>535502.90426999994</v>
      </c>
      <c r="CN18" s="194">
        <v>0</v>
      </c>
      <c r="CO18" s="194">
        <v>312425111.04000002</v>
      </c>
      <c r="CP18" s="194">
        <v>14660160.109999999</v>
      </c>
      <c r="CQ18" s="194">
        <v>1958591.72</v>
      </c>
      <c r="CR18" s="195">
        <f t="shared" si="36"/>
        <v>329043.86287000007</v>
      </c>
      <c r="CS18" s="199">
        <f t="shared" si="4"/>
        <v>454648.41000999993</v>
      </c>
      <c r="CT18" s="199">
        <f t="shared" si="5"/>
        <v>285177.00047000009</v>
      </c>
      <c r="CU18" s="200">
        <f t="shared" si="37"/>
        <v>62.72473282458585</v>
      </c>
      <c r="CV18" s="194">
        <v>149532000</v>
      </c>
      <c r="CW18" s="195">
        <f t="shared" si="38"/>
        <v>149532</v>
      </c>
      <c r="CX18" s="194">
        <v>107919201.95</v>
      </c>
      <c r="CY18" s="195">
        <f t="shared" si="38"/>
        <v>107919.20195</v>
      </c>
      <c r="DA18" s="195">
        <f t="shared" si="39"/>
        <v>0</v>
      </c>
      <c r="DC18" s="195">
        <f t="shared" si="40"/>
        <v>0</v>
      </c>
      <c r="DD18" s="195" t="e">
        <f t="shared" si="41"/>
        <v>#DIV/0!</v>
      </c>
    </row>
    <row r="19" spans="1:108" x14ac:dyDescent="0.3">
      <c r="A19" s="193" t="s">
        <v>169</v>
      </c>
      <c r="B19" s="194">
        <v>0</v>
      </c>
      <c r="C19" s="194">
        <v>823780092.5</v>
      </c>
      <c r="D19" s="194">
        <v>87780227.780000001</v>
      </c>
      <c r="E19" s="194">
        <v>14814402.08</v>
      </c>
      <c r="F19" s="195">
        <f t="shared" si="6"/>
        <v>926374.72236000001</v>
      </c>
      <c r="G19" s="194">
        <v>0</v>
      </c>
      <c r="H19" s="194">
        <v>567206395.70000005</v>
      </c>
      <c r="I19" s="194">
        <v>-25414529.510000002</v>
      </c>
      <c r="J19" s="194">
        <v>8822595.6400000006</v>
      </c>
      <c r="K19" s="195">
        <f t="shared" si="7"/>
        <v>550614.46183000004</v>
      </c>
      <c r="L19" s="194">
        <v>168138782.84999999</v>
      </c>
      <c r="M19" s="194">
        <v>0</v>
      </c>
      <c r="N19" s="194">
        <v>12219839.810000001</v>
      </c>
      <c r="O19" s="195">
        <f t="shared" si="8"/>
        <v>180358.62265999999</v>
      </c>
      <c r="P19" s="194">
        <v>61677781</v>
      </c>
      <c r="Q19" s="194">
        <v>0</v>
      </c>
      <c r="R19" s="194">
        <v>8864473.1199999992</v>
      </c>
      <c r="S19" s="195">
        <f t="shared" si="9"/>
        <v>70542.254119999998</v>
      </c>
      <c r="T19" s="194">
        <v>0</v>
      </c>
      <c r="U19" s="194">
        <v>842863477.41999996</v>
      </c>
      <c r="V19" s="194">
        <v>216409756.69</v>
      </c>
      <c r="W19" s="194">
        <v>44813775.18</v>
      </c>
      <c r="X19" s="195">
        <f t="shared" si="10"/>
        <v>1104087.00929</v>
      </c>
      <c r="Y19" s="194">
        <v>0</v>
      </c>
      <c r="Z19" s="194">
        <v>568580474.20000005</v>
      </c>
      <c r="AA19" s="194">
        <v>85715708.170000002</v>
      </c>
      <c r="AB19" s="194">
        <v>34308337.390000001</v>
      </c>
      <c r="AC19" s="195">
        <f t="shared" si="11"/>
        <v>688604.51975999994</v>
      </c>
      <c r="AD19" s="195">
        <f t="shared" si="12"/>
        <v>746016.09970000002</v>
      </c>
      <c r="AE19" s="195">
        <f t="shared" si="13"/>
        <v>480072.20771000005</v>
      </c>
      <c r="AF19" s="195">
        <f t="shared" si="14"/>
        <v>64.351454064202429</v>
      </c>
      <c r="AG19" s="196">
        <v>746016</v>
      </c>
      <c r="AH19" s="196">
        <f t="shared" si="15"/>
        <v>-9.9700000020675361E-2</v>
      </c>
      <c r="AI19" s="196">
        <v>480072</v>
      </c>
      <c r="AJ19" s="196">
        <f t="shared" si="16"/>
        <v>-0.20771000004606321</v>
      </c>
      <c r="AK19" s="195">
        <f t="shared" si="0"/>
        <v>923728.38662999996</v>
      </c>
      <c r="AL19" s="195">
        <f t="shared" si="17"/>
        <v>618062.26563999988</v>
      </c>
      <c r="AM19" s="195">
        <f t="shared" si="18"/>
        <v>66.909523901809578</v>
      </c>
      <c r="AN19" s="194">
        <v>0</v>
      </c>
      <c r="AO19" s="194">
        <v>648747719.41999996</v>
      </c>
      <c r="AP19" s="194">
        <v>139349957.38999999</v>
      </c>
      <c r="AQ19" s="194">
        <v>28788825.460000001</v>
      </c>
      <c r="AR19" s="197">
        <f t="shared" si="19"/>
        <v>0</v>
      </c>
      <c r="AS19" s="195">
        <f t="shared" si="20"/>
        <v>816886.50226999994</v>
      </c>
      <c r="AT19" s="194">
        <v>0</v>
      </c>
      <c r="AU19" s="194">
        <v>441289121.44999999</v>
      </c>
      <c r="AV19" s="194">
        <v>39056083.409999996</v>
      </c>
      <c r="AW19" s="194">
        <v>22621697.59</v>
      </c>
      <c r="AX19" s="197">
        <f t="shared" si="21"/>
        <v>0</v>
      </c>
      <c r="AY19" s="195">
        <f t="shared" si="22"/>
        <v>502966.90244999999</v>
      </c>
      <c r="AZ19" s="195">
        <f t="shared" si="23"/>
        <v>636527.87960999995</v>
      </c>
      <c r="BA19" s="195">
        <f t="shared" si="1"/>
        <v>432424.64833</v>
      </c>
      <c r="BB19" s="195">
        <f t="shared" si="24"/>
        <v>67.934910972783499</v>
      </c>
      <c r="BC19" s="194">
        <v>0</v>
      </c>
      <c r="BD19" s="194">
        <v>174770000</v>
      </c>
      <c r="BE19" s="194">
        <v>61174097.590000004</v>
      </c>
      <c r="BF19" s="194">
        <v>7642523.6900000004</v>
      </c>
      <c r="BG19" s="195">
        <f t="shared" si="25"/>
        <v>243586.62127999999</v>
      </c>
      <c r="BH19" s="194">
        <v>0</v>
      </c>
      <c r="BI19" s="194">
        <v>125654901.17</v>
      </c>
      <c r="BJ19" s="194">
        <v>48273214.280000001</v>
      </c>
      <c r="BK19" s="194">
        <v>7807215.1200000001</v>
      </c>
      <c r="BL19" s="195">
        <f t="shared" si="26"/>
        <v>181735.33056999999</v>
      </c>
      <c r="BM19" s="198"/>
      <c r="BN19" s="198"/>
      <c r="BO19" s="198"/>
      <c r="BP19" s="195">
        <f t="shared" si="27"/>
        <v>0</v>
      </c>
      <c r="BQ19" s="198"/>
      <c r="BR19" s="198"/>
      <c r="BS19" s="198"/>
      <c r="BT19" s="195">
        <f t="shared" si="28"/>
        <v>0</v>
      </c>
      <c r="BU19" s="200" t="e">
        <f t="shared" si="29"/>
        <v>#DIV/0!</v>
      </c>
      <c r="BV19" s="195">
        <v>165536.10162</v>
      </c>
      <c r="BW19" s="195">
        <v>153311.12443</v>
      </c>
      <c r="BX19" s="198">
        <v>56238043.270000003</v>
      </c>
      <c r="BY19" s="195">
        <f t="shared" si="30"/>
        <v>56238.043270000002</v>
      </c>
      <c r="BZ19" s="198">
        <v>9208514.8000000007</v>
      </c>
      <c r="CA19" s="195">
        <f t="shared" si="31"/>
        <v>9208.5148000000008</v>
      </c>
      <c r="CB19" s="195">
        <f t="shared" si="32"/>
        <v>-109298.05835000001</v>
      </c>
      <c r="CC19" s="195">
        <f t="shared" si="33"/>
        <v>-144102.60962999999</v>
      </c>
      <c r="CD19" s="195">
        <f t="shared" si="2"/>
        <v>-177712.28692999994</v>
      </c>
      <c r="CE19" s="195">
        <f t="shared" si="3"/>
        <v>-137990.05792999984</v>
      </c>
      <c r="CF19" s="195">
        <v>0</v>
      </c>
      <c r="CG19" s="195">
        <v>0</v>
      </c>
      <c r="CH19" s="195">
        <f t="shared" si="34"/>
        <v>0</v>
      </c>
      <c r="CI19" s="194">
        <v>0</v>
      </c>
      <c r="CJ19" s="194">
        <v>649010092.5</v>
      </c>
      <c r="CK19" s="194">
        <v>26606130.190000001</v>
      </c>
      <c r="CL19" s="194">
        <v>7171878.3899999997</v>
      </c>
      <c r="CM19" s="195">
        <f t="shared" si="35"/>
        <v>682788.10108000005</v>
      </c>
      <c r="CN19" s="194">
        <v>0</v>
      </c>
      <c r="CO19" s="194">
        <v>441551494.52999997</v>
      </c>
      <c r="CP19" s="194">
        <v>-73687743.790000007</v>
      </c>
      <c r="CQ19" s="194">
        <v>1015380.52</v>
      </c>
      <c r="CR19" s="195">
        <f t="shared" si="36"/>
        <v>368879.13125999994</v>
      </c>
      <c r="CS19" s="199">
        <f t="shared" si="4"/>
        <v>502429.47842000006</v>
      </c>
      <c r="CT19" s="199">
        <f t="shared" si="5"/>
        <v>298336.87713999994</v>
      </c>
      <c r="CU19" s="195">
        <f t="shared" si="37"/>
        <v>59.37885612886128</v>
      </c>
      <c r="CV19" s="194">
        <v>132200000</v>
      </c>
      <c r="CW19" s="195">
        <f t="shared" si="38"/>
        <v>132200</v>
      </c>
      <c r="CX19" s="194">
        <v>94022223.980000004</v>
      </c>
      <c r="CY19" s="195">
        <f t="shared" si="38"/>
        <v>94022.22398000001</v>
      </c>
      <c r="DA19" s="195">
        <f t="shared" si="39"/>
        <v>0</v>
      </c>
      <c r="DC19" s="195">
        <f t="shared" si="40"/>
        <v>0</v>
      </c>
      <c r="DD19" s="195"/>
    </row>
    <row r="20" spans="1:108" x14ac:dyDescent="0.3">
      <c r="A20" s="193" t="s">
        <v>170</v>
      </c>
      <c r="B20" s="194">
        <v>0</v>
      </c>
      <c r="C20" s="194">
        <v>1011035200.29</v>
      </c>
      <c r="D20" s="194">
        <v>0</v>
      </c>
      <c r="E20" s="194">
        <v>100406677.42</v>
      </c>
      <c r="F20" s="195">
        <f t="shared" si="6"/>
        <v>1111441.8777100001</v>
      </c>
      <c r="G20" s="194">
        <v>0</v>
      </c>
      <c r="H20" s="194">
        <v>727431798.05999994</v>
      </c>
      <c r="I20" s="194">
        <v>0</v>
      </c>
      <c r="J20" s="194">
        <v>67129112.280000001</v>
      </c>
      <c r="K20" s="195">
        <f t="shared" si="7"/>
        <v>794560.91033999994</v>
      </c>
      <c r="L20" s="194">
        <v>75714390</v>
      </c>
      <c r="M20" s="194">
        <v>0</v>
      </c>
      <c r="N20" s="194">
        <v>19843000</v>
      </c>
      <c r="O20" s="195">
        <f t="shared" si="8"/>
        <v>95557.39</v>
      </c>
      <c r="P20" s="194">
        <v>56041778.450000003</v>
      </c>
      <c r="Q20" s="194">
        <v>0</v>
      </c>
      <c r="R20" s="194">
        <v>14504364</v>
      </c>
      <c r="S20" s="195">
        <f t="shared" si="9"/>
        <v>70546.142449999999</v>
      </c>
      <c r="T20" s="194">
        <v>0</v>
      </c>
      <c r="U20" s="194">
        <v>1015820891.5</v>
      </c>
      <c r="V20" s="194">
        <v>0</v>
      </c>
      <c r="W20" s="194">
        <v>107183689.37</v>
      </c>
      <c r="X20" s="195">
        <f t="shared" si="10"/>
        <v>1123004.5808699999</v>
      </c>
      <c r="Y20" s="194">
        <v>0</v>
      </c>
      <c r="Z20" s="194">
        <v>698187745.63</v>
      </c>
      <c r="AA20" s="194">
        <v>0</v>
      </c>
      <c r="AB20" s="194">
        <v>70953548.439999998</v>
      </c>
      <c r="AC20" s="195">
        <f t="shared" si="11"/>
        <v>769141.29406999995</v>
      </c>
      <c r="AD20" s="195">
        <f t="shared" si="12"/>
        <v>1015884.4877100001</v>
      </c>
      <c r="AE20" s="195">
        <f t="shared" si="13"/>
        <v>724014.7678899999</v>
      </c>
      <c r="AF20" s="195">
        <f t="shared" si="14"/>
        <v>71.269398898103958</v>
      </c>
      <c r="AG20" s="196">
        <v>1016084</v>
      </c>
      <c r="AH20" s="196">
        <f t="shared" si="15"/>
        <v>199.51228999986779</v>
      </c>
      <c r="AI20" s="196">
        <v>724015</v>
      </c>
      <c r="AJ20" s="196">
        <f t="shared" si="16"/>
        <v>0.23211000009905547</v>
      </c>
      <c r="AK20" s="195">
        <f t="shared" si="0"/>
        <v>1027447.1908699999</v>
      </c>
      <c r="AL20" s="195">
        <f t="shared" si="17"/>
        <v>698595.1516199999</v>
      </c>
      <c r="AM20" s="195">
        <f t="shared" si="18"/>
        <v>67.993290344047594</v>
      </c>
      <c r="AN20" s="194">
        <v>0</v>
      </c>
      <c r="AO20" s="194">
        <v>885330109</v>
      </c>
      <c r="AP20" s="194">
        <v>0</v>
      </c>
      <c r="AQ20" s="194">
        <v>75514390</v>
      </c>
      <c r="AR20" s="197">
        <f t="shared" si="19"/>
        <v>200000</v>
      </c>
      <c r="AS20" s="195">
        <f t="shared" si="20"/>
        <v>960844.49899999995</v>
      </c>
      <c r="AT20" s="194">
        <v>0</v>
      </c>
      <c r="AU20" s="194">
        <v>634417344.69000006</v>
      </c>
      <c r="AV20" s="194">
        <v>0</v>
      </c>
      <c r="AW20" s="194">
        <v>56041778.450000003</v>
      </c>
      <c r="AX20" s="197">
        <f t="shared" si="21"/>
        <v>0</v>
      </c>
      <c r="AY20" s="195">
        <f t="shared" si="22"/>
        <v>690459.12314000016</v>
      </c>
      <c r="AZ20" s="195">
        <f t="shared" si="23"/>
        <v>865287.10899999994</v>
      </c>
      <c r="BA20" s="195">
        <f t="shared" si="1"/>
        <v>619912.98069000011</v>
      </c>
      <c r="BB20" s="195">
        <f t="shared" si="24"/>
        <v>71.642461125582329</v>
      </c>
      <c r="BC20" s="194">
        <v>0</v>
      </c>
      <c r="BD20" s="194">
        <v>126902000</v>
      </c>
      <c r="BE20" s="194">
        <v>0</v>
      </c>
      <c r="BF20" s="194">
        <v>26885537.359999999</v>
      </c>
      <c r="BG20" s="195">
        <f t="shared" si="25"/>
        <v>153787.53736000002</v>
      </c>
      <c r="BH20" s="194">
        <v>0</v>
      </c>
      <c r="BI20" s="194">
        <v>93811362.079999998</v>
      </c>
      <c r="BJ20" s="194">
        <v>0</v>
      </c>
      <c r="BK20" s="194">
        <v>13080583.77</v>
      </c>
      <c r="BL20" s="195">
        <f t="shared" si="26"/>
        <v>106891.94584999999</v>
      </c>
      <c r="BM20" s="198"/>
      <c r="BN20" s="198"/>
      <c r="BO20" s="198"/>
      <c r="BP20" s="195">
        <f t="shared" si="27"/>
        <v>0</v>
      </c>
      <c r="BQ20" s="198"/>
      <c r="BR20" s="198"/>
      <c r="BS20" s="198"/>
      <c r="BT20" s="195">
        <f t="shared" si="28"/>
        <v>0</v>
      </c>
      <c r="BU20" s="195" t="e">
        <f t="shared" si="29"/>
        <v>#DIV/0!</v>
      </c>
      <c r="BV20" s="195">
        <v>28559.143390000001</v>
      </c>
      <c r="BW20" s="195">
        <v>5140.1649600000001</v>
      </c>
      <c r="BX20" s="198">
        <v>84324477.780000001</v>
      </c>
      <c r="BY20" s="195">
        <f t="shared" si="30"/>
        <v>84324.477780000001</v>
      </c>
      <c r="BZ20" s="198">
        <v>4100786.11</v>
      </c>
      <c r="CA20" s="195">
        <f t="shared" si="31"/>
        <v>4100.78611</v>
      </c>
      <c r="CB20" s="195">
        <f t="shared" si="32"/>
        <v>55765.334390000004</v>
      </c>
      <c r="CC20" s="195">
        <f t="shared" si="33"/>
        <v>-1039.3788500000001</v>
      </c>
      <c r="CD20" s="195">
        <f t="shared" si="2"/>
        <v>-11562.703159999801</v>
      </c>
      <c r="CE20" s="195">
        <f t="shared" si="3"/>
        <v>25419.616269999999</v>
      </c>
      <c r="CF20" s="195">
        <v>0</v>
      </c>
      <c r="CG20" s="195">
        <v>0</v>
      </c>
      <c r="CH20" s="195">
        <f t="shared" si="34"/>
        <v>0</v>
      </c>
      <c r="CI20" s="194">
        <v>0</v>
      </c>
      <c r="CJ20" s="194">
        <v>884133200.28999996</v>
      </c>
      <c r="CK20" s="194">
        <v>0</v>
      </c>
      <c r="CL20" s="194">
        <v>73521140.060000002</v>
      </c>
      <c r="CM20" s="195">
        <f t="shared" si="35"/>
        <v>957654.34034999995</v>
      </c>
      <c r="CN20" s="194">
        <v>0</v>
      </c>
      <c r="CO20" s="194">
        <v>633620435.98000002</v>
      </c>
      <c r="CP20" s="194">
        <v>0</v>
      </c>
      <c r="CQ20" s="194">
        <v>54048528.509999998</v>
      </c>
      <c r="CR20" s="195">
        <f t="shared" si="36"/>
        <v>687668.96449000004</v>
      </c>
      <c r="CS20" s="199">
        <f t="shared" si="4"/>
        <v>862096.95034999994</v>
      </c>
      <c r="CT20" s="199">
        <f t="shared" si="5"/>
        <v>617122.82204</v>
      </c>
      <c r="CU20" s="195">
        <f t="shared" si="37"/>
        <v>71.583923570250008</v>
      </c>
      <c r="CV20" s="194">
        <v>90387500</v>
      </c>
      <c r="CW20" s="195">
        <f t="shared" si="38"/>
        <v>90387.5</v>
      </c>
      <c r="CX20" s="194">
        <v>65406534.049999997</v>
      </c>
      <c r="CY20" s="195">
        <f t="shared" si="38"/>
        <v>65406.534049999995</v>
      </c>
      <c r="DA20" s="195">
        <f t="shared" si="39"/>
        <v>0</v>
      </c>
      <c r="DC20" s="195">
        <f t="shared" si="40"/>
        <v>0</v>
      </c>
      <c r="DD20" s="195"/>
    </row>
    <row r="21" spans="1:108" x14ac:dyDescent="0.3">
      <c r="A21" s="193" t="s">
        <v>171</v>
      </c>
      <c r="B21" s="194">
        <v>0</v>
      </c>
      <c r="C21" s="194">
        <v>1055657503.21</v>
      </c>
      <c r="D21" s="194">
        <v>171900955.31</v>
      </c>
      <c r="E21" s="194">
        <v>152464083.47999999</v>
      </c>
      <c r="F21" s="195">
        <f t="shared" si="6"/>
        <v>1380022.5419999999</v>
      </c>
      <c r="G21" s="194">
        <v>0</v>
      </c>
      <c r="H21" s="194">
        <v>731693134.65999997</v>
      </c>
      <c r="I21" s="194">
        <v>111448466.43000001</v>
      </c>
      <c r="J21" s="194">
        <v>33357123.510000002</v>
      </c>
      <c r="K21" s="195">
        <f t="shared" si="7"/>
        <v>876498.72459999996</v>
      </c>
      <c r="L21" s="194">
        <v>190240508.49000001</v>
      </c>
      <c r="M21" s="194">
        <v>100000</v>
      </c>
      <c r="N21" s="194">
        <v>140000</v>
      </c>
      <c r="O21" s="195">
        <f t="shared" si="8"/>
        <v>190480.50849000001</v>
      </c>
      <c r="P21" s="194">
        <v>62638790.830000006</v>
      </c>
      <c r="Q21" s="194">
        <v>100000</v>
      </c>
      <c r="R21" s="194">
        <v>140000</v>
      </c>
      <c r="S21" s="195">
        <f t="shared" si="9"/>
        <v>62878.790830000005</v>
      </c>
      <c r="T21" s="194">
        <v>0</v>
      </c>
      <c r="U21" s="194">
        <v>1079202959.01</v>
      </c>
      <c r="V21" s="194">
        <v>176580661.53999999</v>
      </c>
      <c r="W21" s="194">
        <v>160308695.80000001</v>
      </c>
      <c r="X21" s="195">
        <f t="shared" si="10"/>
        <v>1416092.31635</v>
      </c>
      <c r="Y21" s="194">
        <v>0</v>
      </c>
      <c r="Z21" s="194">
        <v>729307342.04999995</v>
      </c>
      <c r="AA21" s="194">
        <v>107188019.42</v>
      </c>
      <c r="AB21" s="194">
        <v>36746325</v>
      </c>
      <c r="AC21" s="195">
        <f t="shared" si="11"/>
        <v>873241.68646999996</v>
      </c>
      <c r="AD21" s="195">
        <f t="shared" si="12"/>
        <v>1189542.03351</v>
      </c>
      <c r="AE21" s="195">
        <f t="shared" si="13"/>
        <v>813619.93377</v>
      </c>
      <c r="AF21" s="195">
        <f t="shared" si="14"/>
        <v>68.397745590312525</v>
      </c>
      <c r="AG21" s="196">
        <v>1189542</v>
      </c>
      <c r="AH21" s="196">
        <f t="shared" si="15"/>
        <v>-3.3509999979287386E-2</v>
      </c>
      <c r="AI21" s="196">
        <v>813620</v>
      </c>
      <c r="AJ21" s="196">
        <f t="shared" si="16"/>
        <v>6.6229999996721745E-2</v>
      </c>
      <c r="AK21" s="195">
        <f t="shared" si="0"/>
        <v>1225611.8078600001</v>
      </c>
      <c r="AL21" s="195">
        <f t="shared" si="17"/>
        <v>810362.89564</v>
      </c>
      <c r="AM21" s="195">
        <f t="shared" si="18"/>
        <v>66.119050946069763</v>
      </c>
      <c r="AN21" s="194">
        <v>0</v>
      </c>
      <c r="AO21" s="194">
        <v>847719148.01999998</v>
      </c>
      <c r="AP21" s="194">
        <v>51199738.549999997</v>
      </c>
      <c r="AQ21" s="194">
        <v>139040769.94</v>
      </c>
      <c r="AR21" s="197">
        <f t="shared" si="19"/>
        <v>0</v>
      </c>
      <c r="AS21" s="195">
        <f t="shared" si="20"/>
        <v>1037959.65651</v>
      </c>
      <c r="AT21" s="194">
        <v>0</v>
      </c>
      <c r="AU21" s="194">
        <v>587120830.60000002</v>
      </c>
      <c r="AV21" s="194">
        <v>35551178.240000002</v>
      </c>
      <c r="AW21" s="194">
        <v>27087612.59</v>
      </c>
      <c r="AX21" s="197">
        <f t="shared" si="21"/>
        <v>0</v>
      </c>
      <c r="AY21" s="195">
        <f t="shared" si="22"/>
        <v>649759.62143000006</v>
      </c>
      <c r="AZ21" s="195">
        <f t="shared" si="23"/>
        <v>847479.14801999996</v>
      </c>
      <c r="BA21" s="195">
        <f t="shared" si="1"/>
        <v>586880.8306000001</v>
      </c>
      <c r="BB21" s="195">
        <f t="shared" si="24"/>
        <v>69.250179425789256</v>
      </c>
      <c r="BC21" s="194">
        <v>0</v>
      </c>
      <c r="BD21" s="194">
        <v>210614700</v>
      </c>
      <c r="BE21" s="194">
        <v>122192831.95999999</v>
      </c>
      <c r="BF21" s="194">
        <v>13426811.310000001</v>
      </c>
      <c r="BG21" s="195">
        <f t="shared" si="25"/>
        <v>346234.34326999995</v>
      </c>
      <c r="BH21" s="194">
        <v>0</v>
      </c>
      <c r="BI21" s="194">
        <v>147248648.87</v>
      </c>
      <c r="BJ21" s="194">
        <v>77334903.390000001</v>
      </c>
      <c r="BK21" s="194">
        <v>6273008.6900000004</v>
      </c>
      <c r="BL21" s="195">
        <f t="shared" si="26"/>
        <v>230856.56094999998</v>
      </c>
      <c r="BM21" s="198"/>
      <c r="BN21" s="198"/>
      <c r="BO21" s="198"/>
      <c r="BP21" s="195">
        <f t="shared" si="27"/>
        <v>0</v>
      </c>
      <c r="BQ21" s="198"/>
      <c r="BR21" s="198"/>
      <c r="BS21" s="198"/>
      <c r="BT21" s="195">
        <f t="shared" si="28"/>
        <v>0</v>
      </c>
      <c r="BU21" s="195" t="e">
        <f t="shared" si="29"/>
        <v>#DIV/0!</v>
      </c>
      <c r="BV21" s="195">
        <v>19955.794190000001</v>
      </c>
      <c r="BW21" s="195">
        <v>7517.8041700000003</v>
      </c>
      <c r="BX21" s="198">
        <v>114582778.65000001</v>
      </c>
      <c r="BY21" s="195">
        <f t="shared" si="30"/>
        <v>114582.77865000001</v>
      </c>
      <c r="BZ21" s="198">
        <v>3294297.8</v>
      </c>
      <c r="CA21" s="195">
        <f t="shared" si="31"/>
        <v>3294.2977999999998</v>
      </c>
      <c r="CB21" s="195">
        <f t="shared" si="32"/>
        <v>94626.984460000007</v>
      </c>
      <c r="CC21" s="195">
        <f t="shared" si="33"/>
        <v>-4223.506370000001</v>
      </c>
      <c r="CD21" s="195">
        <f t="shared" si="2"/>
        <v>-36069.77435000008</v>
      </c>
      <c r="CE21" s="195">
        <f t="shared" si="3"/>
        <v>3257.0381300000008</v>
      </c>
      <c r="CF21" s="195">
        <v>97000</v>
      </c>
      <c r="CG21" s="195">
        <v>81500</v>
      </c>
      <c r="CH21" s="195">
        <f t="shared" si="34"/>
        <v>-15500</v>
      </c>
      <c r="CI21" s="194">
        <v>0</v>
      </c>
      <c r="CJ21" s="194">
        <v>845042803.21000004</v>
      </c>
      <c r="CK21" s="194">
        <v>49708123.350000001</v>
      </c>
      <c r="CL21" s="194">
        <v>139037272.16999999</v>
      </c>
      <c r="CM21" s="195">
        <f t="shared" si="35"/>
        <v>1033788.1987300001</v>
      </c>
      <c r="CN21" s="194">
        <v>0</v>
      </c>
      <c r="CO21" s="194">
        <v>584444485.78999996</v>
      </c>
      <c r="CP21" s="194">
        <v>34113563.039999999</v>
      </c>
      <c r="CQ21" s="194">
        <v>27084114.82</v>
      </c>
      <c r="CR21" s="195">
        <f t="shared" si="36"/>
        <v>645642.16365</v>
      </c>
      <c r="CS21" s="199">
        <f t="shared" si="4"/>
        <v>843307.69024000003</v>
      </c>
      <c r="CT21" s="199">
        <f t="shared" si="5"/>
        <v>582763.37282000005</v>
      </c>
      <c r="CU21" s="195">
        <f t="shared" si="37"/>
        <v>69.104477471816878</v>
      </c>
      <c r="CV21" s="194">
        <v>193256800</v>
      </c>
      <c r="CW21" s="195">
        <f t="shared" si="38"/>
        <v>193256.8</v>
      </c>
      <c r="CX21" s="194">
        <v>137183286.03</v>
      </c>
      <c r="CY21" s="195">
        <f t="shared" si="38"/>
        <v>137183.28602999999</v>
      </c>
      <c r="DA21" s="195">
        <f t="shared" si="39"/>
        <v>0</v>
      </c>
      <c r="DC21" s="195">
        <f t="shared" si="40"/>
        <v>0</v>
      </c>
      <c r="DD21" s="200" t="e">
        <f t="shared" si="41"/>
        <v>#DIV/0!</v>
      </c>
    </row>
    <row r="22" spans="1:108" x14ac:dyDescent="0.3">
      <c r="A22" s="193" t="s">
        <v>172</v>
      </c>
      <c r="B22" s="194">
        <v>0</v>
      </c>
      <c r="C22" s="194">
        <v>1152516454.05</v>
      </c>
      <c r="D22" s="194">
        <v>0</v>
      </c>
      <c r="E22" s="194">
        <v>451794357.61000001</v>
      </c>
      <c r="F22" s="195">
        <f t="shared" si="6"/>
        <v>1604310.8116599999</v>
      </c>
      <c r="G22" s="194">
        <v>0</v>
      </c>
      <c r="H22" s="194">
        <v>820003981.84000003</v>
      </c>
      <c r="I22" s="194">
        <v>0</v>
      </c>
      <c r="J22" s="194">
        <v>304815910.93000001</v>
      </c>
      <c r="K22" s="195">
        <f t="shared" si="7"/>
        <v>1124819.89277</v>
      </c>
      <c r="L22" s="194">
        <v>384891181.50999999</v>
      </c>
      <c r="M22" s="194">
        <v>0</v>
      </c>
      <c r="N22" s="194">
        <v>4458056.08</v>
      </c>
      <c r="O22" s="195">
        <f t="shared" si="8"/>
        <v>389349.23758999998</v>
      </c>
      <c r="P22" s="194">
        <v>255326508.36000001</v>
      </c>
      <c r="Q22" s="194">
        <v>0</v>
      </c>
      <c r="R22" s="194">
        <v>2627393.85</v>
      </c>
      <c r="S22" s="195">
        <f t="shared" si="9"/>
        <v>257953.90221</v>
      </c>
      <c r="T22" s="194">
        <v>0</v>
      </c>
      <c r="U22" s="194">
        <v>1208039250.4200001</v>
      </c>
      <c r="V22" s="194">
        <v>0</v>
      </c>
      <c r="W22" s="194">
        <v>478198793.77999997</v>
      </c>
      <c r="X22" s="195">
        <f t="shared" si="10"/>
        <v>1686238.0442000001</v>
      </c>
      <c r="Y22" s="194">
        <v>0</v>
      </c>
      <c r="Z22" s="194">
        <v>807622467.27999997</v>
      </c>
      <c r="AA22" s="194">
        <v>0</v>
      </c>
      <c r="AB22" s="194">
        <v>311014048.86000001</v>
      </c>
      <c r="AC22" s="195">
        <f t="shared" si="11"/>
        <v>1118636.51614</v>
      </c>
      <c r="AD22" s="195">
        <f t="shared" si="12"/>
        <v>1214961.5740699999</v>
      </c>
      <c r="AE22" s="195">
        <f t="shared" si="13"/>
        <v>866865.99056000006</v>
      </c>
      <c r="AF22" s="195">
        <f t="shared" si="14"/>
        <v>71.349251619216702</v>
      </c>
      <c r="AG22" s="196">
        <v>1214962</v>
      </c>
      <c r="AH22" s="196">
        <f t="shared" si="15"/>
        <v>0.42593000014312565</v>
      </c>
      <c r="AI22" s="196">
        <v>866866</v>
      </c>
      <c r="AJ22" s="196">
        <f t="shared" si="16"/>
        <v>9.4399999361485243E-3</v>
      </c>
      <c r="AK22" s="195">
        <f t="shared" si="0"/>
        <v>1296888.8066100001</v>
      </c>
      <c r="AL22" s="195">
        <f t="shared" si="17"/>
        <v>860682.61392999999</v>
      </c>
      <c r="AM22" s="195">
        <f t="shared" si="18"/>
        <v>66.365181775281073</v>
      </c>
      <c r="AN22" s="194">
        <v>0</v>
      </c>
      <c r="AO22" s="194">
        <v>884561586.94000006</v>
      </c>
      <c r="AP22" s="194">
        <v>0</v>
      </c>
      <c r="AQ22" s="194">
        <v>384891181.50999999</v>
      </c>
      <c r="AR22" s="197">
        <f t="shared" si="19"/>
        <v>0</v>
      </c>
      <c r="AS22" s="195">
        <f t="shared" si="20"/>
        <v>1269452.7684500001</v>
      </c>
      <c r="AT22" s="194">
        <v>0</v>
      </c>
      <c r="AU22" s="194">
        <v>596969587.53999996</v>
      </c>
      <c r="AV22" s="194">
        <v>0</v>
      </c>
      <c r="AW22" s="194">
        <v>255326508.36000001</v>
      </c>
      <c r="AX22" s="197">
        <f t="shared" si="21"/>
        <v>0</v>
      </c>
      <c r="AY22" s="195">
        <f t="shared" si="22"/>
        <v>852296.09589999996</v>
      </c>
      <c r="AZ22" s="195">
        <f t="shared" si="23"/>
        <v>880103.53086000006</v>
      </c>
      <c r="BA22" s="195">
        <f t="shared" si="1"/>
        <v>594342.19368999999</v>
      </c>
      <c r="BB22" s="195">
        <f t="shared" si="24"/>
        <v>67.530940718898577</v>
      </c>
      <c r="BC22" s="194">
        <v>0</v>
      </c>
      <c r="BD22" s="194">
        <v>255740539</v>
      </c>
      <c r="BE22" s="194">
        <v>0</v>
      </c>
      <c r="BF22" s="194">
        <v>65439452.390000001</v>
      </c>
      <c r="BG22" s="195">
        <f t="shared" si="25"/>
        <v>321179.99138999998</v>
      </c>
      <c r="BH22" s="194">
        <v>0</v>
      </c>
      <c r="BI22" s="194">
        <v>210403991.00999999</v>
      </c>
      <c r="BJ22" s="194">
        <v>0</v>
      </c>
      <c r="BK22" s="194">
        <v>43716357</v>
      </c>
      <c r="BL22" s="195">
        <f t="shared" si="26"/>
        <v>254120.34800999999</v>
      </c>
      <c r="BM22" s="198"/>
      <c r="BN22" s="198"/>
      <c r="BO22" s="198"/>
      <c r="BP22" s="195">
        <f t="shared" si="27"/>
        <v>0</v>
      </c>
      <c r="BQ22" s="198"/>
      <c r="BR22" s="198"/>
      <c r="BS22" s="198"/>
      <c r="BT22" s="195">
        <f t="shared" si="28"/>
        <v>0</v>
      </c>
      <c r="BU22" s="200" t="e">
        <f t="shared" si="29"/>
        <v>#DIV/0!</v>
      </c>
      <c r="BV22" s="195">
        <v>102610.53202</v>
      </c>
      <c r="BW22" s="195">
        <v>4464.2456299999994</v>
      </c>
      <c r="BX22" s="198">
        <v>106806870.63</v>
      </c>
      <c r="BY22" s="195">
        <f t="shared" si="30"/>
        <v>106806.87062999999</v>
      </c>
      <c r="BZ22" s="198">
        <v>3088604.36</v>
      </c>
      <c r="CA22" s="195">
        <f t="shared" si="31"/>
        <v>3088.6043599999998</v>
      </c>
      <c r="CB22" s="195">
        <f t="shared" si="32"/>
        <v>4196.3386099999916</v>
      </c>
      <c r="CC22" s="195">
        <f t="shared" si="33"/>
        <v>-1375.6412699999996</v>
      </c>
      <c r="CD22" s="195">
        <f t="shared" si="2"/>
        <v>-81927.23254000023</v>
      </c>
      <c r="CE22" s="195">
        <f t="shared" si="3"/>
        <v>6183.3766300000716</v>
      </c>
      <c r="CF22" s="195">
        <v>20000</v>
      </c>
      <c r="CG22" s="195">
        <v>0</v>
      </c>
      <c r="CH22" s="195">
        <f t="shared" si="34"/>
        <v>-20000</v>
      </c>
      <c r="CI22" s="194">
        <v>0</v>
      </c>
      <c r="CJ22" s="194">
        <v>896775915.04999995</v>
      </c>
      <c r="CK22" s="194">
        <v>0</v>
      </c>
      <c r="CL22" s="194">
        <v>386354905.22000003</v>
      </c>
      <c r="CM22" s="195">
        <f t="shared" si="35"/>
        <v>1283130.82027</v>
      </c>
      <c r="CN22" s="194">
        <v>0</v>
      </c>
      <c r="CO22" s="194">
        <v>609599990.83000004</v>
      </c>
      <c r="CP22" s="194">
        <v>0</v>
      </c>
      <c r="CQ22" s="194">
        <v>261099553.93000001</v>
      </c>
      <c r="CR22" s="195">
        <f t="shared" si="36"/>
        <v>870699.54475999996</v>
      </c>
      <c r="CS22" s="199">
        <f t="shared" si="4"/>
        <v>893781.58267999999</v>
      </c>
      <c r="CT22" s="199">
        <f t="shared" si="5"/>
        <v>612745.64254999999</v>
      </c>
      <c r="CU22" s="195">
        <f t="shared" si="37"/>
        <v>68.556530412350284</v>
      </c>
      <c r="CV22" s="194">
        <v>182871718.40000001</v>
      </c>
      <c r="CW22" s="195">
        <f t="shared" si="38"/>
        <v>182871.71840000001</v>
      </c>
      <c r="CX22" s="194">
        <v>163466435.75</v>
      </c>
      <c r="CY22" s="195">
        <f t="shared" si="38"/>
        <v>163466.43575</v>
      </c>
      <c r="DA22" s="195">
        <f t="shared" si="39"/>
        <v>0</v>
      </c>
      <c r="DC22" s="195">
        <f t="shared" si="40"/>
        <v>0</v>
      </c>
      <c r="DD22" s="195"/>
    </row>
    <row r="23" spans="1:108" x14ac:dyDescent="0.3">
      <c r="A23" s="193" t="s">
        <v>173</v>
      </c>
      <c r="B23" s="194">
        <v>0</v>
      </c>
      <c r="C23" s="194">
        <v>960818563.12</v>
      </c>
      <c r="D23" s="194">
        <v>66900083.789999999</v>
      </c>
      <c r="E23" s="194">
        <v>61922328.740000002</v>
      </c>
      <c r="F23" s="195">
        <f t="shared" si="6"/>
        <v>1089640.9756499999</v>
      </c>
      <c r="G23" s="194">
        <v>0</v>
      </c>
      <c r="H23" s="194">
        <v>728488814.86000001</v>
      </c>
      <c r="I23" s="194">
        <v>50923054.57</v>
      </c>
      <c r="J23" s="194">
        <v>36720647.200000003</v>
      </c>
      <c r="K23" s="195">
        <f t="shared" si="7"/>
        <v>816132.51663000009</v>
      </c>
      <c r="L23" s="194">
        <v>68835258.920000002</v>
      </c>
      <c r="M23" s="194">
        <v>51771</v>
      </c>
      <c r="N23" s="194">
        <v>114401</v>
      </c>
      <c r="O23" s="195">
        <f t="shared" si="8"/>
        <v>69001.430919999999</v>
      </c>
      <c r="P23" s="194">
        <v>50223859.289999992</v>
      </c>
      <c r="Q23" s="194">
        <v>21771</v>
      </c>
      <c r="R23" s="194">
        <v>59251</v>
      </c>
      <c r="S23" s="195">
        <f t="shared" si="9"/>
        <v>50304.88128999999</v>
      </c>
      <c r="T23" s="194">
        <v>0</v>
      </c>
      <c r="U23" s="194">
        <v>971679122.29999995</v>
      </c>
      <c r="V23" s="194">
        <v>90833571.290000007</v>
      </c>
      <c r="W23" s="194">
        <v>70389693.349999994</v>
      </c>
      <c r="X23" s="195">
        <f t="shared" si="10"/>
        <v>1132902.3869399999</v>
      </c>
      <c r="Y23" s="194">
        <v>0</v>
      </c>
      <c r="Z23" s="194">
        <v>735935299.21000004</v>
      </c>
      <c r="AA23" s="194">
        <v>54870026.780000001</v>
      </c>
      <c r="AB23" s="194">
        <v>46693308.630000003</v>
      </c>
      <c r="AC23" s="195">
        <f t="shared" si="11"/>
        <v>837498.63462000003</v>
      </c>
      <c r="AD23" s="195">
        <f t="shared" si="12"/>
        <v>1020639.54473</v>
      </c>
      <c r="AE23" s="195">
        <f t="shared" si="13"/>
        <v>765827.63534000004</v>
      </c>
      <c r="AF23" s="195">
        <f t="shared" si="14"/>
        <v>75.034093994720948</v>
      </c>
      <c r="AG23" s="196">
        <v>1020640</v>
      </c>
      <c r="AH23" s="196">
        <f t="shared" si="15"/>
        <v>0.45527000003494322</v>
      </c>
      <c r="AI23" s="196">
        <v>765828</v>
      </c>
      <c r="AJ23" s="196">
        <f t="shared" si="16"/>
        <v>0.36465999996289611</v>
      </c>
      <c r="AK23" s="195">
        <f t="shared" si="0"/>
        <v>1063900.9560199999</v>
      </c>
      <c r="AL23" s="195">
        <f t="shared" si="17"/>
        <v>787193.75332999998</v>
      </c>
      <c r="AM23" s="200">
        <f t="shared" si="18"/>
        <v>73.991262896769285</v>
      </c>
      <c r="AN23" s="194">
        <v>0</v>
      </c>
      <c r="AO23" s="194">
        <v>785741822.60000002</v>
      </c>
      <c r="AP23" s="194">
        <v>25966380.789999999</v>
      </c>
      <c r="AQ23" s="194">
        <v>42868878.130000003</v>
      </c>
      <c r="AR23" s="197">
        <f t="shared" si="19"/>
        <v>0</v>
      </c>
      <c r="AS23" s="195">
        <f t="shared" si="20"/>
        <v>854577.08152000001</v>
      </c>
      <c r="AT23" s="194">
        <v>0</v>
      </c>
      <c r="AU23" s="194">
        <v>600088388.75</v>
      </c>
      <c r="AV23" s="194">
        <v>20148119.370000001</v>
      </c>
      <c r="AW23" s="194">
        <v>30075739.920000002</v>
      </c>
      <c r="AX23" s="197">
        <f t="shared" si="21"/>
        <v>0</v>
      </c>
      <c r="AY23" s="195">
        <f t="shared" si="22"/>
        <v>650312.24803999998</v>
      </c>
      <c r="AZ23" s="195">
        <f t="shared" si="23"/>
        <v>785575.65060000005</v>
      </c>
      <c r="BA23" s="195">
        <f t="shared" si="1"/>
        <v>600007.36675000004</v>
      </c>
      <c r="BB23" s="195">
        <f t="shared" si="24"/>
        <v>76.378050451504151</v>
      </c>
      <c r="BC23" s="194">
        <v>0</v>
      </c>
      <c r="BD23" s="194">
        <v>174720256</v>
      </c>
      <c r="BE23" s="194">
        <v>36064984</v>
      </c>
      <c r="BF23" s="194">
        <v>22194047</v>
      </c>
      <c r="BG23" s="195">
        <f t="shared" si="25"/>
        <v>232979.28700000001</v>
      </c>
      <c r="BH23" s="194">
        <v>0</v>
      </c>
      <c r="BI23" s="194">
        <v>127668614.86</v>
      </c>
      <c r="BJ23" s="194">
        <v>25906216.199999999</v>
      </c>
      <c r="BK23" s="194">
        <v>9775503.6699999999</v>
      </c>
      <c r="BL23" s="195">
        <f t="shared" si="26"/>
        <v>163350.33473</v>
      </c>
      <c r="BM23" s="198"/>
      <c r="BN23" s="198"/>
      <c r="BO23" s="198"/>
      <c r="BP23" s="195">
        <f t="shared" si="27"/>
        <v>0</v>
      </c>
      <c r="BQ23" s="198"/>
      <c r="BR23" s="198"/>
      <c r="BS23" s="198"/>
      <c r="BT23" s="195">
        <f t="shared" si="28"/>
        <v>0</v>
      </c>
      <c r="BU23" s="195" t="e">
        <f t="shared" si="29"/>
        <v>#DIV/0!</v>
      </c>
      <c r="BV23" s="195">
        <v>49063.261149999998</v>
      </c>
      <c r="BW23" s="195">
        <v>26092.269640000002</v>
      </c>
      <c r="BX23" s="198">
        <v>30410414.940000001</v>
      </c>
      <c r="BY23" s="195">
        <f t="shared" si="30"/>
        <v>30410.414940000002</v>
      </c>
      <c r="BZ23" s="198">
        <v>22042662.43</v>
      </c>
      <c r="CA23" s="195">
        <f t="shared" si="31"/>
        <v>22042.66243</v>
      </c>
      <c r="CB23" s="195">
        <f t="shared" si="32"/>
        <v>-18652.846209999996</v>
      </c>
      <c r="CC23" s="195">
        <f t="shared" si="33"/>
        <v>-4049.6072100000019</v>
      </c>
      <c r="CD23" s="195">
        <f t="shared" si="2"/>
        <v>-43261.41128999996</v>
      </c>
      <c r="CE23" s="195">
        <f t="shared" si="3"/>
        <v>-21366.117989999941</v>
      </c>
      <c r="CF23" s="195">
        <v>27600</v>
      </c>
      <c r="CG23" s="195">
        <v>6900</v>
      </c>
      <c r="CH23" s="195">
        <f t="shared" si="34"/>
        <v>-20700</v>
      </c>
      <c r="CI23" s="194">
        <v>0</v>
      </c>
      <c r="CJ23" s="194">
        <v>786098307.12</v>
      </c>
      <c r="CK23" s="194">
        <v>30835099.789999999</v>
      </c>
      <c r="CL23" s="194">
        <v>39728281.740000002</v>
      </c>
      <c r="CM23" s="195">
        <f t="shared" si="35"/>
        <v>856661.68865000003</v>
      </c>
      <c r="CN23" s="194">
        <v>0</v>
      </c>
      <c r="CO23" s="194">
        <v>600820200</v>
      </c>
      <c r="CP23" s="194">
        <v>25016838.370000001</v>
      </c>
      <c r="CQ23" s="194">
        <v>26945143.530000001</v>
      </c>
      <c r="CR23" s="195">
        <f t="shared" si="36"/>
        <v>652782.18189999997</v>
      </c>
      <c r="CS23" s="199">
        <f t="shared" si="4"/>
        <v>787660.25773000007</v>
      </c>
      <c r="CT23" s="199">
        <f t="shared" si="5"/>
        <v>602477.30061000003</v>
      </c>
      <c r="CU23" s="195">
        <f t="shared" si="37"/>
        <v>76.48948829109537</v>
      </c>
      <c r="CV23" s="194">
        <v>123026120</v>
      </c>
      <c r="CW23" s="195">
        <f t="shared" si="38"/>
        <v>123026.12</v>
      </c>
      <c r="CX23" s="194">
        <v>89821021.840000004</v>
      </c>
      <c r="CY23" s="195">
        <f t="shared" si="38"/>
        <v>89821.021840000001</v>
      </c>
      <c r="DA23" s="195">
        <f t="shared" si="39"/>
        <v>0</v>
      </c>
      <c r="DC23" s="195">
        <f t="shared" si="40"/>
        <v>0</v>
      </c>
      <c r="DD23" s="195" t="e">
        <f t="shared" si="41"/>
        <v>#DIV/0!</v>
      </c>
    </row>
    <row r="24" spans="1:108" x14ac:dyDescent="0.3">
      <c r="A24" s="193" t="s">
        <v>174</v>
      </c>
      <c r="B24" s="194">
        <v>0</v>
      </c>
      <c r="C24" s="194">
        <v>1012952897.86</v>
      </c>
      <c r="D24" s="194">
        <v>0</v>
      </c>
      <c r="E24" s="194">
        <v>174074610.25</v>
      </c>
      <c r="F24" s="195">
        <f t="shared" si="6"/>
        <v>1187027.5081100001</v>
      </c>
      <c r="G24" s="194">
        <v>0</v>
      </c>
      <c r="H24" s="194">
        <v>741242523.09000003</v>
      </c>
      <c r="I24" s="194">
        <v>0</v>
      </c>
      <c r="J24" s="194">
        <v>34657133.539999999</v>
      </c>
      <c r="K24" s="195">
        <f t="shared" si="7"/>
        <v>775899.65662999998</v>
      </c>
      <c r="L24" s="194">
        <v>215348276.60000002</v>
      </c>
      <c r="M24" s="194">
        <v>0</v>
      </c>
      <c r="N24" s="194">
        <v>67000</v>
      </c>
      <c r="O24" s="195">
        <f t="shared" si="8"/>
        <v>215415.27660000001</v>
      </c>
      <c r="P24" s="194">
        <v>94424213.709999993</v>
      </c>
      <c r="Q24" s="194">
        <v>0</v>
      </c>
      <c r="R24" s="194">
        <v>62000</v>
      </c>
      <c r="S24" s="195">
        <f t="shared" si="9"/>
        <v>94486.213709999996</v>
      </c>
      <c r="T24" s="194">
        <v>0</v>
      </c>
      <c r="U24" s="194">
        <v>1028608032.34</v>
      </c>
      <c r="V24" s="194">
        <v>0</v>
      </c>
      <c r="W24" s="194">
        <v>276098744.36000001</v>
      </c>
      <c r="X24" s="195">
        <f t="shared" si="10"/>
        <v>1304706.7767</v>
      </c>
      <c r="Y24" s="194">
        <v>0</v>
      </c>
      <c r="Z24" s="194">
        <v>732219405.63</v>
      </c>
      <c r="AA24" s="194">
        <v>0</v>
      </c>
      <c r="AB24" s="194">
        <v>124218187.73</v>
      </c>
      <c r="AC24" s="195">
        <f t="shared" si="11"/>
        <v>856437.59336000006</v>
      </c>
      <c r="AD24" s="195">
        <f t="shared" si="12"/>
        <v>971612.23151000007</v>
      </c>
      <c r="AE24" s="195">
        <f t="shared" si="13"/>
        <v>681413.44291999994</v>
      </c>
      <c r="AF24" s="195">
        <f t="shared" si="14"/>
        <v>70.132242145717228</v>
      </c>
      <c r="AG24" s="196">
        <v>971612</v>
      </c>
      <c r="AH24" s="196">
        <f t="shared" si="15"/>
        <v>-0.231510000070557</v>
      </c>
      <c r="AI24" s="196">
        <v>681413</v>
      </c>
      <c r="AJ24" s="196">
        <f t="shared" si="16"/>
        <v>-0.44291999994311482</v>
      </c>
      <c r="AK24" s="195">
        <f t="shared" si="0"/>
        <v>1089291.5001000001</v>
      </c>
      <c r="AL24" s="195">
        <f t="shared" si="17"/>
        <v>761951.37965000002</v>
      </c>
      <c r="AM24" s="195">
        <f t="shared" si="18"/>
        <v>69.949263312901152</v>
      </c>
      <c r="AN24" s="194">
        <v>0</v>
      </c>
      <c r="AO24" s="194">
        <v>878917100.33000004</v>
      </c>
      <c r="AP24" s="194">
        <v>0</v>
      </c>
      <c r="AQ24" s="194">
        <v>215348276.59999999</v>
      </c>
      <c r="AR24" s="197">
        <f t="shared" si="19"/>
        <v>0</v>
      </c>
      <c r="AS24" s="195">
        <f t="shared" si="20"/>
        <v>1094265.37693</v>
      </c>
      <c r="AT24" s="194">
        <v>0</v>
      </c>
      <c r="AU24" s="194">
        <v>640211094.67999995</v>
      </c>
      <c r="AV24" s="194">
        <v>0</v>
      </c>
      <c r="AW24" s="194">
        <v>94424213.709999993</v>
      </c>
      <c r="AX24" s="197">
        <f t="shared" si="21"/>
        <v>0</v>
      </c>
      <c r="AY24" s="195">
        <f t="shared" si="22"/>
        <v>734635.30839000002</v>
      </c>
      <c r="AZ24" s="195">
        <f t="shared" si="23"/>
        <v>878850.10033000004</v>
      </c>
      <c r="BA24" s="195">
        <f t="shared" si="1"/>
        <v>640149.09467999998</v>
      </c>
      <c r="BB24" s="195">
        <f t="shared" si="24"/>
        <v>72.839394845563532</v>
      </c>
      <c r="BC24" s="194">
        <v>0</v>
      </c>
      <c r="BD24" s="194">
        <v>134102148</v>
      </c>
      <c r="BE24" s="194">
        <v>0</v>
      </c>
      <c r="BF24" s="194">
        <v>37307193.479999997</v>
      </c>
      <c r="BG24" s="195">
        <f t="shared" si="25"/>
        <v>171409.34148</v>
      </c>
      <c r="BH24" s="194">
        <v>0</v>
      </c>
      <c r="BI24" s="194">
        <v>101097778.88</v>
      </c>
      <c r="BJ24" s="194">
        <v>0</v>
      </c>
      <c r="BK24" s="194">
        <v>18813779.66</v>
      </c>
      <c r="BL24" s="195">
        <f t="shared" si="26"/>
        <v>119911.55854</v>
      </c>
      <c r="BM24" s="198"/>
      <c r="BN24" s="198"/>
      <c r="BO24" s="198"/>
      <c r="BP24" s="195">
        <f t="shared" si="27"/>
        <v>0</v>
      </c>
      <c r="BQ24" s="198"/>
      <c r="BR24" s="198"/>
      <c r="BS24" s="198"/>
      <c r="BT24" s="195">
        <f t="shared" si="28"/>
        <v>0</v>
      </c>
      <c r="BU24" s="195" t="e">
        <f t="shared" si="29"/>
        <v>#DIV/0!</v>
      </c>
      <c r="BV24" s="195">
        <v>141318.52515</v>
      </c>
      <c r="BW24" s="195">
        <v>104500.92543</v>
      </c>
      <c r="BX24" s="198">
        <v>139063941.94</v>
      </c>
      <c r="BY24" s="195">
        <f t="shared" si="30"/>
        <v>139063.94193999999</v>
      </c>
      <c r="BZ24" s="198">
        <v>18396312.43</v>
      </c>
      <c r="CA24" s="195">
        <f t="shared" si="31"/>
        <v>18396.312429999998</v>
      </c>
      <c r="CB24" s="195">
        <f t="shared" si="32"/>
        <v>-2254.5832100000116</v>
      </c>
      <c r="CC24" s="195">
        <f t="shared" si="33"/>
        <v>-86104.613000000012</v>
      </c>
      <c r="CD24" s="195">
        <f t="shared" si="2"/>
        <v>-117679.26858999999</v>
      </c>
      <c r="CE24" s="195">
        <f t="shared" si="3"/>
        <v>-80537.936730000074</v>
      </c>
      <c r="CF24" s="195">
        <v>0</v>
      </c>
      <c r="CG24" s="199">
        <v>0</v>
      </c>
      <c r="CH24" s="195">
        <f t="shared" si="34"/>
        <v>0</v>
      </c>
      <c r="CI24" s="194">
        <v>0</v>
      </c>
      <c r="CJ24" s="194">
        <v>878850749.86000001</v>
      </c>
      <c r="CK24" s="194">
        <v>0</v>
      </c>
      <c r="CL24" s="194">
        <v>136767416.77000001</v>
      </c>
      <c r="CM24" s="195">
        <f t="shared" si="35"/>
        <v>1015618.16663</v>
      </c>
      <c r="CN24" s="194">
        <v>0</v>
      </c>
      <c r="CO24" s="194">
        <v>640144744.21000004</v>
      </c>
      <c r="CP24" s="194">
        <v>0</v>
      </c>
      <c r="CQ24" s="194">
        <v>15843353.880000001</v>
      </c>
      <c r="CR24" s="195">
        <f t="shared" si="36"/>
        <v>655988.09808999998</v>
      </c>
      <c r="CS24" s="199">
        <f t="shared" si="4"/>
        <v>800202.89003000001</v>
      </c>
      <c r="CT24" s="199">
        <f t="shared" si="5"/>
        <v>561501.88437999994</v>
      </c>
      <c r="CU24" s="195">
        <f t="shared" si="37"/>
        <v>70.16993957106915</v>
      </c>
      <c r="CV24" s="194">
        <v>81720000</v>
      </c>
      <c r="CW24" s="195">
        <f t="shared" si="38"/>
        <v>81720</v>
      </c>
      <c r="CX24" s="194">
        <v>54648469.909999996</v>
      </c>
      <c r="CY24" s="195">
        <f t="shared" si="38"/>
        <v>54648.46991</v>
      </c>
      <c r="DA24" s="195">
        <f t="shared" si="39"/>
        <v>0</v>
      </c>
      <c r="DC24" s="195">
        <f t="shared" si="40"/>
        <v>0</v>
      </c>
      <c r="DD24" s="195"/>
    </row>
    <row r="25" spans="1:108" x14ac:dyDescent="0.3">
      <c r="A25" s="193" t="s">
        <v>175</v>
      </c>
      <c r="B25" s="194">
        <v>0</v>
      </c>
      <c r="C25" s="194">
        <v>366174470.94</v>
      </c>
      <c r="D25" s="194">
        <v>21779240.370000001</v>
      </c>
      <c r="E25" s="194">
        <v>21841467</v>
      </c>
      <c r="F25" s="195">
        <f t="shared" si="6"/>
        <v>409795.17830999999</v>
      </c>
      <c r="G25" s="194">
        <v>0</v>
      </c>
      <c r="H25" s="194">
        <v>264428599.88</v>
      </c>
      <c r="I25" s="194">
        <v>9789566.0199999996</v>
      </c>
      <c r="J25" s="194">
        <v>9715380.4900000002</v>
      </c>
      <c r="K25" s="195">
        <f t="shared" si="7"/>
        <v>283933.54638999997</v>
      </c>
      <c r="L25" s="194">
        <v>20247993</v>
      </c>
      <c r="M25" s="194">
        <v>178000</v>
      </c>
      <c r="N25" s="194">
        <v>90000</v>
      </c>
      <c r="O25" s="195">
        <f t="shared" si="8"/>
        <v>20515.992999999999</v>
      </c>
      <c r="P25" s="194">
        <v>8817166.1699999999</v>
      </c>
      <c r="Q25" s="194">
        <v>133500</v>
      </c>
      <c r="R25" s="194">
        <v>44750</v>
      </c>
      <c r="S25" s="195">
        <f t="shared" si="9"/>
        <v>8995.4161700000004</v>
      </c>
      <c r="T25" s="194">
        <v>0</v>
      </c>
      <c r="U25" s="194">
        <v>370834505.04000002</v>
      </c>
      <c r="V25" s="194">
        <v>24445668.039999999</v>
      </c>
      <c r="W25" s="194">
        <v>25213875.280000001</v>
      </c>
      <c r="X25" s="195">
        <f t="shared" si="10"/>
        <v>420494.04836000002</v>
      </c>
      <c r="Y25" s="194">
        <v>0</v>
      </c>
      <c r="Z25" s="194">
        <v>260264788.58000001</v>
      </c>
      <c r="AA25" s="194">
        <v>12891640.91</v>
      </c>
      <c r="AB25" s="194">
        <v>12835113.75</v>
      </c>
      <c r="AC25" s="195">
        <f t="shared" si="11"/>
        <v>285991.54324000003</v>
      </c>
      <c r="AD25" s="195">
        <f t="shared" si="12"/>
        <v>389279.18530999997</v>
      </c>
      <c r="AE25" s="195">
        <f t="shared" si="13"/>
        <v>274938.13021999999</v>
      </c>
      <c r="AF25" s="195">
        <f t="shared" si="14"/>
        <v>70.627493222134333</v>
      </c>
      <c r="AG25" s="196">
        <v>389279</v>
      </c>
      <c r="AH25" s="196">
        <f t="shared" si="15"/>
        <v>-0.18530999997165054</v>
      </c>
      <c r="AI25" s="196">
        <v>274938</v>
      </c>
      <c r="AJ25" s="196">
        <f t="shared" si="16"/>
        <v>-0.13021999999182299</v>
      </c>
      <c r="AK25" s="195">
        <f t="shared" si="0"/>
        <v>399978.05536</v>
      </c>
      <c r="AL25" s="195">
        <f t="shared" si="17"/>
        <v>276996.12707000005</v>
      </c>
      <c r="AM25" s="200">
        <f t="shared" si="18"/>
        <v>69.252831088618066</v>
      </c>
      <c r="AN25" s="194">
        <v>0</v>
      </c>
      <c r="AO25" s="194">
        <v>305590370.94</v>
      </c>
      <c r="AP25" s="194">
        <v>6655000</v>
      </c>
      <c r="AQ25" s="194">
        <v>13592893</v>
      </c>
      <c r="AR25" s="197">
        <f t="shared" si="19"/>
        <v>100</v>
      </c>
      <c r="AS25" s="195">
        <f t="shared" si="20"/>
        <v>325838.26393999998</v>
      </c>
      <c r="AT25" s="194">
        <v>0</v>
      </c>
      <c r="AU25" s="194">
        <v>221047559.71000001</v>
      </c>
      <c r="AV25" s="194">
        <v>1267724.1000000001</v>
      </c>
      <c r="AW25" s="194">
        <v>7549442.0700000003</v>
      </c>
      <c r="AX25" s="197">
        <f t="shared" si="21"/>
        <v>0</v>
      </c>
      <c r="AY25" s="195">
        <f t="shared" si="22"/>
        <v>229864.72587999998</v>
      </c>
      <c r="AZ25" s="195">
        <f t="shared" si="23"/>
        <v>305322.27093999996</v>
      </c>
      <c r="BA25" s="195">
        <f t="shared" si="1"/>
        <v>220869.30970999997</v>
      </c>
      <c r="BB25" s="195">
        <f t="shared" si="24"/>
        <v>72.339731074974168</v>
      </c>
      <c r="BC25" s="194">
        <v>0</v>
      </c>
      <c r="BD25" s="194">
        <v>60584100</v>
      </c>
      <c r="BE25" s="194">
        <v>16776590.369999999</v>
      </c>
      <c r="BF25" s="194">
        <v>8248574</v>
      </c>
      <c r="BG25" s="195">
        <f t="shared" si="25"/>
        <v>85609.264370000004</v>
      </c>
      <c r="BH25" s="194">
        <v>0</v>
      </c>
      <c r="BI25" s="194">
        <v>43381040.170000002</v>
      </c>
      <c r="BJ25" s="194">
        <v>10174191.92</v>
      </c>
      <c r="BK25" s="194">
        <v>2165938.42</v>
      </c>
      <c r="BL25" s="195">
        <f t="shared" si="26"/>
        <v>55721.170510000004</v>
      </c>
      <c r="BM25" s="198"/>
      <c r="BN25" s="198"/>
      <c r="BO25" s="198"/>
      <c r="BP25" s="195">
        <f t="shared" si="27"/>
        <v>0</v>
      </c>
      <c r="BQ25" s="198"/>
      <c r="BR25" s="198"/>
      <c r="BS25" s="198"/>
      <c r="BT25" s="195">
        <f t="shared" si="28"/>
        <v>0</v>
      </c>
      <c r="BU25" s="195" t="e">
        <f t="shared" si="29"/>
        <v>#DIV/0!</v>
      </c>
      <c r="BV25" s="195">
        <v>34183.412499999999</v>
      </c>
      <c r="BW25" s="195">
        <v>2106.15</v>
      </c>
      <c r="BX25" s="198">
        <v>56949978.780000001</v>
      </c>
      <c r="BY25" s="195">
        <f t="shared" si="30"/>
        <v>56949.978779999998</v>
      </c>
      <c r="BZ25" s="198">
        <v>883661.67</v>
      </c>
      <c r="CA25" s="195">
        <f t="shared" si="31"/>
        <v>883.66167000000007</v>
      </c>
      <c r="CB25" s="195">
        <f t="shared" si="32"/>
        <v>22766.566279999999</v>
      </c>
      <c r="CC25" s="195">
        <f t="shared" si="33"/>
        <v>-1222.4883300000001</v>
      </c>
      <c r="CD25" s="195">
        <f t="shared" si="2"/>
        <v>-10698.870050000027</v>
      </c>
      <c r="CE25" s="195">
        <f t="shared" si="3"/>
        <v>-2057.9968500000541</v>
      </c>
      <c r="CF25" s="195">
        <v>0</v>
      </c>
      <c r="CG25" s="199">
        <v>0</v>
      </c>
      <c r="CH25" s="195">
        <f t="shared" si="34"/>
        <v>0</v>
      </c>
      <c r="CI25" s="194">
        <v>0</v>
      </c>
      <c r="CJ25" s="194">
        <v>305590370.94</v>
      </c>
      <c r="CK25" s="194">
        <v>5002650</v>
      </c>
      <c r="CL25" s="194">
        <v>13592893</v>
      </c>
      <c r="CM25" s="195">
        <f t="shared" si="35"/>
        <v>324185.91394</v>
      </c>
      <c r="CN25" s="194">
        <v>0</v>
      </c>
      <c r="CO25" s="194">
        <v>221047559.71000001</v>
      </c>
      <c r="CP25" s="194">
        <v>-384625.9</v>
      </c>
      <c r="CQ25" s="194">
        <v>7549442.0700000003</v>
      </c>
      <c r="CR25" s="195">
        <f t="shared" si="36"/>
        <v>228212.37588000001</v>
      </c>
      <c r="CS25" s="199">
        <f t="shared" si="4"/>
        <v>303669.92093999998</v>
      </c>
      <c r="CT25" s="199">
        <f t="shared" si="5"/>
        <v>219216.95971</v>
      </c>
      <c r="CU25" s="195">
        <f t="shared" si="37"/>
        <v>72.18922408627806</v>
      </c>
      <c r="CV25" s="194">
        <v>36056000</v>
      </c>
      <c r="CW25" s="195">
        <f t="shared" si="38"/>
        <v>36056</v>
      </c>
      <c r="CX25" s="194">
        <v>24146639.09</v>
      </c>
      <c r="CY25" s="195">
        <f t="shared" si="38"/>
        <v>24146.639090000001</v>
      </c>
      <c r="DA25" s="195">
        <f t="shared" si="39"/>
        <v>0</v>
      </c>
      <c r="DC25" s="195">
        <f t="shared" si="40"/>
        <v>0</v>
      </c>
      <c r="DD25" s="195"/>
    </row>
    <row r="26" spans="1:108" x14ac:dyDescent="0.3">
      <c r="A26" s="193" t="s">
        <v>176</v>
      </c>
      <c r="B26" s="194">
        <v>7943196541.6400003</v>
      </c>
      <c r="C26" s="194">
        <v>0</v>
      </c>
      <c r="D26" s="194">
        <v>0</v>
      </c>
      <c r="E26" s="194">
        <v>0</v>
      </c>
      <c r="F26" s="195">
        <f t="shared" si="6"/>
        <v>7943196.5416400004</v>
      </c>
      <c r="G26" s="194">
        <v>5673092861.4700003</v>
      </c>
      <c r="H26" s="194">
        <v>0</v>
      </c>
      <c r="I26" s="194">
        <v>0</v>
      </c>
      <c r="J26" s="194">
        <v>0</v>
      </c>
      <c r="K26" s="195">
        <f t="shared" si="7"/>
        <v>5673092.8614699999</v>
      </c>
      <c r="L26" s="194">
        <v>0</v>
      </c>
      <c r="M26" s="194">
        <v>0</v>
      </c>
      <c r="N26" s="194">
        <v>0</v>
      </c>
      <c r="O26" s="195">
        <f t="shared" si="8"/>
        <v>0</v>
      </c>
      <c r="P26" s="194">
        <v>0</v>
      </c>
      <c r="Q26" s="194">
        <v>0</v>
      </c>
      <c r="R26" s="194">
        <v>0</v>
      </c>
      <c r="S26" s="195">
        <f t="shared" si="9"/>
        <v>0</v>
      </c>
      <c r="T26" s="194">
        <v>8633694550.5100002</v>
      </c>
      <c r="U26" s="194">
        <v>0</v>
      </c>
      <c r="V26" s="194">
        <v>0</v>
      </c>
      <c r="W26" s="194">
        <v>0</v>
      </c>
      <c r="X26" s="195">
        <f t="shared" si="10"/>
        <v>8633694.5505100004</v>
      </c>
      <c r="Y26" s="194">
        <v>5790137378.1099997</v>
      </c>
      <c r="Z26" s="194">
        <v>0</v>
      </c>
      <c r="AA26" s="194">
        <v>0</v>
      </c>
      <c r="AB26" s="194">
        <v>0</v>
      </c>
      <c r="AC26" s="195">
        <f t="shared" si="11"/>
        <v>5790137.3781099999</v>
      </c>
      <c r="AD26" s="195">
        <f t="shared" si="12"/>
        <v>7943196.5416400004</v>
      </c>
      <c r="AE26" s="195">
        <f t="shared" si="13"/>
        <v>5673092.8614699999</v>
      </c>
      <c r="AF26" s="195">
        <f t="shared" si="14"/>
        <v>71.420779175365823</v>
      </c>
      <c r="AG26" s="196">
        <v>7943197</v>
      </c>
      <c r="AH26" s="196">
        <f t="shared" si="15"/>
        <v>0.45835999958217144</v>
      </c>
      <c r="AI26" s="196">
        <v>5673093</v>
      </c>
      <c r="AJ26" s="196">
        <f t="shared" si="16"/>
        <v>0.1385300001129508</v>
      </c>
      <c r="AK26" s="195">
        <f t="shared" si="0"/>
        <v>8633694.5505100004</v>
      </c>
      <c r="AL26" s="195">
        <f t="shared" si="17"/>
        <v>5790137.3781099999</v>
      </c>
      <c r="AM26" s="195">
        <f t="shared" si="18"/>
        <v>67.064422354019584</v>
      </c>
      <c r="AN26" s="194">
        <v>3780630452.3299999</v>
      </c>
      <c r="AO26" s="194">
        <v>0</v>
      </c>
      <c r="AP26" s="194">
        <v>0</v>
      </c>
      <c r="AQ26" s="194">
        <v>0</v>
      </c>
      <c r="AR26" s="197">
        <f t="shared" si="19"/>
        <v>0</v>
      </c>
      <c r="AS26" s="195">
        <f t="shared" si="20"/>
        <v>3780630.4523299998</v>
      </c>
      <c r="AT26" s="194">
        <v>2684593348.21</v>
      </c>
      <c r="AU26" s="194">
        <v>0</v>
      </c>
      <c r="AV26" s="194">
        <v>0</v>
      </c>
      <c r="AW26" s="194">
        <v>0</v>
      </c>
      <c r="AX26" s="197">
        <f t="shared" si="21"/>
        <v>0</v>
      </c>
      <c r="AY26" s="195">
        <f t="shared" si="22"/>
        <v>2684593.34821</v>
      </c>
      <c r="AZ26" s="195">
        <f t="shared" si="23"/>
        <v>3780630.4523299998</v>
      </c>
      <c r="BA26" s="195">
        <f t="shared" si="1"/>
        <v>2684593.34821</v>
      </c>
      <c r="BB26" s="195">
        <f t="shared" si="24"/>
        <v>71.009144693194941</v>
      </c>
      <c r="BC26" s="194">
        <v>4161766235.23</v>
      </c>
      <c r="BD26" s="194">
        <v>0</v>
      </c>
      <c r="BE26" s="194">
        <v>0</v>
      </c>
      <c r="BF26" s="194">
        <v>0</v>
      </c>
      <c r="BG26" s="195">
        <f t="shared" si="25"/>
        <v>4161766.2352300002</v>
      </c>
      <c r="BH26" s="194">
        <v>2987699659.1799998</v>
      </c>
      <c r="BI26" s="194">
        <v>0</v>
      </c>
      <c r="BJ26" s="194">
        <v>0</v>
      </c>
      <c r="BK26" s="194">
        <v>0</v>
      </c>
      <c r="BL26" s="195">
        <f t="shared" si="26"/>
        <v>2987699.65918</v>
      </c>
      <c r="BM26" s="198"/>
      <c r="BN26" s="198"/>
      <c r="BO26" s="198"/>
      <c r="BP26" s="195">
        <f t="shared" si="27"/>
        <v>0</v>
      </c>
      <c r="BQ26" s="198"/>
      <c r="BR26" s="198"/>
      <c r="BS26" s="198"/>
      <c r="BT26" s="195">
        <f t="shared" si="28"/>
        <v>0</v>
      </c>
      <c r="BU26" s="195" t="e">
        <f t="shared" si="29"/>
        <v>#DIV/0!</v>
      </c>
      <c r="BV26" s="195">
        <v>32143.330739999998</v>
      </c>
      <c r="BW26" s="195">
        <v>277628.02480999997</v>
      </c>
      <c r="BX26" s="198">
        <v>79454814.099999994</v>
      </c>
      <c r="BY26" s="195">
        <f t="shared" si="30"/>
        <v>79454.814099999989</v>
      </c>
      <c r="BZ26" s="198">
        <v>15749866.66</v>
      </c>
      <c r="CA26" s="195">
        <f t="shared" si="31"/>
        <v>15749.86666</v>
      </c>
      <c r="CB26" s="195">
        <f t="shared" si="32"/>
        <v>47311.483359999991</v>
      </c>
      <c r="CC26" s="195">
        <f t="shared" si="33"/>
        <v>-261878.15814999997</v>
      </c>
      <c r="CD26" s="195">
        <f t="shared" si="2"/>
        <v>-690498.00887000002</v>
      </c>
      <c r="CE26" s="195">
        <f t="shared" si="3"/>
        <v>-117044.51664000005</v>
      </c>
      <c r="CF26" s="195">
        <v>1290000</v>
      </c>
      <c r="CG26" s="199">
        <v>1180356</v>
      </c>
      <c r="CH26" s="195">
        <f t="shared" si="34"/>
        <v>-109644</v>
      </c>
      <c r="CI26" s="194">
        <v>3781430306.4099998</v>
      </c>
      <c r="CJ26" s="194">
        <v>0</v>
      </c>
      <c r="CK26" s="194">
        <v>0</v>
      </c>
      <c r="CL26" s="194">
        <v>0</v>
      </c>
      <c r="CM26" s="195">
        <f t="shared" si="35"/>
        <v>3781430.3064099997</v>
      </c>
      <c r="CN26" s="194">
        <v>2685393202.29</v>
      </c>
      <c r="CO26" s="194">
        <v>0</v>
      </c>
      <c r="CP26" s="194">
        <v>0</v>
      </c>
      <c r="CQ26" s="194">
        <v>0</v>
      </c>
      <c r="CR26" s="195">
        <f t="shared" si="36"/>
        <v>2685393.2022899999</v>
      </c>
      <c r="CS26" s="199">
        <f t="shared" si="4"/>
        <v>3781430.3064099997</v>
      </c>
      <c r="CT26" s="199">
        <f t="shared" si="5"/>
        <v>2685393.2022899999</v>
      </c>
      <c r="CU26" s="195">
        <f t="shared" si="37"/>
        <v>71.015276884461429</v>
      </c>
      <c r="CV26" s="194">
        <v>2587534600</v>
      </c>
      <c r="CW26" s="195">
        <f t="shared" si="38"/>
        <v>2587534.6</v>
      </c>
      <c r="CX26" s="194">
        <v>1824826618.9200001</v>
      </c>
      <c r="CY26" s="195">
        <f t="shared" si="38"/>
        <v>1824826.61892</v>
      </c>
      <c r="DA26" s="195">
        <f t="shared" si="39"/>
        <v>0</v>
      </c>
      <c r="DC26" s="195">
        <f t="shared" si="40"/>
        <v>0</v>
      </c>
      <c r="DD26" s="195" t="e">
        <f t="shared" si="41"/>
        <v>#DIV/0!</v>
      </c>
    </row>
    <row r="27" spans="1:108" x14ac:dyDescent="0.3">
      <c r="A27" s="193" t="s">
        <v>177</v>
      </c>
      <c r="B27" s="194">
        <v>6470956626.2200003</v>
      </c>
      <c r="C27" s="194">
        <v>0</v>
      </c>
      <c r="D27" s="194">
        <v>0</v>
      </c>
      <c r="E27" s="194">
        <v>0</v>
      </c>
      <c r="F27" s="195">
        <f t="shared" si="6"/>
        <v>6470956.62622</v>
      </c>
      <c r="G27" s="194">
        <v>4120475094.6599998</v>
      </c>
      <c r="H27" s="194">
        <v>0</v>
      </c>
      <c r="I27" s="194">
        <v>0</v>
      </c>
      <c r="J27" s="194">
        <v>0</v>
      </c>
      <c r="K27" s="195">
        <f t="shared" si="7"/>
        <v>4120475.0946599999</v>
      </c>
      <c r="L27" s="194">
        <v>0</v>
      </c>
      <c r="M27" s="194">
        <v>0</v>
      </c>
      <c r="N27" s="194">
        <v>0</v>
      </c>
      <c r="O27" s="195">
        <f t="shared" si="8"/>
        <v>0</v>
      </c>
      <c r="P27" s="194">
        <v>0</v>
      </c>
      <c r="Q27" s="194">
        <v>0</v>
      </c>
      <c r="R27" s="194">
        <v>0</v>
      </c>
      <c r="S27" s="195">
        <f t="shared" si="9"/>
        <v>0</v>
      </c>
      <c r="T27" s="194">
        <v>6792306163.96</v>
      </c>
      <c r="U27" s="194">
        <v>0</v>
      </c>
      <c r="V27" s="194">
        <v>0</v>
      </c>
      <c r="W27" s="194">
        <v>0</v>
      </c>
      <c r="X27" s="195">
        <f t="shared" si="10"/>
        <v>6792306.1639600005</v>
      </c>
      <c r="Y27" s="194">
        <v>4275443095.7399998</v>
      </c>
      <c r="Z27" s="194">
        <v>0</v>
      </c>
      <c r="AA27" s="194">
        <v>0</v>
      </c>
      <c r="AB27" s="194">
        <v>0</v>
      </c>
      <c r="AC27" s="195">
        <f t="shared" si="11"/>
        <v>4275443.0957399998</v>
      </c>
      <c r="AD27" s="195">
        <f t="shared" si="12"/>
        <v>6470956.62622</v>
      </c>
      <c r="AE27" s="195">
        <f t="shared" si="13"/>
        <v>4120475.0946599999</v>
      </c>
      <c r="AF27" s="195">
        <f t="shared" si="14"/>
        <v>63.676444344628059</v>
      </c>
      <c r="AG27" s="196">
        <v>6470957</v>
      </c>
      <c r="AH27" s="196">
        <f t="shared" si="15"/>
        <v>0.37378000002354383</v>
      </c>
      <c r="AI27" s="196">
        <v>4120475</v>
      </c>
      <c r="AJ27" s="196">
        <f t="shared" si="16"/>
        <v>-9.4659999944269657E-2</v>
      </c>
      <c r="AK27" s="195">
        <f t="shared" si="0"/>
        <v>6792306.1639600005</v>
      </c>
      <c r="AL27" s="195">
        <f t="shared" si="17"/>
        <v>4275443.0957399998</v>
      </c>
      <c r="AM27" s="195">
        <f t="shared" si="18"/>
        <v>62.945382503891167</v>
      </c>
      <c r="AN27" s="194">
        <v>3500949493.3899999</v>
      </c>
      <c r="AO27" s="194">
        <v>0</v>
      </c>
      <c r="AP27" s="194">
        <v>0</v>
      </c>
      <c r="AQ27" s="194">
        <v>0</v>
      </c>
      <c r="AR27" s="197">
        <f t="shared" si="19"/>
        <v>0</v>
      </c>
      <c r="AS27" s="195">
        <f t="shared" si="20"/>
        <v>3500949.49339</v>
      </c>
      <c r="AT27" s="194">
        <v>2102821659.22</v>
      </c>
      <c r="AU27" s="194">
        <v>0</v>
      </c>
      <c r="AV27" s="194">
        <v>0</v>
      </c>
      <c r="AW27" s="194">
        <v>0</v>
      </c>
      <c r="AX27" s="197">
        <f t="shared" si="21"/>
        <v>0</v>
      </c>
      <c r="AY27" s="195">
        <f t="shared" si="22"/>
        <v>2102821.6592199998</v>
      </c>
      <c r="AZ27" s="195">
        <f t="shared" si="23"/>
        <v>3500949.49339</v>
      </c>
      <c r="BA27" s="195">
        <f t="shared" si="1"/>
        <v>2102821.6592199998</v>
      </c>
      <c r="BB27" s="195">
        <f t="shared" si="24"/>
        <v>60.064324355157126</v>
      </c>
      <c r="BC27" s="194">
        <v>3192823625.5900002</v>
      </c>
      <c r="BD27" s="194">
        <v>0</v>
      </c>
      <c r="BE27" s="194">
        <v>0</v>
      </c>
      <c r="BF27" s="194">
        <v>0</v>
      </c>
      <c r="BG27" s="195">
        <f t="shared" si="25"/>
        <v>3192823.6255900003</v>
      </c>
      <c r="BH27" s="194">
        <v>2240469928.1999998</v>
      </c>
      <c r="BI27" s="194">
        <v>0</v>
      </c>
      <c r="BJ27" s="194">
        <v>0</v>
      </c>
      <c r="BK27" s="194">
        <v>0</v>
      </c>
      <c r="BL27" s="195">
        <f t="shared" si="26"/>
        <v>2240469.9282</v>
      </c>
      <c r="BM27" s="198"/>
      <c r="BN27" s="198"/>
      <c r="BO27" s="198"/>
      <c r="BP27" s="195">
        <f t="shared" si="27"/>
        <v>0</v>
      </c>
      <c r="BQ27" s="198"/>
      <c r="BR27" s="198"/>
      <c r="BS27" s="198"/>
      <c r="BT27" s="195">
        <f t="shared" si="28"/>
        <v>0</v>
      </c>
      <c r="BU27" s="195" t="e">
        <f t="shared" si="29"/>
        <v>#DIV/0!</v>
      </c>
      <c r="BV27" s="195">
        <v>301189.12536000001</v>
      </c>
      <c r="BW27" s="195">
        <v>260112.93596999999</v>
      </c>
      <c r="BX27" s="198">
        <v>299433667.66000003</v>
      </c>
      <c r="BY27" s="195">
        <f t="shared" si="30"/>
        <v>299433.66766000004</v>
      </c>
      <c r="BZ27" s="198">
        <v>51033967.649999999</v>
      </c>
      <c r="CA27" s="195">
        <f t="shared" si="31"/>
        <v>51033.967649999999</v>
      </c>
      <c r="CB27" s="195">
        <f t="shared" si="32"/>
        <v>-1755.4576999999699</v>
      </c>
      <c r="CC27" s="195">
        <f t="shared" si="33"/>
        <v>-209078.96831999999</v>
      </c>
      <c r="CD27" s="195">
        <f t="shared" si="2"/>
        <v>-321349.53774000052</v>
      </c>
      <c r="CE27" s="195">
        <f t="shared" si="3"/>
        <v>-154968.00107999984</v>
      </c>
      <c r="CF27" s="195">
        <v>1631466.665</v>
      </c>
      <c r="CG27" s="199">
        <v>1631466.665</v>
      </c>
      <c r="CH27" s="195">
        <f t="shared" si="34"/>
        <v>0</v>
      </c>
      <c r="CI27" s="194">
        <v>3278133000.6300001</v>
      </c>
      <c r="CJ27" s="194">
        <v>0</v>
      </c>
      <c r="CK27" s="194">
        <v>0</v>
      </c>
      <c r="CL27" s="194">
        <v>0</v>
      </c>
      <c r="CM27" s="195">
        <f t="shared" si="35"/>
        <v>3278133.0006300001</v>
      </c>
      <c r="CN27" s="194">
        <v>1880005166.46</v>
      </c>
      <c r="CO27" s="194">
        <v>0</v>
      </c>
      <c r="CP27" s="194">
        <v>0</v>
      </c>
      <c r="CQ27" s="194">
        <v>0</v>
      </c>
      <c r="CR27" s="195">
        <f t="shared" si="36"/>
        <v>1880005.16646</v>
      </c>
      <c r="CS27" s="199">
        <f t="shared" si="4"/>
        <v>3278133.0006300001</v>
      </c>
      <c r="CT27" s="199">
        <f t="shared" si="5"/>
        <v>1880005.16646</v>
      </c>
      <c r="CU27" s="195">
        <f t="shared" si="37"/>
        <v>57.349874642020197</v>
      </c>
      <c r="CV27" s="194">
        <v>2200609900</v>
      </c>
      <c r="CW27" s="195">
        <f t="shared" si="38"/>
        <v>2200609.9</v>
      </c>
      <c r="CX27" s="194">
        <v>1555020803.1300001</v>
      </c>
      <c r="CY27" s="195">
        <f t="shared" si="38"/>
        <v>1555020.8031300001</v>
      </c>
      <c r="DA27" s="195">
        <f t="shared" si="39"/>
        <v>0</v>
      </c>
      <c r="DC27" s="195">
        <f t="shared" si="40"/>
        <v>0</v>
      </c>
      <c r="DD27" s="195" t="e">
        <f t="shared" si="41"/>
        <v>#DIV/0!</v>
      </c>
    </row>
    <row r="28" spans="1:108" x14ac:dyDescent="0.3">
      <c r="A28" s="193" t="s">
        <v>178</v>
      </c>
      <c r="B28" s="194">
        <v>1678741412.9100001</v>
      </c>
      <c r="C28" s="194">
        <v>0</v>
      </c>
      <c r="D28" s="194">
        <v>0</v>
      </c>
      <c r="E28" s="194">
        <v>0</v>
      </c>
      <c r="F28" s="195">
        <f t="shared" si="6"/>
        <v>1678741.4129100002</v>
      </c>
      <c r="G28" s="194">
        <v>1249141542.3199999</v>
      </c>
      <c r="H28" s="194">
        <v>0</v>
      </c>
      <c r="I28" s="194">
        <v>0</v>
      </c>
      <c r="J28" s="194">
        <v>0</v>
      </c>
      <c r="K28" s="195">
        <f t="shared" si="7"/>
        <v>1249141.54232</v>
      </c>
      <c r="L28" s="194">
        <v>0</v>
      </c>
      <c r="M28" s="194">
        <v>0</v>
      </c>
      <c r="N28" s="194">
        <v>0</v>
      </c>
      <c r="O28" s="195">
        <f t="shared" si="8"/>
        <v>0</v>
      </c>
      <c r="P28" s="194">
        <v>0</v>
      </c>
      <c r="Q28" s="194">
        <v>0</v>
      </c>
      <c r="R28" s="194">
        <v>0</v>
      </c>
      <c r="S28" s="195">
        <f t="shared" si="9"/>
        <v>0</v>
      </c>
      <c r="T28" s="194">
        <v>1753116517.0899999</v>
      </c>
      <c r="U28" s="194">
        <v>0</v>
      </c>
      <c r="V28" s="194">
        <v>0</v>
      </c>
      <c r="W28" s="194">
        <v>0</v>
      </c>
      <c r="X28" s="195">
        <f t="shared" si="10"/>
        <v>1753116.51709</v>
      </c>
      <c r="Y28" s="194">
        <v>1289250566.0999999</v>
      </c>
      <c r="Z28" s="194">
        <v>0</v>
      </c>
      <c r="AA28" s="194">
        <v>0</v>
      </c>
      <c r="AB28" s="194">
        <v>0</v>
      </c>
      <c r="AC28" s="195">
        <f t="shared" si="11"/>
        <v>1289250.5660999999</v>
      </c>
      <c r="AD28" s="195">
        <f t="shared" si="12"/>
        <v>1678741.4129100002</v>
      </c>
      <c r="AE28" s="195">
        <f t="shared" si="13"/>
        <v>1249141.54232</v>
      </c>
      <c r="AF28" s="195">
        <f t="shared" si="14"/>
        <v>74.409407709474806</v>
      </c>
      <c r="AG28" s="196">
        <v>1678741</v>
      </c>
      <c r="AH28" s="196">
        <f t="shared" si="15"/>
        <v>-0.41291000018827617</v>
      </c>
      <c r="AI28" s="196">
        <v>1249142</v>
      </c>
      <c r="AJ28" s="196">
        <f t="shared" si="16"/>
        <v>0.4576799999922514</v>
      </c>
      <c r="AK28" s="195">
        <f t="shared" si="0"/>
        <v>1753116.51709</v>
      </c>
      <c r="AL28" s="195">
        <f t="shared" si="17"/>
        <v>1289250.5660999999</v>
      </c>
      <c r="AM28" s="195">
        <f t="shared" si="18"/>
        <v>73.540495085861622</v>
      </c>
      <c r="AN28" s="194">
        <v>955369512.90999997</v>
      </c>
      <c r="AO28" s="194">
        <v>0</v>
      </c>
      <c r="AP28" s="194">
        <v>0</v>
      </c>
      <c r="AQ28" s="194">
        <v>0</v>
      </c>
      <c r="AR28" s="197">
        <f t="shared" si="19"/>
        <v>0</v>
      </c>
      <c r="AS28" s="195">
        <f t="shared" si="20"/>
        <v>955369.51290999993</v>
      </c>
      <c r="AT28" s="194">
        <v>733559937.24000001</v>
      </c>
      <c r="AU28" s="194">
        <v>0</v>
      </c>
      <c r="AV28" s="194">
        <v>0</v>
      </c>
      <c r="AW28" s="194">
        <v>0</v>
      </c>
      <c r="AX28" s="197">
        <f t="shared" si="21"/>
        <v>0</v>
      </c>
      <c r="AY28" s="195">
        <f t="shared" si="22"/>
        <v>733559.93724</v>
      </c>
      <c r="AZ28" s="195">
        <f>AS28-O28</f>
        <v>955369.51290999993</v>
      </c>
      <c r="BA28" s="195">
        <f t="shared" si="1"/>
        <v>733559.93724</v>
      </c>
      <c r="BB28" s="195">
        <f t="shared" si="24"/>
        <v>76.782849706562146</v>
      </c>
      <c r="BC28" s="194">
        <v>723113900</v>
      </c>
      <c r="BD28" s="194">
        <v>0</v>
      </c>
      <c r="BE28" s="194">
        <v>0</v>
      </c>
      <c r="BF28" s="194">
        <v>0</v>
      </c>
      <c r="BG28" s="195">
        <f t="shared" si="25"/>
        <v>723113.9</v>
      </c>
      <c r="BH28" s="194">
        <v>515623596.72000003</v>
      </c>
      <c r="BI28" s="194">
        <v>0</v>
      </c>
      <c r="BJ28" s="194">
        <v>0</v>
      </c>
      <c r="BK28" s="194">
        <v>0</v>
      </c>
      <c r="BL28" s="195">
        <f t="shared" si="26"/>
        <v>515623.59672000003</v>
      </c>
      <c r="BM28" s="198"/>
      <c r="BN28" s="198"/>
      <c r="BO28" s="198"/>
      <c r="BP28" s="195">
        <f t="shared" si="27"/>
        <v>0</v>
      </c>
      <c r="BQ28" s="198"/>
      <c r="BR28" s="198"/>
      <c r="BS28" s="198"/>
      <c r="BT28" s="195">
        <f t="shared" si="28"/>
        <v>0</v>
      </c>
      <c r="BU28" s="195" t="e">
        <f t="shared" si="29"/>
        <v>#DIV/0!</v>
      </c>
      <c r="BV28" s="195">
        <v>6862.9381100000001</v>
      </c>
      <c r="BW28" s="195">
        <v>1100.89582</v>
      </c>
      <c r="BX28" s="198">
        <v>26864805.989999998</v>
      </c>
      <c r="BY28" s="195">
        <f t="shared" si="30"/>
        <v>26864.805989999997</v>
      </c>
      <c r="BZ28" s="198">
        <v>15223940.02</v>
      </c>
      <c r="CA28" s="195">
        <f t="shared" si="31"/>
        <v>15223.94002</v>
      </c>
      <c r="CB28" s="195">
        <f t="shared" si="32"/>
        <v>20001.867879999998</v>
      </c>
      <c r="CC28" s="195">
        <f t="shared" si="33"/>
        <v>14123.0442</v>
      </c>
      <c r="CD28" s="195">
        <f t="shared" si="2"/>
        <v>-74375.104179999791</v>
      </c>
      <c r="CE28" s="195">
        <f t="shared" si="3"/>
        <v>-40109.02377999993</v>
      </c>
      <c r="CF28" s="195">
        <v>104000</v>
      </c>
      <c r="CG28" s="199">
        <v>90000</v>
      </c>
      <c r="CH28" s="195">
        <f t="shared" si="34"/>
        <v>-14000</v>
      </c>
      <c r="CI28" s="194">
        <v>955627512.90999997</v>
      </c>
      <c r="CJ28" s="194">
        <v>0</v>
      </c>
      <c r="CK28" s="194">
        <v>0</v>
      </c>
      <c r="CL28" s="194">
        <v>0</v>
      </c>
      <c r="CM28" s="195">
        <f t="shared" si="35"/>
        <v>955627.51290999993</v>
      </c>
      <c r="CN28" s="194">
        <v>733517945.60000002</v>
      </c>
      <c r="CO28" s="194">
        <v>0</v>
      </c>
      <c r="CP28" s="194">
        <v>0</v>
      </c>
      <c r="CQ28" s="194">
        <v>0</v>
      </c>
      <c r="CR28" s="195">
        <f t="shared" si="36"/>
        <v>733517.94559999998</v>
      </c>
      <c r="CS28" s="199">
        <f t="shared" si="4"/>
        <v>955627.51290999993</v>
      </c>
      <c r="CT28" s="199">
        <f t="shared" si="5"/>
        <v>733517.94559999998</v>
      </c>
      <c r="CU28" s="195">
        <f t="shared" si="37"/>
        <v>76.757725755127154</v>
      </c>
      <c r="CV28" s="194">
        <v>424710400</v>
      </c>
      <c r="CW28" s="195">
        <f t="shared" si="38"/>
        <v>424710.40000000002</v>
      </c>
      <c r="CX28" s="194">
        <v>294888312.01999998</v>
      </c>
      <c r="CY28" s="195">
        <f t="shared" si="38"/>
        <v>294888.31201999995</v>
      </c>
      <c r="DA28" s="195">
        <f t="shared" si="39"/>
        <v>0</v>
      </c>
      <c r="DC28" s="195">
        <f t="shared" si="40"/>
        <v>0</v>
      </c>
      <c r="DD28" s="195" t="e">
        <f t="shared" si="41"/>
        <v>#DIV/0!</v>
      </c>
    </row>
    <row r="29" spans="1:108" x14ac:dyDescent="0.3">
      <c r="A29" s="193" t="s">
        <v>179</v>
      </c>
      <c r="B29" s="194">
        <v>919755524.64999998</v>
      </c>
      <c r="C29" s="194">
        <v>0</v>
      </c>
      <c r="D29" s="194">
        <v>0</v>
      </c>
      <c r="E29" s="194">
        <v>0</v>
      </c>
      <c r="F29" s="195">
        <f t="shared" si="6"/>
        <v>919755.52464999992</v>
      </c>
      <c r="G29" s="194">
        <v>670428474.15999997</v>
      </c>
      <c r="H29" s="194">
        <v>0</v>
      </c>
      <c r="I29" s="194">
        <v>0</v>
      </c>
      <c r="J29" s="194">
        <v>0</v>
      </c>
      <c r="K29" s="195">
        <f t="shared" si="7"/>
        <v>670428.47415999998</v>
      </c>
      <c r="L29" s="194">
        <v>0</v>
      </c>
      <c r="M29" s="194">
        <v>0</v>
      </c>
      <c r="N29" s="194">
        <v>0</v>
      </c>
      <c r="O29" s="195">
        <f t="shared" si="8"/>
        <v>0</v>
      </c>
      <c r="P29" s="194">
        <v>0</v>
      </c>
      <c r="Q29" s="194">
        <v>0</v>
      </c>
      <c r="R29" s="194">
        <v>0</v>
      </c>
      <c r="S29" s="195">
        <f t="shared" si="9"/>
        <v>0</v>
      </c>
      <c r="T29" s="194">
        <v>942398823.63</v>
      </c>
      <c r="U29" s="194">
        <v>0</v>
      </c>
      <c r="V29" s="194">
        <v>0</v>
      </c>
      <c r="W29" s="194">
        <v>0</v>
      </c>
      <c r="X29" s="195">
        <f t="shared" si="10"/>
        <v>942398.82363</v>
      </c>
      <c r="Y29" s="194">
        <v>671845538.37</v>
      </c>
      <c r="Z29" s="194">
        <v>0</v>
      </c>
      <c r="AA29" s="194">
        <v>0</v>
      </c>
      <c r="AB29" s="194">
        <v>0</v>
      </c>
      <c r="AC29" s="195">
        <f t="shared" si="11"/>
        <v>671845.53836999997</v>
      </c>
      <c r="AD29" s="195">
        <f t="shared" si="12"/>
        <v>919755.52464999992</v>
      </c>
      <c r="AE29" s="195">
        <f t="shared" si="13"/>
        <v>670428.47415999998</v>
      </c>
      <c r="AF29" s="195">
        <f t="shared" si="14"/>
        <v>72.892030131063592</v>
      </c>
      <c r="AG29" s="196">
        <v>919756</v>
      </c>
      <c r="AH29" s="196">
        <f>AG29-AD29</f>
        <v>0.47535000008065253</v>
      </c>
      <c r="AI29" s="196">
        <v>670428</v>
      </c>
      <c r="AJ29" s="196">
        <f t="shared" si="16"/>
        <v>-0.47415999998338521</v>
      </c>
      <c r="AK29" s="195">
        <f t="shared" si="0"/>
        <v>942398.82363</v>
      </c>
      <c r="AL29" s="195">
        <f t="shared" si="17"/>
        <v>671845.53836999997</v>
      </c>
      <c r="AM29" s="195">
        <f t="shared" si="18"/>
        <v>71.290999258905771</v>
      </c>
      <c r="AN29" s="194">
        <v>579461069.63</v>
      </c>
      <c r="AO29" s="194">
        <v>0</v>
      </c>
      <c r="AP29" s="194">
        <v>0</v>
      </c>
      <c r="AQ29" s="194">
        <v>0</v>
      </c>
      <c r="AR29" s="197">
        <f t="shared" si="19"/>
        <v>0</v>
      </c>
      <c r="AS29" s="195">
        <f t="shared" si="20"/>
        <v>579461.06963000004</v>
      </c>
      <c r="AT29" s="194">
        <v>416472114.45999998</v>
      </c>
      <c r="AU29" s="194">
        <v>0</v>
      </c>
      <c r="AV29" s="194">
        <v>0</v>
      </c>
      <c r="AW29" s="194">
        <v>0</v>
      </c>
      <c r="AX29" s="197">
        <f t="shared" si="21"/>
        <v>0</v>
      </c>
      <c r="AY29" s="195">
        <f t="shared" si="22"/>
        <v>416472.11445999995</v>
      </c>
      <c r="AZ29" s="195">
        <f t="shared" si="23"/>
        <v>579461.06963000004</v>
      </c>
      <c r="BA29" s="195">
        <f t="shared" si="1"/>
        <v>416472.11445999995</v>
      </c>
      <c r="BB29" s="195">
        <f t="shared" si="24"/>
        <v>71.872320037984181</v>
      </c>
      <c r="BC29" s="194">
        <v>340810200</v>
      </c>
      <c r="BD29" s="194">
        <v>0</v>
      </c>
      <c r="BE29" s="194">
        <v>0</v>
      </c>
      <c r="BF29" s="194">
        <v>0</v>
      </c>
      <c r="BG29" s="195">
        <f t="shared" si="25"/>
        <v>340810.2</v>
      </c>
      <c r="BH29" s="194">
        <v>254472104.68000001</v>
      </c>
      <c r="BI29" s="194">
        <v>0</v>
      </c>
      <c r="BJ29" s="194">
        <v>0</v>
      </c>
      <c r="BK29" s="194">
        <v>0</v>
      </c>
      <c r="BL29" s="195">
        <f t="shared" si="26"/>
        <v>254472.10468000002</v>
      </c>
      <c r="BM29" s="198"/>
      <c r="BN29" s="198"/>
      <c r="BO29" s="198"/>
      <c r="BP29" s="195">
        <f t="shared" si="27"/>
        <v>0</v>
      </c>
      <c r="BQ29" s="198"/>
      <c r="BR29" s="198"/>
      <c r="BS29" s="198"/>
      <c r="BT29" s="195">
        <f t="shared" si="28"/>
        <v>0</v>
      </c>
      <c r="BU29" s="195" t="e">
        <f t="shared" si="29"/>
        <v>#DIV/0!</v>
      </c>
      <c r="BV29" s="195">
        <v>15606.01649</v>
      </c>
      <c r="BW29" s="195">
        <v>2643.29898</v>
      </c>
      <c r="BX29" s="198">
        <v>8818183.1899999995</v>
      </c>
      <c r="BY29" s="195">
        <f t="shared" si="30"/>
        <v>8818.1831899999997</v>
      </c>
      <c r="BZ29" s="198">
        <v>1009775.36</v>
      </c>
      <c r="CA29" s="195">
        <f t="shared" si="31"/>
        <v>1009.77536</v>
      </c>
      <c r="CB29" s="195">
        <f t="shared" si="32"/>
        <v>-6787.8333000000002</v>
      </c>
      <c r="CC29" s="195">
        <f t="shared" si="33"/>
        <v>-1633.5236199999999</v>
      </c>
      <c r="CD29" s="195">
        <f t="shared" si="2"/>
        <v>-22643.29898000008</v>
      </c>
      <c r="CE29" s="195">
        <f t="shared" si="3"/>
        <v>-1417.0642099999823</v>
      </c>
      <c r="CF29" s="195">
        <v>70000</v>
      </c>
      <c r="CG29" s="199">
        <v>53800</v>
      </c>
      <c r="CH29" s="195">
        <f t="shared" si="34"/>
        <v>-16200</v>
      </c>
      <c r="CI29" s="194">
        <v>578945324.64999998</v>
      </c>
      <c r="CJ29" s="194">
        <v>0</v>
      </c>
      <c r="CK29" s="194">
        <v>0</v>
      </c>
      <c r="CL29" s="194">
        <v>0</v>
      </c>
      <c r="CM29" s="195">
        <f t="shared" si="35"/>
        <v>578945.32464999997</v>
      </c>
      <c r="CN29" s="194">
        <v>415956369.48000002</v>
      </c>
      <c r="CO29" s="194">
        <v>0</v>
      </c>
      <c r="CP29" s="194">
        <v>0</v>
      </c>
      <c r="CQ29" s="194">
        <v>0</v>
      </c>
      <c r="CR29" s="195">
        <f t="shared" si="36"/>
        <v>415956.36947999999</v>
      </c>
      <c r="CS29" s="199">
        <f t="shared" si="4"/>
        <v>578945.32464999997</v>
      </c>
      <c r="CT29" s="199">
        <f t="shared" si="5"/>
        <v>415956.36947999999</v>
      </c>
      <c r="CU29" s="195">
        <f t="shared" si="37"/>
        <v>71.84726290543334</v>
      </c>
      <c r="CV29" s="194">
        <v>217097000</v>
      </c>
      <c r="CW29" s="195">
        <f t="shared" si="38"/>
        <v>217097</v>
      </c>
      <c r="CX29" s="194">
        <v>163911204.33000001</v>
      </c>
      <c r="CY29" s="195">
        <f t="shared" si="38"/>
        <v>163911.20433000001</v>
      </c>
      <c r="DA29" s="195">
        <f t="shared" si="39"/>
        <v>0</v>
      </c>
      <c r="DC29" s="195">
        <f t="shared" si="40"/>
        <v>0</v>
      </c>
      <c r="DD29" s="200" t="e">
        <f t="shared" si="41"/>
        <v>#DIV/0!</v>
      </c>
    </row>
    <row r="30" spans="1:108" x14ac:dyDescent="0.3">
      <c r="A30" s="193" t="s">
        <v>180</v>
      </c>
      <c r="B30" s="194">
        <v>845800926.62</v>
      </c>
      <c r="C30" s="194">
        <v>0</v>
      </c>
      <c r="D30" s="194">
        <v>0</v>
      </c>
      <c r="E30" s="194">
        <v>0</v>
      </c>
      <c r="F30" s="195">
        <f t="shared" si="6"/>
        <v>845800.92662000004</v>
      </c>
      <c r="G30" s="194">
        <v>626484653.87</v>
      </c>
      <c r="H30" s="194">
        <v>0</v>
      </c>
      <c r="I30" s="194">
        <v>0</v>
      </c>
      <c r="J30" s="194">
        <v>0</v>
      </c>
      <c r="K30" s="195">
        <f t="shared" si="7"/>
        <v>626484.65387000004</v>
      </c>
      <c r="L30" s="194">
        <v>0</v>
      </c>
      <c r="M30" s="194">
        <v>0</v>
      </c>
      <c r="N30" s="194">
        <v>0</v>
      </c>
      <c r="O30" s="195">
        <f t="shared" si="8"/>
        <v>0</v>
      </c>
      <c r="P30" s="194">
        <v>0</v>
      </c>
      <c r="Q30" s="194">
        <v>0</v>
      </c>
      <c r="R30" s="194">
        <v>0</v>
      </c>
      <c r="S30" s="195">
        <f t="shared" si="9"/>
        <v>0</v>
      </c>
      <c r="T30" s="194">
        <v>871127066.04999995</v>
      </c>
      <c r="U30" s="194">
        <v>0</v>
      </c>
      <c r="V30" s="194">
        <v>0</v>
      </c>
      <c r="W30" s="194">
        <v>0</v>
      </c>
      <c r="X30" s="195">
        <f t="shared" si="10"/>
        <v>871127.06604999991</v>
      </c>
      <c r="Y30" s="194">
        <v>618671705.53999996</v>
      </c>
      <c r="Z30" s="194">
        <v>0</v>
      </c>
      <c r="AA30" s="194">
        <v>0</v>
      </c>
      <c r="AB30" s="194">
        <v>0</v>
      </c>
      <c r="AC30" s="195">
        <f t="shared" si="11"/>
        <v>618671.70554</v>
      </c>
      <c r="AD30" s="195">
        <f t="shared" si="12"/>
        <v>845800.92662000004</v>
      </c>
      <c r="AE30" s="195">
        <f t="shared" si="13"/>
        <v>626484.65387000004</v>
      </c>
      <c r="AF30" s="195">
        <f t="shared" si="14"/>
        <v>74.0699890662884</v>
      </c>
      <c r="AG30" s="196">
        <v>845801</v>
      </c>
      <c r="AH30" s="196">
        <f t="shared" si="15"/>
        <v>7.3379999957978725E-2</v>
      </c>
      <c r="AI30" s="196">
        <v>626485</v>
      </c>
      <c r="AJ30" s="196">
        <f t="shared" si="16"/>
        <v>0.34612999996170402</v>
      </c>
      <c r="AK30" s="195">
        <f t="shared" si="0"/>
        <v>871127.06604999991</v>
      </c>
      <c r="AL30" s="195">
        <f t="shared" si="17"/>
        <v>618671.70554</v>
      </c>
      <c r="AM30" s="195">
        <f t="shared" si="18"/>
        <v>71.0196858358767</v>
      </c>
      <c r="AN30" s="194">
        <v>461751420</v>
      </c>
      <c r="AO30" s="194">
        <v>0</v>
      </c>
      <c r="AP30" s="194">
        <v>0</v>
      </c>
      <c r="AQ30" s="194">
        <v>0</v>
      </c>
      <c r="AR30" s="197">
        <f t="shared" si="19"/>
        <v>0</v>
      </c>
      <c r="AS30" s="195">
        <f t="shared" si="20"/>
        <v>461751.42</v>
      </c>
      <c r="AT30" s="194">
        <v>334985285.69999999</v>
      </c>
      <c r="AU30" s="194">
        <v>0</v>
      </c>
      <c r="AV30" s="194">
        <v>0</v>
      </c>
      <c r="AW30" s="194">
        <v>0</v>
      </c>
      <c r="AX30" s="197">
        <f t="shared" si="21"/>
        <v>0</v>
      </c>
      <c r="AY30" s="195">
        <f t="shared" si="22"/>
        <v>334985.28570000001</v>
      </c>
      <c r="AZ30" s="195">
        <f t="shared" si="23"/>
        <v>461751.42</v>
      </c>
      <c r="BA30" s="195">
        <f t="shared" si="1"/>
        <v>334985.28570000001</v>
      </c>
      <c r="BB30" s="195">
        <f t="shared" si="24"/>
        <v>72.546671475314582</v>
      </c>
      <c r="BC30" s="194">
        <v>384703420.01999998</v>
      </c>
      <c r="BD30" s="194">
        <v>0</v>
      </c>
      <c r="BE30" s="194">
        <v>0</v>
      </c>
      <c r="BF30" s="194">
        <v>0</v>
      </c>
      <c r="BG30" s="195">
        <f t="shared" si="25"/>
        <v>384703.42001999996</v>
      </c>
      <c r="BH30" s="194">
        <v>292233263.19</v>
      </c>
      <c r="BI30" s="194">
        <v>0</v>
      </c>
      <c r="BJ30" s="194">
        <v>0</v>
      </c>
      <c r="BK30" s="194">
        <v>0</v>
      </c>
      <c r="BL30" s="195">
        <f t="shared" si="26"/>
        <v>292233.26318999997</v>
      </c>
      <c r="BM30" s="198"/>
      <c r="BN30" s="198"/>
      <c r="BO30" s="198"/>
      <c r="BP30" s="195">
        <f t="shared" si="27"/>
        <v>0</v>
      </c>
      <c r="BQ30" s="198"/>
      <c r="BR30" s="198"/>
      <c r="BS30" s="198"/>
      <c r="BT30" s="195">
        <f t="shared" si="28"/>
        <v>0</v>
      </c>
      <c r="BU30" s="195" t="e">
        <f t="shared" si="29"/>
        <v>#DIV/0!</v>
      </c>
      <c r="BV30" s="195">
        <v>7704.2646100000002</v>
      </c>
      <c r="BW30" s="195">
        <v>627.44568000000004</v>
      </c>
      <c r="BX30" s="198">
        <v>49733711.609999999</v>
      </c>
      <c r="BY30" s="195">
        <f t="shared" si="30"/>
        <v>49733.711609999998</v>
      </c>
      <c r="BZ30" s="198">
        <v>4483582</v>
      </c>
      <c r="CA30" s="195">
        <f t="shared" si="31"/>
        <v>4483.5820000000003</v>
      </c>
      <c r="CB30" s="195">
        <f t="shared" si="32"/>
        <v>42029.447</v>
      </c>
      <c r="CC30" s="195">
        <f t="shared" si="33"/>
        <v>3856.1363200000005</v>
      </c>
      <c r="CD30" s="195">
        <f t="shared" si="2"/>
        <v>-25326.139429999865</v>
      </c>
      <c r="CE30" s="195">
        <f t="shared" si="3"/>
        <v>7812.9483300000429</v>
      </c>
      <c r="CF30" s="195">
        <v>212247.42499999999</v>
      </c>
      <c r="CG30" s="199">
        <v>212247.42499999999</v>
      </c>
      <c r="CH30" s="195">
        <f t="shared" si="34"/>
        <v>0</v>
      </c>
      <c r="CI30" s="194">
        <v>461097506.60000002</v>
      </c>
      <c r="CJ30" s="194">
        <v>0</v>
      </c>
      <c r="CK30" s="194">
        <v>0</v>
      </c>
      <c r="CL30" s="194">
        <v>0</v>
      </c>
      <c r="CM30" s="195">
        <f t="shared" si="35"/>
        <v>461097.50660000002</v>
      </c>
      <c r="CN30" s="194">
        <v>334251390.68000001</v>
      </c>
      <c r="CO30" s="194">
        <v>0</v>
      </c>
      <c r="CP30" s="194">
        <v>0</v>
      </c>
      <c r="CQ30" s="194">
        <v>0</v>
      </c>
      <c r="CR30" s="195">
        <f t="shared" si="36"/>
        <v>334251.39068000001</v>
      </c>
      <c r="CS30" s="199">
        <f t="shared" si="4"/>
        <v>461097.50660000002</v>
      </c>
      <c r="CT30" s="199">
        <f t="shared" si="5"/>
        <v>334251.39068000001</v>
      </c>
      <c r="CU30" s="195">
        <f t="shared" si="37"/>
        <v>72.490392139544056</v>
      </c>
      <c r="CV30" s="194">
        <v>252799100</v>
      </c>
      <c r="CW30" s="195">
        <f t="shared" si="38"/>
        <v>252799.1</v>
      </c>
      <c r="CX30" s="194">
        <v>186326235.58000001</v>
      </c>
      <c r="CY30" s="195">
        <f t="shared" si="38"/>
        <v>186326.23558000001</v>
      </c>
      <c r="DA30" s="195">
        <f t="shared" si="39"/>
        <v>0</v>
      </c>
      <c r="DC30" s="195">
        <f t="shared" si="40"/>
        <v>0</v>
      </c>
      <c r="DD30" s="195" t="e">
        <f t="shared" si="41"/>
        <v>#DIV/0!</v>
      </c>
    </row>
    <row r="31" spans="1:108" x14ac:dyDescent="0.3">
      <c r="A31" s="193" t="s">
        <v>181</v>
      </c>
      <c r="B31" s="194">
        <v>1036049166.01</v>
      </c>
      <c r="C31" s="194">
        <v>0</v>
      </c>
      <c r="D31" s="194">
        <v>0</v>
      </c>
      <c r="E31" s="194">
        <v>0</v>
      </c>
      <c r="F31" s="195">
        <f t="shared" si="6"/>
        <v>1036049.16601</v>
      </c>
      <c r="G31" s="194">
        <v>669428412.97000003</v>
      </c>
      <c r="H31" s="194">
        <v>0</v>
      </c>
      <c r="I31" s="194">
        <v>0</v>
      </c>
      <c r="J31" s="194">
        <v>0</v>
      </c>
      <c r="K31" s="195">
        <f t="shared" si="7"/>
        <v>669428.41297000006</v>
      </c>
      <c r="L31" s="194">
        <v>0</v>
      </c>
      <c r="M31" s="194">
        <v>0</v>
      </c>
      <c r="N31" s="194">
        <v>0</v>
      </c>
      <c r="O31" s="195">
        <f t="shared" si="8"/>
        <v>0</v>
      </c>
      <c r="P31" s="194">
        <v>0</v>
      </c>
      <c r="Q31" s="194">
        <v>0</v>
      </c>
      <c r="R31" s="194">
        <v>0</v>
      </c>
      <c r="S31" s="195">
        <f t="shared" si="9"/>
        <v>0</v>
      </c>
      <c r="T31" s="194">
        <v>1127258721.6300001</v>
      </c>
      <c r="U31" s="194">
        <v>0</v>
      </c>
      <c r="V31" s="194">
        <v>0</v>
      </c>
      <c r="W31" s="194">
        <v>0</v>
      </c>
      <c r="X31" s="195">
        <f t="shared" si="10"/>
        <v>1127258.72163</v>
      </c>
      <c r="Y31" s="194">
        <v>647729407.07000005</v>
      </c>
      <c r="Z31" s="194">
        <v>0</v>
      </c>
      <c r="AA31" s="194">
        <v>0</v>
      </c>
      <c r="AB31" s="194">
        <v>0</v>
      </c>
      <c r="AC31" s="195">
        <f t="shared" si="11"/>
        <v>647729.40707000007</v>
      </c>
      <c r="AD31" s="195">
        <f t="shared" si="12"/>
        <v>1036049.16601</v>
      </c>
      <c r="AE31" s="195">
        <f t="shared" si="13"/>
        <v>669428.41297000006</v>
      </c>
      <c r="AF31" s="200">
        <f t="shared" si="14"/>
        <v>64.613575777304249</v>
      </c>
      <c r="AG31" s="201">
        <v>1036049</v>
      </c>
      <c r="AH31" s="196">
        <f t="shared" si="15"/>
        <v>-0.16601000004447997</v>
      </c>
      <c r="AI31" s="201">
        <v>669428</v>
      </c>
      <c r="AJ31" s="196">
        <f t="shared" si="16"/>
        <v>-0.41297000006306916</v>
      </c>
      <c r="AK31" s="195">
        <f t="shared" si="0"/>
        <v>1127258.72163</v>
      </c>
      <c r="AL31" s="195">
        <f t="shared" si="17"/>
        <v>647729.40707000007</v>
      </c>
      <c r="AM31" s="195">
        <f t="shared" si="18"/>
        <v>57.460580667177503</v>
      </c>
      <c r="AN31" s="194">
        <v>524983469.12</v>
      </c>
      <c r="AO31" s="194">
        <v>0</v>
      </c>
      <c r="AP31" s="194">
        <v>0</v>
      </c>
      <c r="AQ31" s="194">
        <v>0</v>
      </c>
      <c r="AR31" s="197">
        <f t="shared" si="19"/>
        <v>0</v>
      </c>
      <c r="AS31" s="195">
        <f t="shared" si="20"/>
        <v>524983.46912000002</v>
      </c>
      <c r="AT31" s="194">
        <v>334715305.54000002</v>
      </c>
      <c r="AU31" s="194">
        <v>0</v>
      </c>
      <c r="AV31" s="194">
        <v>0</v>
      </c>
      <c r="AW31" s="194">
        <v>0</v>
      </c>
      <c r="AX31" s="197">
        <f t="shared" si="21"/>
        <v>0</v>
      </c>
      <c r="AY31" s="195">
        <f t="shared" si="22"/>
        <v>334715.30554000003</v>
      </c>
      <c r="AZ31" s="195">
        <f t="shared" si="23"/>
        <v>524983.46912000002</v>
      </c>
      <c r="BA31" s="195">
        <f t="shared" si="1"/>
        <v>334715.30554000003</v>
      </c>
      <c r="BB31" s="195">
        <f t="shared" si="24"/>
        <v>63.757303844455194</v>
      </c>
      <c r="BC31" s="194">
        <v>515507000</v>
      </c>
      <c r="BD31" s="194">
        <v>0</v>
      </c>
      <c r="BE31" s="194">
        <v>0</v>
      </c>
      <c r="BF31" s="194">
        <v>0</v>
      </c>
      <c r="BG31" s="195">
        <f t="shared" si="25"/>
        <v>515507</v>
      </c>
      <c r="BH31" s="194">
        <v>339154410.54000002</v>
      </c>
      <c r="BI31" s="194">
        <v>0</v>
      </c>
      <c r="BJ31" s="194">
        <v>0</v>
      </c>
      <c r="BK31" s="194">
        <v>0</v>
      </c>
      <c r="BL31" s="195">
        <f t="shared" si="26"/>
        <v>339154.41054000001</v>
      </c>
      <c r="BM31" s="198"/>
      <c r="BN31" s="198"/>
      <c r="BO31" s="198"/>
      <c r="BP31" s="195">
        <f t="shared" si="27"/>
        <v>0</v>
      </c>
      <c r="BQ31" s="198"/>
      <c r="BR31" s="198"/>
      <c r="BS31" s="198"/>
      <c r="BT31" s="195">
        <f t="shared" si="28"/>
        <v>0</v>
      </c>
      <c r="BU31" s="195"/>
      <c r="BV31" s="195">
        <v>91635.608529999998</v>
      </c>
      <c r="BW31" s="195">
        <v>4125.5708500000001</v>
      </c>
      <c r="BX31" s="198">
        <v>113334614.43000001</v>
      </c>
      <c r="BY31" s="195">
        <f t="shared" si="30"/>
        <v>113334.61443</v>
      </c>
      <c r="BZ31" s="198">
        <v>509924.94</v>
      </c>
      <c r="CA31" s="195">
        <f t="shared" si="31"/>
        <v>509.92493999999999</v>
      </c>
      <c r="CB31" s="195">
        <f t="shared" si="32"/>
        <v>21699.005900000004</v>
      </c>
      <c r="CC31" s="195">
        <f t="shared" si="33"/>
        <v>-3615.6459100000002</v>
      </c>
      <c r="CD31" s="195">
        <f t="shared" si="2"/>
        <v>-91209.555619999999</v>
      </c>
      <c r="CE31" s="195">
        <f t="shared" si="3"/>
        <v>21699.005899999989</v>
      </c>
      <c r="CF31" s="195">
        <v>0</v>
      </c>
      <c r="CG31" s="199">
        <v>0</v>
      </c>
      <c r="CH31" s="195">
        <f t="shared" si="34"/>
        <v>0</v>
      </c>
      <c r="CI31" s="194">
        <v>520542166.00999999</v>
      </c>
      <c r="CJ31" s="194">
        <v>0</v>
      </c>
      <c r="CK31" s="194">
        <v>0</v>
      </c>
      <c r="CL31" s="194">
        <v>0</v>
      </c>
      <c r="CM31" s="195">
        <f t="shared" si="35"/>
        <v>520542.16600999999</v>
      </c>
      <c r="CN31" s="194">
        <v>330274002.43000001</v>
      </c>
      <c r="CO31" s="194">
        <v>0</v>
      </c>
      <c r="CP31" s="194">
        <v>0</v>
      </c>
      <c r="CQ31" s="194">
        <v>0</v>
      </c>
      <c r="CR31" s="195">
        <f t="shared" si="36"/>
        <v>330274.00242999999</v>
      </c>
      <c r="CS31" s="199">
        <f t="shared" si="4"/>
        <v>520542.16600999999</v>
      </c>
      <c r="CT31" s="199">
        <f t="shared" si="5"/>
        <v>330274.00242999999</v>
      </c>
      <c r="CU31" s="195">
        <f t="shared" si="37"/>
        <v>63.448078560393739</v>
      </c>
      <c r="CV31" s="194">
        <v>357854000</v>
      </c>
      <c r="CW31" s="195">
        <f t="shared" si="38"/>
        <v>357854</v>
      </c>
      <c r="CX31" s="194">
        <v>232642159.47</v>
      </c>
      <c r="CY31" s="195">
        <f t="shared" si="38"/>
        <v>232642.15947000001</v>
      </c>
      <c r="DA31" s="195">
        <f t="shared" si="39"/>
        <v>0</v>
      </c>
      <c r="DC31" s="195">
        <f t="shared" si="40"/>
        <v>0</v>
      </c>
      <c r="DD31" s="195"/>
    </row>
    <row r="32" spans="1:108" x14ac:dyDescent="0.3">
      <c r="A32" s="193" t="s">
        <v>182</v>
      </c>
      <c r="B32" s="194">
        <v>95096854.109999999</v>
      </c>
      <c r="C32" s="194">
        <v>0</v>
      </c>
      <c r="D32" s="194">
        <v>0</v>
      </c>
      <c r="E32" s="194">
        <v>0</v>
      </c>
      <c r="F32" s="195">
        <f t="shared" si="6"/>
        <v>95096.85411</v>
      </c>
      <c r="G32" s="194">
        <v>62712945.200000003</v>
      </c>
      <c r="H32" s="194">
        <v>0</v>
      </c>
      <c r="I32" s="194">
        <v>0</v>
      </c>
      <c r="J32" s="194">
        <v>0</v>
      </c>
      <c r="K32" s="195">
        <f t="shared" si="7"/>
        <v>62712.945200000002</v>
      </c>
      <c r="L32" s="194">
        <v>0</v>
      </c>
      <c r="M32" s="194">
        <v>0</v>
      </c>
      <c r="N32" s="194">
        <v>0</v>
      </c>
      <c r="O32" s="195">
        <f t="shared" si="8"/>
        <v>0</v>
      </c>
      <c r="P32" s="194">
        <v>0</v>
      </c>
      <c r="Q32" s="194">
        <v>0</v>
      </c>
      <c r="R32" s="194">
        <v>0</v>
      </c>
      <c r="S32" s="195">
        <f t="shared" si="9"/>
        <v>0</v>
      </c>
      <c r="T32" s="194">
        <v>103639973.65000001</v>
      </c>
      <c r="U32" s="194">
        <v>0</v>
      </c>
      <c r="V32" s="194">
        <v>0</v>
      </c>
      <c r="W32" s="194">
        <v>0</v>
      </c>
      <c r="X32" s="195">
        <f t="shared" si="10"/>
        <v>103639.97365</v>
      </c>
      <c r="Y32" s="194">
        <v>71918757.129999995</v>
      </c>
      <c r="Z32" s="194">
        <v>0</v>
      </c>
      <c r="AA32" s="194">
        <v>0</v>
      </c>
      <c r="AB32" s="194">
        <v>0</v>
      </c>
      <c r="AC32" s="195">
        <f t="shared" si="11"/>
        <v>71918.757129999998</v>
      </c>
      <c r="AD32" s="195">
        <f t="shared" si="12"/>
        <v>95096.85411</v>
      </c>
      <c r="AE32" s="195">
        <f t="shared" si="13"/>
        <v>62712.945200000002</v>
      </c>
      <c r="AF32" s="200">
        <f t="shared" si="14"/>
        <v>65.946393060972312</v>
      </c>
      <c r="AG32" s="201">
        <v>95097</v>
      </c>
      <c r="AH32" s="196">
        <f t="shared" si="15"/>
        <v>0.14588999999978114</v>
      </c>
      <c r="AI32" s="201">
        <v>62713</v>
      </c>
      <c r="AJ32" s="196">
        <f t="shared" si="16"/>
        <v>5.4799999998067506E-2</v>
      </c>
      <c r="AK32" s="195">
        <f t="shared" si="0"/>
        <v>103639.97365</v>
      </c>
      <c r="AL32" s="195">
        <f t="shared" si="17"/>
        <v>71918.757129999998</v>
      </c>
      <c r="AM32" s="195">
        <f t="shared" si="18"/>
        <v>69.392874773275281</v>
      </c>
      <c r="AN32" s="194">
        <v>7843600</v>
      </c>
      <c r="AO32" s="194">
        <v>0</v>
      </c>
      <c r="AP32" s="194">
        <v>0</v>
      </c>
      <c r="AQ32" s="194">
        <v>0</v>
      </c>
      <c r="AR32" s="197">
        <f t="shared" si="19"/>
        <v>0</v>
      </c>
      <c r="AS32" s="195">
        <f t="shared" si="20"/>
        <v>7843.6</v>
      </c>
      <c r="AT32" s="194">
        <v>4508537.7300000004</v>
      </c>
      <c r="AU32" s="194">
        <v>0</v>
      </c>
      <c r="AV32" s="194">
        <v>0</v>
      </c>
      <c r="AW32" s="194">
        <v>0</v>
      </c>
      <c r="AX32" s="197">
        <f t="shared" si="21"/>
        <v>0</v>
      </c>
      <c r="AY32" s="195">
        <f t="shared" si="22"/>
        <v>4508.53773</v>
      </c>
      <c r="AZ32" s="195">
        <f t="shared" si="23"/>
        <v>7843.6</v>
      </c>
      <c r="BA32" s="195">
        <f t="shared" si="1"/>
        <v>4508.53773</v>
      </c>
      <c r="BB32" s="195">
        <f t="shared" si="24"/>
        <v>57.480464710082103</v>
      </c>
      <c r="BC32" s="194">
        <v>87253254.109999999</v>
      </c>
      <c r="BD32" s="194">
        <v>0</v>
      </c>
      <c r="BE32" s="194">
        <v>0</v>
      </c>
      <c r="BF32" s="194">
        <v>0</v>
      </c>
      <c r="BG32" s="195">
        <f t="shared" si="25"/>
        <v>87253.254109999994</v>
      </c>
      <c r="BH32" s="194">
        <v>58210607.469999999</v>
      </c>
      <c r="BI32" s="194">
        <v>0</v>
      </c>
      <c r="BJ32" s="194">
        <v>0</v>
      </c>
      <c r="BK32" s="194">
        <v>0</v>
      </c>
      <c r="BL32" s="195">
        <f t="shared" si="26"/>
        <v>58210.607469999995</v>
      </c>
      <c r="BM32" s="198"/>
      <c r="BN32" s="198"/>
      <c r="BO32" s="198"/>
      <c r="BP32" s="195">
        <f t="shared" si="27"/>
        <v>0</v>
      </c>
      <c r="BQ32" s="198"/>
      <c r="BR32" s="198"/>
      <c r="BS32" s="198"/>
      <c r="BT32" s="195">
        <f t="shared" si="28"/>
        <v>0</v>
      </c>
      <c r="BU32" s="195"/>
      <c r="BV32" s="195">
        <v>19042.350710000002</v>
      </c>
      <c r="BW32" s="195">
        <v>6.2</v>
      </c>
      <c r="BX32" s="198">
        <v>9836538.7799999993</v>
      </c>
      <c r="BY32" s="195">
        <f t="shared" si="30"/>
        <v>9836.538779999999</v>
      </c>
      <c r="BZ32" s="198">
        <v>13052.73</v>
      </c>
      <c r="CA32" s="195">
        <f t="shared" si="31"/>
        <v>13.05273</v>
      </c>
      <c r="CB32" s="195">
        <f t="shared" si="32"/>
        <v>-9205.8119300000035</v>
      </c>
      <c r="CC32" s="195">
        <f t="shared" si="33"/>
        <v>6.8527300000000002</v>
      </c>
      <c r="CD32" s="195">
        <f t="shared" si="2"/>
        <v>-8543.1195399999997</v>
      </c>
      <c r="CE32" s="195">
        <f t="shared" si="3"/>
        <v>-9205.8119299999962</v>
      </c>
      <c r="CF32" s="195">
        <v>0</v>
      </c>
      <c r="CG32" s="199">
        <v>0</v>
      </c>
      <c r="CH32" s="195">
        <f t="shared" si="34"/>
        <v>0</v>
      </c>
      <c r="CI32" s="194">
        <v>7843600</v>
      </c>
      <c r="CJ32" s="194">
        <v>0</v>
      </c>
      <c r="CK32" s="194">
        <v>0</v>
      </c>
      <c r="CL32" s="194">
        <v>0</v>
      </c>
      <c r="CM32" s="195">
        <f t="shared" si="35"/>
        <v>7843.6</v>
      </c>
      <c r="CN32" s="194">
        <v>4502337.7300000004</v>
      </c>
      <c r="CO32" s="194">
        <v>0</v>
      </c>
      <c r="CP32" s="194">
        <v>0</v>
      </c>
      <c r="CQ32" s="194">
        <v>0</v>
      </c>
      <c r="CR32" s="195">
        <f t="shared" si="36"/>
        <v>4502.3377300000002</v>
      </c>
      <c r="CS32" s="199">
        <f t="shared" si="4"/>
        <v>7843.6</v>
      </c>
      <c r="CT32" s="199">
        <f t="shared" si="5"/>
        <v>4502.3377300000002</v>
      </c>
      <c r="CU32" s="200">
        <f t="shared" si="37"/>
        <v>57.401419373756944</v>
      </c>
      <c r="CV32" s="194">
        <v>86312100</v>
      </c>
      <c r="CW32" s="195">
        <f t="shared" si="38"/>
        <v>86312.1</v>
      </c>
      <c r="CX32" s="194">
        <v>57655168.640000001</v>
      </c>
      <c r="CY32" s="195">
        <f t="shared" si="38"/>
        <v>57655.168640000004</v>
      </c>
      <c r="DA32" s="195">
        <f t="shared" si="39"/>
        <v>0</v>
      </c>
      <c r="DC32" s="195">
        <f t="shared" si="40"/>
        <v>0</v>
      </c>
      <c r="DD32" s="195"/>
    </row>
    <row r="33" spans="1:108" x14ac:dyDescent="0.3">
      <c r="A33" s="203" t="s">
        <v>183</v>
      </c>
      <c r="B33" s="204">
        <f t="shared" ref="B33:D33" si="42">SUM(B7:B32)</f>
        <v>18989597052.16</v>
      </c>
      <c r="C33" s="204">
        <f t="shared" si="42"/>
        <v>13764910853.59</v>
      </c>
      <c r="D33" s="204">
        <f t="shared" si="42"/>
        <v>883495979.56000006</v>
      </c>
      <c r="E33" s="204"/>
      <c r="F33" s="204">
        <f>SUM(F7:F32)</f>
        <v>35061054.079149999</v>
      </c>
      <c r="G33" s="204">
        <f t="shared" ref="G33:I33" si="43">SUM(G7:G32)</f>
        <v>13071763984.650002</v>
      </c>
      <c r="H33" s="204">
        <f t="shared" si="43"/>
        <v>9831725277.7399998</v>
      </c>
      <c r="I33" s="204">
        <f t="shared" si="43"/>
        <v>409170287.75</v>
      </c>
      <c r="J33" s="204"/>
      <c r="K33" s="204">
        <f>SUM(K7:K32)</f>
        <v>24092394.299310002</v>
      </c>
      <c r="L33" s="204">
        <v>0</v>
      </c>
      <c r="M33" s="204">
        <f t="shared" ref="M33:N33" si="44">SUM(M7:M32)</f>
        <v>40878755.75</v>
      </c>
      <c r="N33" s="204">
        <f t="shared" si="44"/>
        <v>62526890.379999995</v>
      </c>
      <c r="O33" s="204">
        <f>SUM(O7:O32)</f>
        <v>1997196.1287499999</v>
      </c>
      <c r="P33" s="204">
        <f t="shared" ref="P33:Q33" si="45">SUM(P7:P32)</f>
        <v>1136359831.47</v>
      </c>
      <c r="Q33" s="204">
        <f t="shared" si="45"/>
        <v>28015057.049999997</v>
      </c>
      <c r="R33" s="204"/>
      <c r="S33" s="204">
        <f>SUM(S7:S32)</f>
        <v>1207864.5479300001</v>
      </c>
      <c r="X33" s="204">
        <f>SUM(X7:X32)</f>
        <v>37653340.211240001</v>
      </c>
      <c r="AC33" s="204">
        <f>SUM(AC7:AC32)</f>
        <v>25220729.136359997</v>
      </c>
      <c r="AD33" s="204">
        <f>SUM(AD7:AD32)</f>
        <v>33063857.950399999</v>
      </c>
      <c r="AE33" s="204">
        <f>SUM(AE7:AE32)</f>
        <v>22884529.75138</v>
      </c>
      <c r="AF33" s="204">
        <f t="shared" si="14"/>
        <v>69.213126265270418</v>
      </c>
      <c r="AG33" s="201">
        <f>SUM(AG7:AG32)</f>
        <v>33064098</v>
      </c>
      <c r="AH33" s="201">
        <f t="shared" ref="AH33:AJ33" si="46">SUM(AH7:AH32)</f>
        <v>240.04959999893617</v>
      </c>
      <c r="AI33" s="201">
        <f>SUM(AI7:AI32)</f>
        <v>22884530</v>
      </c>
      <c r="AJ33" s="201">
        <f t="shared" si="46"/>
        <v>0.24862000033317599</v>
      </c>
      <c r="AK33" s="204">
        <f>SUM(AK7:AK32)</f>
        <v>35656144.082489997</v>
      </c>
      <c r="AL33" s="204">
        <f>SUM(AL7:AL32)</f>
        <v>24012864.588430002</v>
      </c>
      <c r="AM33" s="204">
        <f t="shared" si="18"/>
        <v>67.34565726702408</v>
      </c>
      <c r="AR33" s="197">
        <f>SUM(AR7:AR32)</f>
        <v>240100</v>
      </c>
      <c r="AS33" s="204">
        <f>SUM(AS7:AS32)</f>
        <v>23075127.123590007</v>
      </c>
      <c r="AT33" s="204">
        <f t="shared" ref="AT33:AV33" si="47">SUM(AT7:AT32)</f>
        <v>6611656188.0999994</v>
      </c>
      <c r="AU33" s="204">
        <f t="shared" si="47"/>
        <v>8081110346.1500015</v>
      </c>
      <c r="AV33" s="204">
        <f t="shared" si="47"/>
        <v>384642054.92000008</v>
      </c>
      <c r="AW33" s="204"/>
      <c r="AX33" s="197">
        <f>SUM(AX7:AX32)</f>
        <v>-3.3527612686157227E-8</v>
      </c>
      <c r="AY33" s="204">
        <f>SUM(AY7:AY32)</f>
        <v>15829126.365720002</v>
      </c>
      <c r="AZ33" s="204">
        <f>SUM(AZ7:AZ32)</f>
        <v>21077930.994840007</v>
      </c>
      <c r="BA33" s="204">
        <f>SUM(BA7:BA32)</f>
        <v>14621261.817790003</v>
      </c>
      <c r="BB33" s="204">
        <f t="shared" si="24"/>
        <v>69.367633006149262</v>
      </c>
      <c r="BG33" s="204">
        <f>SUM(BG7:BG32)</f>
        <v>12860276.062969999</v>
      </c>
      <c r="BL33" s="204">
        <f>SUM(BL7:BL32)</f>
        <v>9131273.3422499988</v>
      </c>
      <c r="BM33" s="204">
        <f t="shared" ref="BM33:BS33" si="48">SUM(BM7:BM32)</f>
        <v>0</v>
      </c>
      <c r="BN33" s="204">
        <f t="shared" si="48"/>
        <v>0</v>
      </c>
      <c r="BO33" s="204">
        <f t="shared" si="48"/>
        <v>0</v>
      </c>
      <c r="BP33" s="204">
        <f>SUM(BP7:BP32)</f>
        <v>0</v>
      </c>
      <c r="BQ33" s="204">
        <f t="shared" si="48"/>
        <v>0</v>
      </c>
      <c r="BR33" s="204">
        <f t="shared" si="48"/>
        <v>0</v>
      </c>
      <c r="BS33" s="204">
        <f t="shared" si="48"/>
        <v>0</v>
      </c>
      <c r="BT33" s="204">
        <f>SUM(BT7:BT32)</f>
        <v>0</v>
      </c>
      <c r="BU33" s="204" t="e">
        <f t="shared" si="29"/>
        <v>#DIV/0!</v>
      </c>
      <c r="BV33" s="204">
        <f t="shared" ref="BV33:CT33" si="49">SUM(BV7:BV32)</f>
        <v>1799225.2173899997</v>
      </c>
      <c r="BW33" s="204">
        <f t="shared" si="49"/>
        <v>1430059.8908599997</v>
      </c>
      <c r="BX33" s="204"/>
      <c r="BY33" s="204">
        <f t="shared" si="49"/>
        <v>1491087.6788800005</v>
      </c>
      <c r="BZ33" s="204">
        <f t="shared" si="49"/>
        <v>190906132.39000002</v>
      </c>
      <c r="CA33" s="204">
        <f t="shared" si="49"/>
        <v>190906.13239000001</v>
      </c>
      <c r="CB33" s="204">
        <f t="shared" si="49"/>
        <v>-308137.5385100001</v>
      </c>
      <c r="CC33" s="204">
        <f t="shared" si="49"/>
        <v>-1239153.75847</v>
      </c>
      <c r="CD33" s="204">
        <f>SUM(CD7:CD32)</f>
        <v>-2592286.13209</v>
      </c>
      <c r="CE33" s="204">
        <f>SUM(CE7:CE32)</f>
        <v>-1128334.8370499997</v>
      </c>
      <c r="CF33" s="204">
        <f t="shared" ref="CF33:CG33" si="50">SUM(CF7:CF32)</f>
        <v>3646162.2598299999</v>
      </c>
      <c r="CG33" s="204">
        <f t="shared" si="50"/>
        <v>3454308.09</v>
      </c>
      <c r="CH33" s="204">
        <f t="shared" si="49"/>
        <v>-191854.16983</v>
      </c>
      <c r="CI33" s="204">
        <f t="shared" si="49"/>
        <v>9583619417.210001</v>
      </c>
      <c r="CJ33" s="204">
        <f t="shared" si="49"/>
        <v>11260452530.190002</v>
      </c>
      <c r="CK33" s="204">
        <f t="shared" si="49"/>
        <v>245465519.44999996</v>
      </c>
      <c r="CL33" s="204"/>
      <c r="CM33" s="204">
        <f t="shared" si="49"/>
        <v>22200778.016180001</v>
      </c>
      <c r="CN33" s="204">
        <f t="shared" si="49"/>
        <v>6383900414.6700001</v>
      </c>
      <c r="CO33" s="204">
        <f t="shared" si="49"/>
        <v>7972345425.7200003</v>
      </c>
      <c r="CP33" s="204">
        <f t="shared" si="49"/>
        <v>-216501.51000000315</v>
      </c>
      <c r="CQ33" s="204"/>
      <c r="CR33" s="204">
        <f t="shared" si="49"/>
        <v>14961120.95706</v>
      </c>
      <c r="CS33" s="204">
        <f t="shared" si="49"/>
        <v>20203581.887430005</v>
      </c>
      <c r="CT33" s="204">
        <f t="shared" si="49"/>
        <v>13753256.40913</v>
      </c>
      <c r="CU33" s="204">
        <f t="shared" si="37"/>
        <v>68.073356921362631</v>
      </c>
      <c r="CV33" s="204">
        <f t="shared" ref="CV33:CY33" si="51">SUM(CV7:CV32)</f>
        <v>7960746628.3999996</v>
      </c>
      <c r="CW33" s="204">
        <f t="shared" si="51"/>
        <v>7960746.6283999998</v>
      </c>
      <c r="CY33" s="204">
        <f t="shared" si="51"/>
        <v>5669972.6984300008</v>
      </c>
      <c r="DA33" s="202">
        <f t="shared" ref="DA33" si="52">SUM(DA7:DA32)</f>
        <v>0</v>
      </c>
      <c r="DC33" s="202">
        <f t="shared" ref="DC33" si="53">SUM(DC7:DC32)</f>
        <v>0</v>
      </c>
      <c r="DD33" s="202" t="e">
        <f t="shared" ref="DD33" si="54">DC33/DA33%</f>
        <v>#DIV/0!</v>
      </c>
    </row>
    <row r="34" spans="1:108" s="195" customFormat="1" x14ac:dyDescent="0.3">
      <c r="A34" s="217"/>
      <c r="B34" s="198"/>
      <c r="C34" s="198"/>
      <c r="D34" s="198"/>
      <c r="E34" s="198"/>
      <c r="G34" s="198"/>
      <c r="H34" s="198"/>
      <c r="I34" s="198"/>
      <c r="J34" s="198"/>
      <c r="L34" s="198"/>
      <c r="M34" s="198"/>
      <c r="N34" s="198"/>
      <c r="O34" s="195">
        <f>'Прил. 1.1 - конс.'!T133*1000</f>
        <v>1997196.1287500001</v>
      </c>
      <c r="P34" s="198"/>
      <c r="Q34" s="198"/>
      <c r="R34" s="198"/>
      <c r="S34" s="195">
        <f>'Прил. 1.1 - конс.'!Z133*1000</f>
        <v>1207864.5479300001</v>
      </c>
      <c r="T34" s="198"/>
      <c r="U34" s="198"/>
      <c r="V34" s="198"/>
      <c r="W34" s="198"/>
      <c r="Y34" s="198"/>
      <c r="Z34" s="198"/>
      <c r="AA34" s="198"/>
      <c r="AB34" s="198"/>
      <c r="AD34" s="195">
        <f>'Прил. 1.1 - конс.'!T37*1000</f>
        <v>33063857.950400002</v>
      </c>
      <c r="AE34" s="195">
        <f>'Прил. 1.1 - конс.'!Z37*1000</f>
        <v>22884529.751379997</v>
      </c>
      <c r="AK34" s="195">
        <f>'Прил. 1.1 - конс.'!T131*1000</f>
        <v>35656144.082489997</v>
      </c>
      <c r="AL34" s="195">
        <f>'Прил. 1.1 - конс.'!Z131*1000</f>
        <v>24012864.588429999</v>
      </c>
      <c r="AM34" s="195">
        <f t="shared" si="18"/>
        <v>67.345657267024066</v>
      </c>
      <c r="AN34" s="198"/>
      <c r="AO34" s="198"/>
      <c r="AP34" s="198"/>
      <c r="AQ34" s="198"/>
      <c r="AT34" s="198"/>
      <c r="AU34" s="198"/>
      <c r="AV34" s="198"/>
      <c r="AW34" s="198"/>
      <c r="AZ34" s="195">
        <f>'Прил. 1.1 - конс.'!T30*1000</f>
        <v>21077930.99484</v>
      </c>
      <c r="BA34" s="195">
        <f>'Прил. 1.1 - конс.'!Z30*1000</f>
        <v>14621261.81779</v>
      </c>
      <c r="BC34" s="198"/>
      <c r="BD34" s="198"/>
      <c r="BE34" s="198"/>
      <c r="BF34" s="198"/>
      <c r="BG34" s="195">
        <f>'Прил. 1.1 - конс.'!T11*1000</f>
        <v>12860276.062970001</v>
      </c>
      <c r="BH34" s="198"/>
      <c r="BI34" s="198"/>
      <c r="BJ34" s="198"/>
      <c r="BK34" s="198"/>
      <c r="BL34" s="195">
        <f>'Прил. 1.1 - конс.'!Z11*1000</f>
        <v>9131273.3422500007</v>
      </c>
      <c r="BM34" s="198"/>
      <c r="BN34" s="198"/>
      <c r="BO34" s="198"/>
      <c r="BQ34" s="198"/>
      <c r="BR34" s="198"/>
      <c r="BS34" s="198"/>
      <c r="BV34" s="195">
        <f>'Прил. 1.1 - конс.'!T157*1000</f>
        <v>1799225.2173900001</v>
      </c>
      <c r="BW34" s="195">
        <f>'Прил. 1.1 - конс.'!T158*1000</f>
        <v>1430059.8908600002</v>
      </c>
      <c r="BX34" s="198"/>
      <c r="BY34" s="195">
        <f>'Прил. 1.1 - конс.'!Z157*1000</f>
        <v>1491087.6788799998</v>
      </c>
      <c r="BZ34" s="198"/>
      <c r="CA34" s="195">
        <f>'Прил. 1.1 - конс.'!Z158*1000</f>
        <v>190906.13238999998</v>
      </c>
      <c r="CB34" s="195">
        <f>'Прил. 1.1 - конс.'!AF157*1000</f>
        <v>-308137.53851000022</v>
      </c>
      <c r="CC34" s="195">
        <f>'Прил. 1.1 - конс.'!AF158*1000</f>
        <v>-1239153.7584700002</v>
      </c>
      <c r="CD34" s="195">
        <f>'Прил. 1.1 - конс.'!T135*1000</f>
        <v>-2592286.1320899967</v>
      </c>
      <c r="CE34" s="195">
        <f>'Прил. 1.1 - конс.'!Z135*1000</f>
        <v>-1128334.837050003</v>
      </c>
      <c r="CF34" s="195">
        <f>'Прил. 1.1 - конс.'!T162*1000</f>
        <v>3646162.2598299999</v>
      </c>
      <c r="CG34" s="195">
        <f>'Прил. 1.1 - конс.'!Z162*1000</f>
        <v>3454308.09</v>
      </c>
      <c r="CI34" s="198"/>
      <c r="CJ34" s="198"/>
      <c r="CK34" s="198"/>
      <c r="CL34" s="198"/>
      <c r="CN34" s="198"/>
      <c r="CO34" s="198"/>
      <c r="CP34" s="198"/>
      <c r="CQ34" s="198"/>
      <c r="CS34" s="195">
        <f>'Прил. 1.1 - конс.'!T29*1000</f>
        <v>20203581.887430001</v>
      </c>
      <c r="CT34" s="195">
        <f>'Прил. 1.1 - конс.'!Z29*1000</f>
        <v>13753256.40913</v>
      </c>
      <c r="CU34" s="195">
        <f t="shared" si="37"/>
        <v>68.073356921362631</v>
      </c>
      <c r="CV34" s="198"/>
      <c r="CW34" s="195">
        <f>'Прил. 1.1 - конс.'!T13*1000</f>
        <v>7960746.6283999989</v>
      </c>
      <c r="CX34" s="198"/>
      <c r="CY34" s="195">
        <f>'Прил. 1.1 - конс.'!Z13*1000</f>
        <v>5669972.6984300008</v>
      </c>
      <c r="CZ34" s="198"/>
      <c r="DB34" s="198"/>
    </row>
    <row r="35" spans="1:108" s="195" customFormat="1" x14ac:dyDescent="0.3">
      <c r="A35" s="217"/>
      <c r="B35" s="198"/>
      <c r="C35" s="198"/>
      <c r="D35" s="198"/>
      <c r="E35" s="198"/>
      <c r="G35" s="198"/>
      <c r="H35" s="198"/>
      <c r="I35" s="198"/>
      <c r="J35" s="198"/>
      <c r="L35" s="198"/>
      <c r="M35" s="198"/>
      <c r="N35" s="198"/>
      <c r="O35" s="195">
        <f>O34-O33</f>
        <v>0</v>
      </c>
      <c r="P35" s="198"/>
      <c r="Q35" s="198"/>
      <c r="R35" s="198"/>
      <c r="S35" s="195">
        <f>S34-S33</f>
        <v>0</v>
      </c>
      <c r="T35" s="198"/>
      <c r="U35" s="198"/>
      <c r="V35" s="198"/>
      <c r="W35" s="198"/>
      <c r="Y35" s="198"/>
      <c r="Z35" s="198"/>
      <c r="AA35" s="198"/>
      <c r="AB35" s="198"/>
      <c r="AD35" s="195">
        <f>AD34-AD33</f>
        <v>0</v>
      </c>
      <c r="AE35" s="195">
        <f>AE34-AE33</f>
        <v>0</v>
      </c>
      <c r="AK35" s="195">
        <f>AK34-AK33</f>
        <v>0</v>
      </c>
      <c r="AL35" s="195">
        <f>AL34-AL33</f>
        <v>0</v>
      </c>
      <c r="AN35" s="198"/>
      <c r="AO35" s="198"/>
      <c r="AP35" s="198"/>
      <c r="AQ35" s="198"/>
      <c r="AT35" s="198"/>
      <c r="AU35" s="198"/>
      <c r="AV35" s="198"/>
      <c r="AW35" s="198"/>
      <c r="AZ35" s="195">
        <f>AZ34-AZ33</f>
        <v>0</v>
      </c>
      <c r="BA35" s="195">
        <f>BA34-BA33</f>
        <v>0</v>
      </c>
      <c r="BC35" s="198"/>
      <c r="BD35" s="198"/>
      <c r="BE35" s="198"/>
      <c r="BF35" s="198"/>
      <c r="BG35" s="195">
        <f>BG34-BG33</f>
        <v>0</v>
      </c>
      <c r="BH35" s="198"/>
      <c r="BI35" s="198"/>
      <c r="BJ35" s="198"/>
      <c r="BK35" s="198"/>
      <c r="BL35" s="195">
        <f>BL34-BL33</f>
        <v>0</v>
      </c>
      <c r="BM35" s="198"/>
      <c r="BN35" s="198"/>
      <c r="BO35" s="198"/>
      <c r="BQ35" s="198"/>
      <c r="BR35" s="198"/>
      <c r="BS35" s="198"/>
      <c r="BV35" s="195">
        <f>BV34-BV33</f>
        <v>0</v>
      </c>
      <c r="BW35" s="195">
        <f>BW34-BW33</f>
        <v>0</v>
      </c>
      <c r="BX35" s="198"/>
      <c r="BY35" s="195">
        <f>BY34-BY33</f>
        <v>0</v>
      </c>
      <c r="BZ35" s="198"/>
      <c r="CA35" s="195">
        <f>CA34-CA33</f>
        <v>0</v>
      </c>
      <c r="CB35" s="195">
        <f t="shared" ref="CB35:CC35" si="55">CB34-CB33</f>
        <v>0</v>
      </c>
      <c r="CC35" s="195">
        <f t="shared" si="55"/>
        <v>0</v>
      </c>
      <c r="CD35" s="195">
        <f>CD34-CD33</f>
        <v>0</v>
      </c>
      <c r="CE35" s="195">
        <f>CE34-CE33</f>
        <v>-3.2596290111541748E-9</v>
      </c>
      <c r="CF35" s="195">
        <f>CF34-CF33</f>
        <v>0</v>
      </c>
      <c r="CG35" s="195">
        <f>CG34-CG33</f>
        <v>0</v>
      </c>
      <c r="CI35" s="198"/>
      <c r="CJ35" s="198"/>
      <c r="CK35" s="198"/>
      <c r="CL35" s="198"/>
      <c r="CN35" s="198"/>
      <c r="CO35" s="198"/>
      <c r="CP35" s="198"/>
      <c r="CQ35" s="198"/>
      <c r="CS35" s="195">
        <f>CS34-CS33</f>
        <v>0</v>
      </c>
      <c r="CT35" s="195">
        <f>CT34-CT33</f>
        <v>0</v>
      </c>
      <c r="CV35" s="198"/>
      <c r="CW35" s="195">
        <f>CW34-CW33</f>
        <v>0</v>
      </c>
      <c r="CX35" s="198"/>
      <c r="CY35" s="195">
        <f>CY34-CY33</f>
        <v>0</v>
      </c>
      <c r="CZ35" s="198"/>
      <c r="DB35" s="198"/>
    </row>
  </sheetData>
  <mergeCells count="59">
    <mergeCell ref="DB5:DC5"/>
    <mergeCell ref="DD5:DD6"/>
    <mergeCell ref="CZ5:DA5"/>
    <mergeCell ref="BU5:BU6"/>
    <mergeCell ref="BW5:BW6"/>
    <mergeCell ref="BZ5:CA6"/>
    <mergeCell ref="CC5:CC6"/>
    <mergeCell ref="CI5:CM5"/>
    <mergeCell ref="CN5:CR5"/>
    <mergeCell ref="CF4:CF6"/>
    <mergeCell ref="CG4:CG6"/>
    <mergeCell ref="BV4:BV6"/>
    <mergeCell ref="CZ4:DD4"/>
    <mergeCell ref="CH4:CH6"/>
    <mergeCell ref="CI4:CR4"/>
    <mergeCell ref="CS4:CU5"/>
    <mergeCell ref="BQ5:BT5"/>
    <mergeCell ref="AG5:AG6"/>
    <mergeCell ref="AH5:AH6"/>
    <mergeCell ref="AI5:AI6"/>
    <mergeCell ref="AJ5:AJ6"/>
    <mergeCell ref="AK5:AK6"/>
    <mergeCell ref="AL5:AL6"/>
    <mergeCell ref="AM5:AM6"/>
    <mergeCell ref="AN5:AS5"/>
    <mergeCell ref="AT5:AY5"/>
    <mergeCell ref="AZ5:AZ6"/>
    <mergeCell ref="BA5:BA6"/>
    <mergeCell ref="BB5:BB6"/>
    <mergeCell ref="BC5:BG5"/>
    <mergeCell ref="BH5:BL5"/>
    <mergeCell ref="BM5:BP5"/>
    <mergeCell ref="CV4:CY4"/>
    <mergeCell ref="CV5:CW5"/>
    <mergeCell ref="CX5:CY5"/>
    <mergeCell ref="BX4:BY6"/>
    <mergeCell ref="BZ4:CA4"/>
    <mergeCell ref="CB4:CB6"/>
    <mergeCell ref="CD4:CE5"/>
    <mergeCell ref="AK4:AM4"/>
    <mergeCell ref="AN4:AY4"/>
    <mergeCell ref="AZ4:BB4"/>
    <mergeCell ref="BC4:BL4"/>
    <mergeCell ref="BM4:BU4"/>
    <mergeCell ref="A4:A6"/>
    <mergeCell ref="B4:K4"/>
    <mergeCell ref="L4:S4"/>
    <mergeCell ref="T4:AC4"/>
    <mergeCell ref="AD4:AF4"/>
    <mergeCell ref="B5:F5"/>
    <mergeCell ref="G5:K5"/>
    <mergeCell ref="L5:O5"/>
    <mergeCell ref="P5:S5"/>
    <mergeCell ref="T5:X5"/>
    <mergeCell ref="AG4:AJ4"/>
    <mergeCell ref="Y5:AC5"/>
    <mergeCell ref="AD5:AD6"/>
    <mergeCell ref="AE5:AE6"/>
    <mergeCell ref="AF5:AF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"/>
  <sheetViews>
    <sheetView zoomScaleNormal="100" workbookViewId="0">
      <selection activeCell="B4" sqref="B4:J5"/>
    </sheetView>
  </sheetViews>
  <sheetFormatPr defaultColWidth="9.109375" defaultRowHeight="13.2" x14ac:dyDescent="0.3"/>
  <cols>
    <col min="1" max="1" width="22.88671875" style="341" customWidth="1"/>
    <col min="2" max="2" width="11.33203125" style="342" hidden="1" customWidth="1"/>
    <col min="3" max="3" width="11" style="342" hidden="1" customWidth="1"/>
    <col min="4" max="4" width="9.5546875" style="342" hidden="1" customWidth="1"/>
    <col min="5" max="6" width="9.6640625" style="342" bestFit="1" customWidth="1"/>
    <col min="7" max="7" width="9.44140625" style="342" customWidth="1"/>
    <col min="8" max="8" width="6.6640625" style="342" customWidth="1"/>
    <col min="9" max="9" width="7" style="342" customWidth="1"/>
    <col min="10" max="10" width="6.109375" style="342" customWidth="1"/>
    <col min="11" max="12" width="11.33203125" style="342" hidden="1" customWidth="1"/>
    <col min="13" max="13" width="9.6640625" style="342" hidden="1" customWidth="1"/>
    <col min="14" max="15" width="9.6640625" style="342" bestFit="1" customWidth="1"/>
    <col min="16" max="16" width="9.5546875" style="342" customWidth="1"/>
    <col min="17" max="17" width="6.109375" style="342" customWidth="1"/>
    <col min="18" max="18" width="6.6640625" style="342" customWidth="1"/>
    <col min="19" max="19" width="6" style="342" customWidth="1"/>
    <col min="20" max="22" width="9.6640625" style="342" hidden="1" customWidth="1"/>
    <col min="23" max="25" width="9.6640625" style="342" bestFit="1" customWidth="1"/>
    <col min="26" max="26" width="7.33203125" style="342" bestFit="1" customWidth="1"/>
    <col min="27" max="27" width="6.44140625" style="342" customWidth="1"/>
    <col min="28" max="28" width="6.109375" style="342" customWidth="1"/>
    <col min="29" max="16384" width="9.109375" style="343"/>
  </cols>
  <sheetData>
    <row r="1" spans="1:28" ht="28.5" customHeight="1" x14ac:dyDescent="0.3">
      <c r="Y1" s="423" t="s">
        <v>343</v>
      </c>
      <c r="Z1" s="423"/>
      <c r="AA1" s="423"/>
      <c r="AB1" s="423"/>
    </row>
    <row r="2" spans="1:28" s="344" customFormat="1" ht="34.799999999999997" customHeight="1" x14ac:dyDescent="0.3">
      <c r="A2" s="398" t="s">
        <v>350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8"/>
      <c r="Z2" s="398"/>
      <c r="AA2" s="398"/>
      <c r="AB2" s="398"/>
    </row>
    <row r="3" spans="1:28" s="344" customFormat="1" ht="13.8" thickBot="1" x14ac:dyDescent="0.35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424" t="s">
        <v>295</v>
      </c>
      <c r="AA3" s="424"/>
      <c r="AB3" s="424"/>
    </row>
    <row r="4" spans="1:28" s="345" customFormat="1" ht="13.5" customHeight="1" thickTop="1" x14ac:dyDescent="0.3">
      <c r="A4" s="425" t="s">
        <v>184</v>
      </c>
      <c r="B4" s="411" t="s">
        <v>313</v>
      </c>
      <c r="C4" s="411"/>
      <c r="D4" s="411"/>
      <c r="E4" s="411"/>
      <c r="F4" s="411"/>
      <c r="G4" s="411"/>
      <c r="H4" s="411"/>
      <c r="I4" s="411"/>
      <c r="J4" s="411"/>
      <c r="K4" s="411" t="s">
        <v>314</v>
      </c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2"/>
    </row>
    <row r="5" spans="1:28" s="345" customFormat="1" ht="28.8" customHeight="1" x14ac:dyDescent="0.3">
      <c r="A5" s="426"/>
      <c r="B5" s="413"/>
      <c r="C5" s="413"/>
      <c r="D5" s="413"/>
      <c r="E5" s="413"/>
      <c r="F5" s="413"/>
      <c r="G5" s="413"/>
      <c r="H5" s="413"/>
      <c r="I5" s="413"/>
      <c r="J5" s="413"/>
      <c r="K5" s="413" t="s">
        <v>315</v>
      </c>
      <c r="L5" s="413"/>
      <c r="M5" s="413"/>
      <c r="N5" s="413"/>
      <c r="O5" s="413"/>
      <c r="P5" s="413"/>
      <c r="Q5" s="413"/>
      <c r="R5" s="413"/>
      <c r="S5" s="413"/>
      <c r="T5" s="413" t="s">
        <v>316</v>
      </c>
      <c r="U5" s="413"/>
      <c r="V5" s="413"/>
      <c r="W5" s="413"/>
      <c r="X5" s="413"/>
      <c r="Y5" s="413"/>
      <c r="Z5" s="413"/>
      <c r="AA5" s="413"/>
      <c r="AB5" s="414"/>
    </row>
    <row r="6" spans="1:28" s="345" customFormat="1" ht="25.5" customHeight="1" x14ac:dyDescent="0.3">
      <c r="A6" s="426"/>
      <c r="B6" s="413" t="s">
        <v>317</v>
      </c>
      <c r="C6" s="413"/>
      <c r="D6" s="413"/>
      <c r="E6" s="413" t="s">
        <v>318</v>
      </c>
      <c r="F6" s="413"/>
      <c r="G6" s="413"/>
      <c r="H6" s="413" t="s">
        <v>319</v>
      </c>
      <c r="I6" s="413"/>
      <c r="J6" s="413"/>
      <c r="K6" s="413" t="s">
        <v>317</v>
      </c>
      <c r="L6" s="413"/>
      <c r="M6" s="413"/>
      <c r="N6" s="413" t="s">
        <v>318</v>
      </c>
      <c r="O6" s="413"/>
      <c r="P6" s="413"/>
      <c r="Q6" s="413" t="s">
        <v>319</v>
      </c>
      <c r="R6" s="413"/>
      <c r="S6" s="413"/>
      <c r="T6" s="413" t="s">
        <v>317</v>
      </c>
      <c r="U6" s="413"/>
      <c r="V6" s="413"/>
      <c r="W6" s="413" t="s">
        <v>318</v>
      </c>
      <c r="X6" s="413"/>
      <c r="Y6" s="413"/>
      <c r="Z6" s="413" t="s">
        <v>319</v>
      </c>
      <c r="AA6" s="413"/>
      <c r="AB6" s="414"/>
    </row>
    <row r="7" spans="1:28" s="345" customFormat="1" x14ac:dyDescent="0.3">
      <c r="A7" s="426"/>
      <c r="B7" s="413" t="s">
        <v>190</v>
      </c>
      <c r="C7" s="413" t="s">
        <v>8</v>
      </c>
      <c r="D7" s="413"/>
      <c r="E7" s="413" t="s">
        <v>190</v>
      </c>
      <c r="F7" s="413" t="s">
        <v>8</v>
      </c>
      <c r="G7" s="413"/>
      <c r="H7" s="413" t="s">
        <v>190</v>
      </c>
      <c r="I7" s="413" t="s">
        <v>8</v>
      </c>
      <c r="J7" s="413"/>
      <c r="K7" s="413" t="s">
        <v>190</v>
      </c>
      <c r="L7" s="413" t="s">
        <v>8</v>
      </c>
      <c r="M7" s="413"/>
      <c r="N7" s="413" t="s">
        <v>190</v>
      </c>
      <c r="O7" s="413" t="s">
        <v>8</v>
      </c>
      <c r="P7" s="413"/>
      <c r="Q7" s="413" t="s">
        <v>190</v>
      </c>
      <c r="R7" s="413" t="s">
        <v>8</v>
      </c>
      <c r="S7" s="413"/>
      <c r="T7" s="413" t="s">
        <v>190</v>
      </c>
      <c r="U7" s="413" t="s">
        <v>8</v>
      </c>
      <c r="V7" s="413"/>
      <c r="W7" s="413" t="s">
        <v>190</v>
      </c>
      <c r="X7" s="413" t="s">
        <v>8</v>
      </c>
      <c r="Y7" s="413"/>
      <c r="Z7" s="413" t="s">
        <v>190</v>
      </c>
      <c r="AA7" s="413" t="s">
        <v>8</v>
      </c>
      <c r="AB7" s="414"/>
    </row>
    <row r="8" spans="1:28" s="346" customFormat="1" ht="48" x14ac:dyDescent="0.3">
      <c r="A8" s="426"/>
      <c r="B8" s="413"/>
      <c r="C8" s="320" t="s">
        <v>320</v>
      </c>
      <c r="D8" s="320" t="s">
        <v>321</v>
      </c>
      <c r="E8" s="413"/>
      <c r="F8" s="320" t="s">
        <v>320</v>
      </c>
      <c r="G8" s="320" t="s">
        <v>321</v>
      </c>
      <c r="H8" s="413"/>
      <c r="I8" s="320" t="s">
        <v>322</v>
      </c>
      <c r="J8" s="320" t="s">
        <v>321</v>
      </c>
      <c r="K8" s="413"/>
      <c r="L8" s="320" t="s">
        <v>320</v>
      </c>
      <c r="M8" s="320" t="s">
        <v>321</v>
      </c>
      <c r="N8" s="413"/>
      <c r="O8" s="320" t="s">
        <v>320</v>
      </c>
      <c r="P8" s="320" t="s">
        <v>321</v>
      </c>
      <c r="Q8" s="413"/>
      <c r="R8" s="320" t="s">
        <v>322</v>
      </c>
      <c r="S8" s="320" t="s">
        <v>321</v>
      </c>
      <c r="T8" s="413"/>
      <c r="U8" s="320" t="s">
        <v>320</v>
      </c>
      <c r="V8" s="320" t="s">
        <v>321</v>
      </c>
      <c r="W8" s="413"/>
      <c r="X8" s="320" t="s">
        <v>320</v>
      </c>
      <c r="Y8" s="320" t="s">
        <v>321</v>
      </c>
      <c r="Z8" s="413"/>
      <c r="AA8" s="320" t="s">
        <v>322</v>
      </c>
      <c r="AB8" s="324" t="s">
        <v>321</v>
      </c>
    </row>
    <row r="9" spans="1:28" s="348" customFormat="1" ht="10.199999999999999" x14ac:dyDescent="0.3">
      <c r="A9" s="347" t="s">
        <v>13</v>
      </c>
      <c r="B9" s="326">
        <v>1</v>
      </c>
      <c r="C9" s="326">
        <v>2</v>
      </c>
      <c r="D9" s="326">
        <v>3</v>
      </c>
      <c r="E9" s="326">
        <v>1</v>
      </c>
      <c r="F9" s="326">
        <v>2</v>
      </c>
      <c r="G9" s="326">
        <v>3</v>
      </c>
      <c r="H9" s="326">
        <v>4</v>
      </c>
      <c r="I9" s="326">
        <v>5</v>
      </c>
      <c r="J9" s="326">
        <v>6</v>
      </c>
      <c r="K9" s="326">
        <v>10</v>
      </c>
      <c r="L9" s="326">
        <v>11</v>
      </c>
      <c r="M9" s="326">
        <v>12</v>
      </c>
      <c r="N9" s="326">
        <v>7</v>
      </c>
      <c r="O9" s="326">
        <v>8</v>
      </c>
      <c r="P9" s="326">
        <v>9</v>
      </c>
      <c r="Q9" s="326">
        <v>10</v>
      </c>
      <c r="R9" s="326">
        <v>11</v>
      </c>
      <c r="S9" s="326">
        <v>12</v>
      </c>
      <c r="T9" s="326">
        <v>19</v>
      </c>
      <c r="U9" s="326">
        <v>20</v>
      </c>
      <c r="V9" s="326">
        <v>21</v>
      </c>
      <c r="W9" s="326">
        <v>13</v>
      </c>
      <c r="X9" s="326">
        <v>14</v>
      </c>
      <c r="Y9" s="326">
        <v>15</v>
      </c>
      <c r="Z9" s="326">
        <v>16</v>
      </c>
      <c r="AA9" s="326">
        <v>17</v>
      </c>
      <c r="AB9" s="328">
        <v>18</v>
      </c>
    </row>
    <row r="10" spans="1:28" x14ac:dyDescent="0.3">
      <c r="A10" s="349" t="s">
        <v>157</v>
      </c>
      <c r="B10" s="339">
        <f>[1]Черн!F7</f>
        <v>70016.554499999998</v>
      </c>
      <c r="C10" s="339">
        <f>[1]Черн!G7</f>
        <v>0</v>
      </c>
      <c r="D10" s="339">
        <f>[1]Черн!H7</f>
        <v>70016.554499999998</v>
      </c>
      <c r="E10" s="339">
        <v>45998.225749999998</v>
      </c>
      <c r="F10" s="339">
        <v>0</v>
      </c>
      <c r="G10" s="339">
        <v>45998.225749999998</v>
      </c>
      <c r="H10" s="339">
        <v>65.696214385984959</v>
      </c>
      <c r="I10" s="339"/>
      <c r="J10" s="339">
        <v>65.696214385984959</v>
      </c>
      <c r="K10" s="339">
        <v>29766.76197</v>
      </c>
      <c r="L10" s="339">
        <v>0</v>
      </c>
      <c r="M10" s="339">
        <v>29766.76197</v>
      </c>
      <c r="N10" s="339">
        <v>19161.379010000001</v>
      </c>
      <c r="O10" s="339">
        <v>0</v>
      </c>
      <c r="P10" s="339">
        <v>19161.379010000001</v>
      </c>
      <c r="Q10" s="339">
        <v>64.37172786650936</v>
      </c>
      <c r="R10" s="339"/>
      <c r="S10" s="339">
        <v>64.37172786650936</v>
      </c>
      <c r="T10" s="339">
        <v>40249.792529999999</v>
      </c>
      <c r="U10" s="339">
        <v>0</v>
      </c>
      <c r="V10" s="339">
        <v>40249.792529999999</v>
      </c>
      <c r="W10" s="339">
        <v>26836.846739999997</v>
      </c>
      <c r="X10" s="339">
        <v>0</v>
      </c>
      <c r="Y10" s="339">
        <v>26836.846739999997</v>
      </c>
      <c r="Z10" s="339">
        <v>66.675739309705207</v>
      </c>
      <c r="AA10" s="339"/>
      <c r="AB10" s="319">
        <v>66.675739309705207</v>
      </c>
    </row>
    <row r="11" spans="1:28" x14ac:dyDescent="0.3">
      <c r="A11" s="349" t="s">
        <v>158</v>
      </c>
      <c r="B11" s="339">
        <f>[1]Черн!F8</f>
        <v>64427.409</v>
      </c>
      <c r="C11" s="339">
        <f>[1]Черн!G8</f>
        <v>42841.68</v>
      </c>
      <c r="D11" s="339">
        <f>[1]Черн!H8</f>
        <v>21585.728999999999</v>
      </c>
      <c r="E11" s="339">
        <v>21995.566500000001</v>
      </c>
      <c r="F11" s="339">
        <v>409.83749999999998</v>
      </c>
      <c r="G11" s="339">
        <v>21585.728999999999</v>
      </c>
      <c r="H11" s="339">
        <v>34.140076159201129</v>
      </c>
      <c r="I11" s="253">
        <v>0.95663265306122436</v>
      </c>
      <c r="J11" s="339">
        <v>100</v>
      </c>
      <c r="K11" s="339">
        <v>28063.696050000002</v>
      </c>
      <c r="L11" s="339">
        <v>23322.692190000002</v>
      </c>
      <c r="M11" s="339">
        <v>4741.0038600000007</v>
      </c>
      <c r="N11" s="339">
        <v>4964.6732600000005</v>
      </c>
      <c r="O11" s="339">
        <v>223.6694</v>
      </c>
      <c r="P11" s="339">
        <v>4741.0038600000007</v>
      </c>
      <c r="Q11" s="339">
        <v>17.690732008908</v>
      </c>
      <c r="R11" s="253">
        <v>0.95902050319860599</v>
      </c>
      <c r="S11" s="339">
        <v>100</v>
      </c>
      <c r="T11" s="339">
        <v>36363.712950000001</v>
      </c>
      <c r="U11" s="339">
        <v>19518.987809999999</v>
      </c>
      <c r="V11" s="339">
        <v>16844.725140000002</v>
      </c>
      <c r="W11" s="339">
        <v>17030.893240000001</v>
      </c>
      <c r="X11" s="339">
        <v>186.16810000000001</v>
      </c>
      <c r="Y11" s="339">
        <v>16844.725140000002</v>
      </c>
      <c r="Z11" s="339">
        <v>46.834857769935184</v>
      </c>
      <c r="AA11" s="253">
        <v>0.95377947776893468</v>
      </c>
      <c r="AB11" s="319">
        <v>100</v>
      </c>
    </row>
    <row r="12" spans="1:28" x14ac:dyDescent="0.3">
      <c r="A12" s="349" t="s">
        <v>159</v>
      </c>
      <c r="B12" s="339">
        <f>[1]Черн!F9</f>
        <v>1275.7</v>
      </c>
      <c r="C12" s="339">
        <f>[1]Черн!G9</f>
        <v>1225.7</v>
      </c>
      <c r="D12" s="339">
        <f>[1]Черн!H9</f>
        <v>50</v>
      </c>
      <c r="E12" s="339">
        <v>293.81703000000005</v>
      </c>
      <c r="F12" s="339">
        <v>293.81703000000005</v>
      </c>
      <c r="G12" s="339">
        <v>0</v>
      </c>
      <c r="H12" s="339">
        <v>23.031828015991223</v>
      </c>
      <c r="I12" s="339">
        <v>23.971365750183573</v>
      </c>
      <c r="J12" s="253">
        <v>0</v>
      </c>
      <c r="K12" s="339">
        <v>50</v>
      </c>
      <c r="L12" s="339">
        <v>0</v>
      </c>
      <c r="M12" s="339">
        <v>50</v>
      </c>
      <c r="N12" s="339">
        <v>0</v>
      </c>
      <c r="O12" s="339">
        <v>0</v>
      </c>
      <c r="P12" s="339">
        <v>0</v>
      </c>
      <c r="Q12" s="253">
        <v>0</v>
      </c>
      <c r="R12" s="339"/>
      <c r="S12" s="253">
        <v>0</v>
      </c>
      <c r="T12" s="339">
        <v>1225.7</v>
      </c>
      <c r="U12" s="339">
        <v>1225.7</v>
      </c>
      <c r="V12" s="339">
        <v>0</v>
      </c>
      <c r="W12" s="339">
        <v>293.81703000000005</v>
      </c>
      <c r="X12" s="339">
        <v>293.81703000000005</v>
      </c>
      <c r="Y12" s="339">
        <v>0</v>
      </c>
      <c r="Z12" s="339">
        <v>23.971365750183573</v>
      </c>
      <c r="AA12" s="339">
        <v>23.971365750183573</v>
      </c>
      <c r="AB12" s="319"/>
    </row>
    <row r="13" spans="1:28" x14ac:dyDescent="0.3">
      <c r="A13" s="349" t="s">
        <v>160</v>
      </c>
      <c r="B13" s="339">
        <f>[1]Черн!F10</f>
        <v>0</v>
      </c>
      <c r="C13" s="339">
        <f>[1]Черн!G10</f>
        <v>0</v>
      </c>
      <c r="D13" s="339">
        <f>[1]Черн!H10</f>
        <v>0</v>
      </c>
      <c r="E13" s="339">
        <v>0</v>
      </c>
      <c r="F13" s="339">
        <v>0</v>
      </c>
      <c r="G13" s="339">
        <v>0</v>
      </c>
      <c r="H13" s="339"/>
      <c r="I13" s="339"/>
      <c r="J13" s="339"/>
      <c r="K13" s="339">
        <v>0</v>
      </c>
      <c r="L13" s="339">
        <v>0</v>
      </c>
      <c r="M13" s="339">
        <v>0</v>
      </c>
      <c r="N13" s="339">
        <v>0</v>
      </c>
      <c r="O13" s="339">
        <v>0</v>
      </c>
      <c r="P13" s="339">
        <v>0</v>
      </c>
      <c r="Q13" s="339"/>
      <c r="R13" s="339"/>
      <c r="S13" s="339"/>
      <c r="T13" s="339">
        <v>0</v>
      </c>
      <c r="U13" s="339">
        <v>0</v>
      </c>
      <c r="V13" s="339">
        <v>0</v>
      </c>
      <c r="W13" s="339">
        <v>0</v>
      </c>
      <c r="X13" s="339">
        <v>0</v>
      </c>
      <c r="Y13" s="339">
        <v>0</v>
      </c>
      <c r="Z13" s="339"/>
      <c r="AA13" s="339"/>
      <c r="AB13" s="319"/>
    </row>
    <row r="14" spans="1:28" x14ac:dyDescent="0.3">
      <c r="A14" s="349" t="s">
        <v>161</v>
      </c>
      <c r="B14" s="339">
        <f>[1]Черн!F11</f>
        <v>14919.692999999999</v>
      </c>
      <c r="C14" s="339">
        <f>[1]Черн!G11</f>
        <v>14919.692999999999</v>
      </c>
      <c r="D14" s="339">
        <f>[1]Черн!H11</f>
        <v>0</v>
      </c>
      <c r="E14" s="339">
        <v>14919.692999999999</v>
      </c>
      <c r="F14" s="339">
        <v>14919.692999999999</v>
      </c>
      <c r="G14" s="339">
        <v>0</v>
      </c>
      <c r="H14" s="339">
        <v>100.00000000000001</v>
      </c>
      <c r="I14" s="339">
        <v>100.00000000000001</v>
      </c>
      <c r="J14" s="339"/>
      <c r="K14" s="339">
        <v>14919.692999999999</v>
      </c>
      <c r="L14" s="339">
        <v>14919.692999999999</v>
      </c>
      <c r="M14" s="339">
        <v>0</v>
      </c>
      <c r="N14" s="339">
        <v>14919.692999999999</v>
      </c>
      <c r="O14" s="339">
        <v>14919.692999999999</v>
      </c>
      <c r="P14" s="339">
        <v>0</v>
      </c>
      <c r="Q14" s="339">
        <v>100.00000000000001</v>
      </c>
      <c r="R14" s="339">
        <v>100.00000000000001</v>
      </c>
      <c r="S14" s="339"/>
      <c r="T14" s="339">
        <v>0</v>
      </c>
      <c r="U14" s="339">
        <v>0</v>
      </c>
      <c r="V14" s="339">
        <v>0</v>
      </c>
      <c r="W14" s="339">
        <v>0</v>
      </c>
      <c r="X14" s="339">
        <v>0</v>
      </c>
      <c r="Y14" s="339">
        <v>0</v>
      </c>
      <c r="Z14" s="339"/>
      <c r="AA14" s="339"/>
      <c r="AB14" s="319"/>
    </row>
    <row r="15" spans="1:28" x14ac:dyDescent="0.3">
      <c r="A15" s="349" t="s">
        <v>162</v>
      </c>
      <c r="B15" s="339">
        <f>[1]Черн!F12</f>
        <v>276276.40651999996</v>
      </c>
      <c r="C15" s="339">
        <f>[1]Черн!G12</f>
        <v>22096.865000000002</v>
      </c>
      <c r="D15" s="339">
        <f>[1]Черн!H12</f>
        <v>254179.54152</v>
      </c>
      <c r="E15" s="339">
        <v>217987.9301</v>
      </c>
      <c r="F15" s="339">
        <v>4567.2</v>
      </c>
      <c r="G15" s="339">
        <v>213420.73009999999</v>
      </c>
      <c r="H15" s="339">
        <v>78.902115763627322</v>
      </c>
      <c r="I15" s="339">
        <v>20.6689953529607</v>
      </c>
      <c r="J15" s="339">
        <v>83.964558604417448</v>
      </c>
      <c r="K15" s="339">
        <v>204953.48647999999</v>
      </c>
      <c r="L15" s="339">
        <v>11415.752699999999</v>
      </c>
      <c r="M15" s="339">
        <v>193537.73378000001</v>
      </c>
      <c r="N15" s="339">
        <v>156218.34518</v>
      </c>
      <c r="O15" s="339">
        <v>1923.4860000000001</v>
      </c>
      <c r="P15" s="339">
        <v>154294.85918</v>
      </c>
      <c r="Q15" s="339">
        <v>76.2213650828742</v>
      </c>
      <c r="R15" s="339">
        <v>16.849401441571175</v>
      </c>
      <c r="S15" s="339">
        <v>79.723398722541347</v>
      </c>
      <c r="T15" s="339">
        <v>71322.920040000012</v>
      </c>
      <c r="U15" s="339">
        <v>10681.112300000001</v>
      </c>
      <c r="V15" s="339">
        <v>60641.807740000004</v>
      </c>
      <c r="W15" s="339">
        <v>61769.584920000001</v>
      </c>
      <c r="X15" s="339">
        <v>2643.7139999999999</v>
      </c>
      <c r="Y15" s="339">
        <v>59125.870920000001</v>
      </c>
      <c r="Z15" s="339">
        <v>86.605518794460167</v>
      </c>
      <c r="AA15" s="339">
        <v>24.751298607730206</v>
      </c>
      <c r="AB15" s="319">
        <v>97.500178710866379</v>
      </c>
    </row>
    <row r="16" spans="1:28" x14ac:dyDescent="0.3">
      <c r="A16" s="349" t="s">
        <v>163</v>
      </c>
      <c r="B16" s="339">
        <f>[1]Черн!F13</f>
        <v>24708.759600000001</v>
      </c>
      <c r="C16" s="339">
        <f>[1]Черн!G13</f>
        <v>0</v>
      </c>
      <c r="D16" s="339">
        <f>[1]Черн!H13</f>
        <v>24708.759600000001</v>
      </c>
      <c r="E16" s="339">
        <v>7166.2035999999998</v>
      </c>
      <c r="F16" s="339">
        <v>0</v>
      </c>
      <c r="G16" s="339">
        <v>7166.2035999999998</v>
      </c>
      <c r="H16" s="339">
        <v>29.002684537834913</v>
      </c>
      <c r="I16" s="339"/>
      <c r="J16" s="339">
        <v>29.002684537834913</v>
      </c>
      <c r="K16" s="339">
        <v>16088.700710000001</v>
      </c>
      <c r="L16" s="339">
        <v>0</v>
      </c>
      <c r="M16" s="339">
        <v>16088.700710000001</v>
      </c>
      <c r="N16" s="339">
        <v>3320.97741</v>
      </c>
      <c r="O16" s="339">
        <v>0</v>
      </c>
      <c r="P16" s="339">
        <v>3320.97741</v>
      </c>
      <c r="Q16" s="339">
        <v>20.641675607377245</v>
      </c>
      <c r="R16" s="339"/>
      <c r="S16" s="339">
        <v>20.641675607377245</v>
      </c>
      <c r="T16" s="339">
        <v>8620.0588900000002</v>
      </c>
      <c r="U16" s="339">
        <v>0</v>
      </c>
      <c r="V16" s="339">
        <v>8620.0588900000002</v>
      </c>
      <c r="W16" s="339">
        <v>3845.2261899999999</v>
      </c>
      <c r="X16" s="339">
        <v>0</v>
      </c>
      <c r="Y16" s="339">
        <v>3845.2261899999999</v>
      </c>
      <c r="Z16" s="339">
        <v>44.607887707829796</v>
      </c>
      <c r="AA16" s="339"/>
      <c r="AB16" s="319">
        <v>44.607887707829796</v>
      </c>
    </row>
    <row r="17" spans="1:28" x14ac:dyDescent="0.3">
      <c r="A17" s="349" t="s">
        <v>164</v>
      </c>
      <c r="B17" s="339">
        <f>[1]Черн!F14</f>
        <v>0</v>
      </c>
      <c r="C17" s="339">
        <f>[1]Черн!G14</f>
        <v>0</v>
      </c>
      <c r="D17" s="339">
        <f>[1]Черн!H14</f>
        <v>0</v>
      </c>
      <c r="E17" s="339">
        <v>0</v>
      </c>
      <c r="F17" s="339">
        <v>0</v>
      </c>
      <c r="G17" s="339">
        <v>0</v>
      </c>
      <c r="H17" s="339"/>
      <c r="I17" s="339"/>
      <c r="J17" s="339"/>
      <c r="K17" s="339">
        <v>0</v>
      </c>
      <c r="L17" s="339">
        <v>0</v>
      </c>
      <c r="M17" s="339">
        <v>0</v>
      </c>
      <c r="N17" s="339">
        <v>0</v>
      </c>
      <c r="O17" s="339">
        <v>0</v>
      </c>
      <c r="P17" s="339">
        <v>0</v>
      </c>
      <c r="Q17" s="339"/>
      <c r="R17" s="339"/>
      <c r="S17" s="339"/>
      <c r="T17" s="339">
        <v>0</v>
      </c>
      <c r="U17" s="339">
        <v>0</v>
      </c>
      <c r="V17" s="339">
        <v>0</v>
      </c>
      <c r="W17" s="339">
        <v>0</v>
      </c>
      <c r="X17" s="339">
        <v>0</v>
      </c>
      <c r="Y17" s="339">
        <v>0</v>
      </c>
      <c r="Z17" s="339"/>
      <c r="AA17" s="339"/>
      <c r="AB17" s="319"/>
    </row>
    <row r="18" spans="1:28" x14ac:dyDescent="0.3">
      <c r="A18" s="349" t="s">
        <v>165</v>
      </c>
      <c r="B18" s="339">
        <f>[1]Черн!F15</f>
        <v>28414.83783</v>
      </c>
      <c r="C18" s="339">
        <f>[1]Черн!G15</f>
        <v>25919.857800000002</v>
      </c>
      <c r="D18" s="339">
        <f>[1]Черн!H15</f>
        <v>2494.9800299999997</v>
      </c>
      <c r="E18" s="339">
        <v>10679.06767</v>
      </c>
      <c r="F18" s="339">
        <v>8184.0876399999997</v>
      </c>
      <c r="G18" s="339">
        <v>2494.9800299999997</v>
      </c>
      <c r="H18" s="339">
        <v>37.582715530141741</v>
      </c>
      <c r="I18" s="339">
        <v>31.574585413041888</v>
      </c>
      <c r="J18" s="339">
        <v>100</v>
      </c>
      <c r="K18" s="339">
        <v>14077.624959999999</v>
      </c>
      <c r="L18" s="339">
        <v>13294.4501</v>
      </c>
      <c r="M18" s="339">
        <v>783.17485999999997</v>
      </c>
      <c r="N18" s="339">
        <v>5063.4301999999998</v>
      </c>
      <c r="O18" s="339">
        <v>4280.2553399999997</v>
      </c>
      <c r="P18" s="339">
        <v>783.17485999999997</v>
      </c>
      <c r="Q18" s="339">
        <v>35.967929351628356</v>
      </c>
      <c r="R18" s="339">
        <v>32.195805827275244</v>
      </c>
      <c r="S18" s="339">
        <v>100</v>
      </c>
      <c r="T18" s="339">
        <v>14337.212869999999</v>
      </c>
      <c r="U18" s="339">
        <v>12625.4077</v>
      </c>
      <c r="V18" s="339">
        <v>1711.8051699999999</v>
      </c>
      <c r="W18" s="339">
        <v>5615.6374699999997</v>
      </c>
      <c r="X18" s="339">
        <v>3903.8323</v>
      </c>
      <c r="Y18" s="339">
        <v>1711.8051699999999</v>
      </c>
      <c r="Z18" s="339">
        <v>39.168264577772149</v>
      </c>
      <c r="AA18" s="339">
        <v>30.920445444308307</v>
      </c>
      <c r="AB18" s="319">
        <v>100</v>
      </c>
    </row>
    <row r="19" spans="1:28" x14ac:dyDescent="0.3">
      <c r="A19" s="349" t="s">
        <v>166</v>
      </c>
      <c r="B19" s="339">
        <f>[1]Черн!F16</f>
        <v>0</v>
      </c>
      <c r="C19" s="339">
        <f>[1]Черн!G16</f>
        <v>0</v>
      </c>
      <c r="D19" s="339">
        <f>[1]Черн!H16</f>
        <v>0</v>
      </c>
      <c r="E19" s="339">
        <v>0</v>
      </c>
      <c r="F19" s="339">
        <v>0</v>
      </c>
      <c r="G19" s="339">
        <v>0</v>
      </c>
      <c r="H19" s="339"/>
      <c r="I19" s="339"/>
      <c r="J19" s="339"/>
      <c r="K19" s="339">
        <v>0</v>
      </c>
      <c r="L19" s="339">
        <v>0</v>
      </c>
      <c r="M19" s="339">
        <v>0</v>
      </c>
      <c r="N19" s="339">
        <v>0</v>
      </c>
      <c r="O19" s="339">
        <v>0</v>
      </c>
      <c r="P19" s="339">
        <v>0</v>
      </c>
      <c r="Q19" s="339"/>
      <c r="R19" s="339"/>
      <c r="S19" s="339"/>
      <c r="T19" s="339">
        <v>0</v>
      </c>
      <c r="U19" s="339">
        <v>0</v>
      </c>
      <c r="V19" s="339">
        <v>0</v>
      </c>
      <c r="W19" s="339">
        <v>0</v>
      </c>
      <c r="X19" s="339">
        <v>0</v>
      </c>
      <c r="Y19" s="339">
        <v>0</v>
      </c>
      <c r="Z19" s="339"/>
      <c r="AA19" s="339"/>
      <c r="AB19" s="319"/>
    </row>
    <row r="20" spans="1:28" x14ac:dyDescent="0.3">
      <c r="A20" s="349" t="s">
        <v>167</v>
      </c>
      <c r="B20" s="339">
        <f>[1]Черн!F17</f>
        <v>0</v>
      </c>
      <c r="C20" s="339">
        <f>[1]Черн!G17</f>
        <v>0</v>
      </c>
      <c r="D20" s="339">
        <f>[1]Черн!H17</f>
        <v>0</v>
      </c>
      <c r="E20" s="339">
        <v>0</v>
      </c>
      <c r="F20" s="339">
        <v>0</v>
      </c>
      <c r="G20" s="339">
        <v>0</v>
      </c>
      <c r="H20" s="339"/>
      <c r="I20" s="339"/>
      <c r="J20" s="339"/>
      <c r="K20" s="339">
        <v>0</v>
      </c>
      <c r="L20" s="339">
        <v>0</v>
      </c>
      <c r="M20" s="339">
        <v>0</v>
      </c>
      <c r="N20" s="339">
        <v>0</v>
      </c>
      <c r="O20" s="339">
        <v>0</v>
      </c>
      <c r="P20" s="339">
        <v>0</v>
      </c>
      <c r="Q20" s="339"/>
      <c r="R20" s="339"/>
      <c r="S20" s="339"/>
      <c r="T20" s="339">
        <v>0</v>
      </c>
      <c r="U20" s="339">
        <v>0</v>
      </c>
      <c r="V20" s="339">
        <v>0</v>
      </c>
      <c r="W20" s="339">
        <v>0</v>
      </c>
      <c r="X20" s="339">
        <v>0</v>
      </c>
      <c r="Y20" s="339">
        <v>0</v>
      </c>
      <c r="Z20" s="339"/>
      <c r="AA20" s="339"/>
      <c r="AB20" s="319"/>
    </row>
    <row r="21" spans="1:28" x14ac:dyDescent="0.3">
      <c r="A21" s="349" t="s">
        <v>168</v>
      </c>
      <c r="B21" s="339">
        <f>[1]Черн!F18</f>
        <v>68984.481189999991</v>
      </c>
      <c r="C21" s="339">
        <f>[1]Черн!G18</f>
        <v>50861.3802</v>
      </c>
      <c r="D21" s="339">
        <f>[1]Черн!H18</f>
        <v>18123.100990000003</v>
      </c>
      <c r="E21" s="339">
        <v>20845.369170000002</v>
      </c>
      <c r="F21" s="339">
        <v>7628.6605799999998</v>
      </c>
      <c r="G21" s="339">
        <v>13216.70859</v>
      </c>
      <c r="H21" s="339">
        <v>30.21747617784759</v>
      </c>
      <c r="I21" s="339">
        <v>14.998925609179594</v>
      </c>
      <c r="J21" s="339">
        <v>72.927412352294112</v>
      </c>
      <c r="K21" s="339">
        <v>33360.574929999995</v>
      </c>
      <c r="L21" s="339">
        <v>27683.84924</v>
      </c>
      <c r="M21" s="339">
        <v>5676.7256899999993</v>
      </c>
      <c r="N21" s="339">
        <v>7620.4828499999994</v>
      </c>
      <c r="O21" s="339">
        <v>4151.5170900000003</v>
      </c>
      <c r="P21" s="339">
        <v>3468.9657599999996</v>
      </c>
      <c r="Q21" s="339">
        <v>22.842780335740457</v>
      </c>
      <c r="R21" s="253">
        <v>14.996169983477342</v>
      </c>
      <c r="S21" s="339">
        <v>61.108567675039446</v>
      </c>
      <c r="T21" s="339">
        <v>35623.906259999996</v>
      </c>
      <c r="U21" s="339">
        <v>23177.53096</v>
      </c>
      <c r="V21" s="339">
        <v>12446.375300000002</v>
      </c>
      <c r="W21" s="339">
        <v>13224.88632</v>
      </c>
      <c r="X21" s="339">
        <v>3477.1434900000004</v>
      </c>
      <c r="Y21" s="339">
        <v>9747.7428299999992</v>
      </c>
      <c r="Z21" s="339">
        <v>37.123627665867325</v>
      </c>
      <c r="AA21" s="253">
        <v>15.002217000598066</v>
      </c>
      <c r="AB21" s="319">
        <v>78.317924657148964</v>
      </c>
    </row>
    <row r="22" spans="1:28" x14ac:dyDescent="0.3">
      <c r="A22" s="349" t="s">
        <v>169</v>
      </c>
      <c r="B22" s="339">
        <f>[1]Черн!F19</f>
        <v>154218.66026999999</v>
      </c>
      <c r="C22" s="339">
        <f>[1]Черн!G19</f>
        <v>16635.47234</v>
      </c>
      <c r="D22" s="339">
        <f>[1]Черн!H19</f>
        <v>137583.18793000001</v>
      </c>
      <c r="E22" s="339">
        <v>50094.989500000003</v>
      </c>
      <c r="F22" s="339">
        <v>4985.15834</v>
      </c>
      <c r="G22" s="339">
        <v>45109.831159999994</v>
      </c>
      <c r="H22" s="339">
        <v>32.483092131844266</v>
      </c>
      <c r="I22" s="339">
        <v>29.967038134608202</v>
      </c>
      <c r="J22" s="339">
        <v>32.787313507338638</v>
      </c>
      <c r="K22" s="339">
        <v>52644.462530000004</v>
      </c>
      <c r="L22" s="339">
        <v>8917.4936500000003</v>
      </c>
      <c r="M22" s="339">
        <v>43726.96888</v>
      </c>
      <c r="N22" s="339">
        <v>19084.58915</v>
      </c>
      <c r="O22" s="339">
        <v>2576.2277400000003</v>
      </c>
      <c r="P22" s="339">
        <v>16508.361410000001</v>
      </c>
      <c r="Q22" s="339">
        <v>36.251845365738973</v>
      </c>
      <c r="R22" s="339">
        <v>28.88959433125024</v>
      </c>
      <c r="S22" s="339">
        <v>37.753271797329305</v>
      </c>
      <c r="T22" s="339">
        <v>101574.19773999999</v>
      </c>
      <c r="U22" s="339">
        <v>7717.9786900000008</v>
      </c>
      <c r="V22" s="339">
        <v>93856.21905</v>
      </c>
      <c r="W22" s="339">
        <v>31010.40035</v>
      </c>
      <c r="X22" s="339">
        <v>2408.9306000000001</v>
      </c>
      <c r="Y22" s="339">
        <v>28601.46975</v>
      </c>
      <c r="Z22" s="339">
        <v>30.529800913985543</v>
      </c>
      <c r="AA22" s="339">
        <v>31.211936398855226</v>
      </c>
      <c r="AB22" s="319">
        <v>30.473707591782645</v>
      </c>
    </row>
    <row r="23" spans="1:28" x14ac:dyDescent="0.3">
      <c r="A23" s="349" t="s">
        <v>170</v>
      </c>
      <c r="B23" s="339">
        <f>[1]Черн!F20</f>
        <v>0</v>
      </c>
      <c r="C23" s="339">
        <f>[1]Черн!G20</f>
        <v>0</v>
      </c>
      <c r="D23" s="339">
        <f>[1]Черн!H20</f>
        <v>0</v>
      </c>
      <c r="E23" s="339">
        <v>0</v>
      </c>
      <c r="F23" s="339">
        <v>0</v>
      </c>
      <c r="G23" s="339">
        <v>0</v>
      </c>
      <c r="H23" s="339"/>
      <c r="I23" s="339"/>
      <c r="J23" s="339"/>
      <c r="K23" s="339">
        <v>0</v>
      </c>
      <c r="L23" s="339">
        <v>0</v>
      </c>
      <c r="M23" s="339">
        <v>0</v>
      </c>
      <c r="N23" s="339">
        <v>0</v>
      </c>
      <c r="O23" s="339">
        <v>0</v>
      </c>
      <c r="P23" s="339">
        <v>0</v>
      </c>
      <c r="Q23" s="339"/>
      <c r="R23" s="339"/>
      <c r="S23" s="339"/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/>
      <c r="AA23" s="339"/>
      <c r="AB23" s="319"/>
    </row>
    <row r="24" spans="1:28" x14ac:dyDescent="0.3">
      <c r="A24" s="349" t="s">
        <v>171</v>
      </c>
      <c r="B24" s="339">
        <f>[1]Черн!F21</f>
        <v>115077.89632</v>
      </c>
      <c r="C24" s="339">
        <f>[1]Черн!G21</f>
        <v>7191.2820000000002</v>
      </c>
      <c r="D24" s="339">
        <f>[1]Черн!H21</f>
        <v>107886.61431999999</v>
      </c>
      <c r="E24" s="339">
        <v>8125.2727000000004</v>
      </c>
      <c r="F24" s="339">
        <v>3934.44</v>
      </c>
      <c r="G24" s="339">
        <v>4190.8326999999999</v>
      </c>
      <c r="H24" s="253">
        <v>7.060671909925996</v>
      </c>
      <c r="I24" s="339">
        <v>54.711246200607903</v>
      </c>
      <c r="J24" s="253">
        <v>3.8844788358726952</v>
      </c>
      <c r="K24" s="339">
        <v>83344.533930000005</v>
      </c>
      <c r="L24" s="339">
        <v>5555.9844800000001</v>
      </c>
      <c r="M24" s="339">
        <v>77788.549450000006</v>
      </c>
      <c r="N24" s="339">
        <v>3956.8406</v>
      </c>
      <c r="O24" s="339">
        <v>3039.7483500000003</v>
      </c>
      <c r="P24" s="339">
        <v>917.09225000000004</v>
      </c>
      <c r="Q24" s="253">
        <v>4.7475706125170722</v>
      </c>
      <c r="R24" s="339">
        <v>54.711246241638172</v>
      </c>
      <c r="S24" s="253">
        <v>1.1789553301665274</v>
      </c>
      <c r="T24" s="339">
        <v>31733.362390000002</v>
      </c>
      <c r="U24" s="339">
        <v>1635.2975200000001</v>
      </c>
      <c r="V24" s="339">
        <v>30098.064870000002</v>
      </c>
      <c r="W24" s="339">
        <v>4168.4321</v>
      </c>
      <c r="X24" s="339">
        <v>894.69164999999998</v>
      </c>
      <c r="Y24" s="339">
        <v>3273.7404500000002</v>
      </c>
      <c r="Z24" s="253">
        <v>13.135803413361517</v>
      </c>
      <c r="AA24" s="339">
        <v>54.71124606120604</v>
      </c>
      <c r="AB24" s="254">
        <v>10.876913396724964</v>
      </c>
    </row>
    <row r="25" spans="1:28" x14ac:dyDescent="0.3">
      <c r="A25" s="349" t="s">
        <v>172</v>
      </c>
      <c r="B25" s="339">
        <f>[1]Черн!F22</f>
        <v>4495.8379800000002</v>
      </c>
      <c r="C25" s="339">
        <f>[1]Черн!G22</f>
        <v>0</v>
      </c>
      <c r="D25" s="339">
        <f>[1]Черн!H22</f>
        <v>4495.8379800000002</v>
      </c>
      <c r="E25" s="339">
        <v>4495.8379800000002</v>
      </c>
      <c r="F25" s="339">
        <v>0</v>
      </c>
      <c r="G25" s="339">
        <v>4495.8379800000002</v>
      </c>
      <c r="H25" s="339">
        <v>100</v>
      </c>
      <c r="I25" s="339"/>
      <c r="J25" s="339">
        <v>100</v>
      </c>
      <c r="K25" s="339">
        <v>2067.0728799999997</v>
      </c>
      <c r="L25" s="339">
        <v>0</v>
      </c>
      <c r="M25" s="339">
        <v>2067.0728799999997</v>
      </c>
      <c r="N25" s="339">
        <v>2067.0728799999997</v>
      </c>
      <c r="O25" s="339">
        <v>0</v>
      </c>
      <c r="P25" s="339">
        <v>2067.0728799999997</v>
      </c>
      <c r="Q25" s="339">
        <v>100.00000000000001</v>
      </c>
      <c r="R25" s="339"/>
      <c r="S25" s="339">
        <v>100.00000000000001</v>
      </c>
      <c r="T25" s="339">
        <v>2428.7651000000001</v>
      </c>
      <c r="U25" s="339">
        <v>0</v>
      </c>
      <c r="V25" s="339">
        <v>2428.7651000000001</v>
      </c>
      <c r="W25" s="339">
        <v>2428.7651000000001</v>
      </c>
      <c r="X25" s="339">
        <v>0</v>
      </c>
      <c r="Y25" s="339">
        <v>2428.7651000000001</v>
      </c>
      <c r="Z25" s="339">
        <v>100</v>
      </c>
      <c r="AA25" s="339"/>
      <c r="AB25" s="319">
        <v>100</v>
      </c>
    </row>
    <row r="26" spans="1:28" x14ac:dyDescent="0.3">
      <c r="A26" s="349" t="s">
        <v>173</v>
      </c>
      <c r="B26" s="339">
        <f>[1]Черн!F23</f>
        <v>21972.779289999999</v>
      </c>
      <c r="C26" s="339">
        <f>[1]Черн!G23</f>
        <v>0</v>
      </c>
      <c r="D26" s="339">
        <f>[1]Черн!H23</f>
        <v>21972.779289999999</v>
      </c>
      <c r="E26" s="339">
        <v>21755.812379999999</v>
      </c>
      <c r="F26" s="339">
        <v>0</v>
      </c>
      <c r="G26" s="339">
        <v>21755.812379999999</v>
      </c>
      <c r="H26" s="339">
        <v>99.012565014482519</v>
      </c>
      <c r="I26" s="339"/>
      <c r="J26" s="339">
        <v>99.012565014482519</v>
      </c>
      <c r="K26" s="339">
        <v>7667.47847</v>
      </c>
      <c r="L26" s="339">
        <v>0</v>
      </c>
      <c r="M26" s="339">
        <v>7667.47847</v>
      </c>
      <c r="N26" s="339">
        <v>7450.5115599999999</v>
      </c>
      <c r="O26" s="339">
        <v>0</v>
      </c>
      <c r="P26" s="339">
        <v>7450.5115599999999</v>
      </c>
      <c r="Q26" s="339">
        <v>97.170296456013389</v>
      </c>
      <c r="R26" s="339"/>
      <c r="S26" s="339">
        <v>97.170296456013389</v>
      </c>
      <c r="T26" s="339">
        <v>14305.30082</v>
      </c>
      <c r="U26" s="339">
        <v>0</v>
      </c>
      <c r="V26" s="339">
        <v>14305.30082</v>
      </c>
      <c r="W26" s="339">
        <v>14305.30082</v>
      </c>
      <c r="X26" s="339">
        <v>0</v>
      </c>
      <c r="Y26" s="339">
        <v>14305.30082</v>
      </c>
      <c r="Z26" s="339">
        <v>100.00000000000001</v>
      </c>
      <c r="AA26" s="339"/>
      <c r="AB26" s="319">
        <v>100.00000000000001</v>
      </c>
    </row>
    <row r="27" spans="1:28" x14ac:dyDescent="0.3">
      <c r="A27" s="349" t="s">
        <v>174</v>
      </c>
      <c r="B27" s="339">
        <f>[1]Черн!F24</f>
        <v>192832.49427000002</v>
      </c>
      <c r="C27" s="339">
        <f>[1]Черн!G24</f>
        <v>0</v>
      </c>
      <c r="D27" s="339">
        <f>[1]Черн!H24</f>
        <v>192832.49427000002</v>
      </c>
      <c r="E27" s="339">
        <v>72105.309859999994</v>
      </c>
      <c r="F27" s="339">
        <v>0</v>
      </c>
      <c r="G27" s="339">
        <v>72105.309859999994</v>
      </c>
      <c r="H27" s="339">
        <v>37.392717515254276</v>
      </c>
      <c r="I27" s="339"/>
      <c r="J27" s="339">
        <v>37.392717515254276</v>
      </c>
      <c r="K27" s="339">
        <v>119555.23046999999</v>
      </c>
      <c r="L27" s="339">
        <v>0</v>
      </c>
      <c r="M27" s="339">
        <v>119555.23046999999</v>
      </c>
      <c r="N27" s="339">
        <v>39723.601549999999</v>
      </c>
      <c r="O27" s="339">
        <v>0</v>
      </c>
      <c r="P27" s="339">
        <v>39723.601549999999</v>
      </c>
      <c r="Q27" s="339">
        <v>33.226151121817999</v>
      </c>
      <c r="R27" s="339"/>
      <c r="S27" s="339">
        <v>33.226151121817999</v>
      </c>
      <c r="T27" s="339">
        <v>73277.263800000001</v>
      </c>
      <c r="U27" s="339">
        <v>0</v>
      </c>
      <c r="V27" s="339">
        <v>73277.263800000001</v>
      </c>
      <c r="W27" s="339">
        <v>32381.708309999998</v>
      </c>
      <c r="X27" s="339">
        <v>0</v>
      </c>
      <c r="Y27" s="339">
        <v>32381.708309999998</v>
      </c>
      <c r="Z27" s="339">
        <v>44.190662465756532</v>
      </c>
      <c r="AA27" s="339"/>
      <c r="AB27" s="319">
        <v>44.190662465756532</v>
      </c>
    </row>
    <row r="28" spans="1:28" x14ac:dyDescent="0.3">
      <c r="A28" s="349" t="s">
        <v>175</v>
      </c>
      <c r="B28" s="339">
        <f>[1]Черн!F25</f>
        <v>0</v>
      </c>
      <c r="C28" s="339">
        <f>[1]Черн!G25</f>
        <v>0</v>
      </c>
      <c r="D28" s="339">
        <f>[1]Черн!H25</f>
        <v>0</v>
      </c>
      <c r="E28" s="339">
        <v>0</v>
      </c>
      <c r="F28" s="339">
        <v>0</v>
      </c>
      <c r="G28" s="339">
        <v>0</v>
      </c>
      <c r="H28" s="339"/>
      <c r="I28" s="339"/>
      <c r="J28" s="339"/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/>
      <c r="R28" s="339"/>
      <c r="S28" s="339"/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/>
      <c r="AA28" s="339"/>
      <c r="AB28" s="319"/>
    </row>
    <row r="29" spans="1:28" x14ac:dyDescent="0.3">
      <c r="A29" s="349" t="s">
        <v>176</v>
      </c>
      <c r="B29" s="339">
        <f>[1]Черн!F26</f>
        <v>4781</v>
      </c>
      <c r="C29" s="339">
        <f>[1]Черн!G26</f>
        <v>4781</v>
      </c>
      <c r="D29" s="339">
        <f>[1]Черн!H26</f>
        <v>0</v>
      </c>
      <c r="E29" s="339">
        <v>4780.3705399999999</v>
      </c>
      <c r="F29" s="339">
        <v>4780.3705399999999</v>
      </c>
      <c r="G29" s="339">
        <v>0</v>
      </c>
      <c r="H29" s="339">
        <v>99.986834135118173</v>
      </c>
      <c r="I29" s="339">
        <v>99.986834135118173</v>
      </c>
      <c r="J29" s="339"/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/>
      <c r="R29" s="339"/>
      <c r="S29" s="339"/>
      <c r="T29" s="339">
        <v>4781</v>
      </c>
      <c r="U29" s="339">
        <v>4781</v>
      </c>
      <c r="V29" s="339">
        <v>0</v>
      </c>
      <c r="W29" s="339">
        <v>4780.3705399999999</v>
      </c>
      <c r="X29" s="339">
        <v>4780.3705399999999</v>
      </c>
      <c r="Y29" s="339">
        <v>0</v>
      </c>
      <c r="Z29" s="339">
        <v>99.986834135118173</v>
      </c>
      <c r="AA29" s="339">
        <v>99.986834135118173</v>
      </c>
      <c r="AB29" s="319"/>
    </row>
    <row r="30" spans="1:28" x14ac:dyDescent="0.3">
      <c r="A30" s="349" t="s">
        <v>177</v>
      </c>
      <c r="B30" s="339">
        <f>[1]Черн!F27</f>
        <v>1215709.73648</v>
      </c>
      <c r="C30" s="339">
        <f>[1]Черн!G27</f>
        <v>1215709.73648</v>
      </c>
      <c r="D30" s="339">
        <f>[1]Черн!H27</f>
        <v>0</v>
      </c>
      <c r="E30" s="339">
        <v>387622.69176000002</v>
      </c>
      <c r="F30" s="339">
        <v>387622.69176000002</v>
      </c>
      <c r="G30" s="339">
        <v>0</v>
      </c>
      <c r="H30" s="339">
        <v>31.884477036626656</v>
      </c>
      <c r="I30" s="339">
        <v>31.884477036626656</v>
      </c>
      <c r="J30" s="339"/>
      <c r="K30" s="339">
        <v>811418.25465999998</v>
      </c>
      <c r="L30" s="339">
        <v>811418.25465999998</v>
      </c>
      <c r="M30" s="339">
        <v>0</v>
      </c>
      <c r="N30" s="339">
        <v>191184.77312</v>
      </c>
      <c r="O30" s="339">
        <v>191184.77312</v>
      </c>
      <c r="P30" s="339">
        <v>0</v>
      </c>
      <c r="Q30" s="339">
        <v>23.561803302060309</v>
      </c>
      <c r="R30" s="339">
        <v>23.561803302060309</v>
      </c>
      <c r="S30" s="339"/>
      <c r="T30" s="339">
        <v>404291.48181999999</v>
      </c>
      <c r="U30" s="339">
        <v>404291.48181999999</v>
      </c>
      <c r="V30" s="339">
        <v>0</v>
      </c>
      <c r="W30" s="339">
        <v>196437.91863999999</v>
      </c>
      <c r="X30" s="339">
        <v>196437.91863999999</v>
      </c>
      <c r="Y30" s="339">
        <v>0</v>
      </c>
      <c r="Z30" s="339">
        <v>48.588191310807467</v>
      </c>
      <c r="AA30" s="339">
        <v>48.588191310807467</v>
      </c>
      <c r="AB30" s="319"/>
    </row>
    <row r="31" spans="1:28" x14ac:dyDescent="0.3">
      <c r="A31" s="349" t="s">
        <v>178</v>
      </c>
      <c r="B31" s="339">
        <f>[1]Черн!F28</f>
        <v>413</v>
      </c>
      <c r="C31" s="339">
        <f>[1]Черн!G28</f>
        <v>413</v>
      </c>
      <c r="D31" s="339">
        <f>[1]Черн!H28</f>
        <v>0</v>
      </c>
      <c r="E31" s="339">
        <v>138.74350000000001</v>
      </c>
      <c r="F31" s="339">
        <v>138.74350000000001</v>
      </c>
      <c r="G31" s="339">
        <v>0</v>
      </c>
      <c r="H31" s="339">
        <v>33.594067796610176</v>
      </c>
      <c r="I31" s="339">
        <v>33.594067796610176</v>
      </c>
      <c r="J31" s="339"/>
      <c r="K31" s="339">
        <v>413</v>
      </c>
      <c r="L31" s="339">
        <v>413</v>
      </c>
      <c r="M31" s="339">
        <v>0</v>
      </c>
      <c r="N31" s="339">
        <v>138.74350000000001</v>
      </c>
      <c r="O31" s="339">
        <v>138.74350000000001</v>
      </c>
      <c r="P31" s="339">
        <v>0</v>
      </c>
      <c r="Q31" s="339">
        <v>33.594067796610176</v>
      </c>
      <c r="R31" s="339">
        <v>33.594067796610176</v>
      </c>
      <c r="S31" s="339"/>
      <c r="T31" s="339">
        <v>0</v>
      </c>
      <c r="U31" s="339">
        <v>0</v>
      </c>
      <c r="V31" s="339">
        <v>0</v>
      </c>
      <c r="W31" s="339">
        <v>0</v>
      </c>
      <c r="X31" s="339">
        <v>0</v>
      </c>
      <c r="Y31" s="339">
        <v>0</v>
      </c>
      <c r="Z31" s="339"/>
      <c r="AA31" s="339"/>
      <c r="AB31" s="319"/>
    </row>
    <row r="32" spans="1:28" x14ac:dyDescent="0.3">
      <c r="A32" s="349" t="s">
        <v>179</v>
      </c>
      <c r="B32" s="339">
        <f>[1]Черн!F29</f>
        <v>6914</v>
      </c>
      <c r="C32" s="339">
        <f>[1]Черн!G29</f>
        <v>6914</v>
      </c>
      <c r="D32" s="339">
        <f>[1]Черн!H29</f>
        <v>0</v>
      </c>
      <c r="E32" s="339">
        <v>5882.4023299999999</v>
      </c>
      <c r="F32" s="339">
        <v>5882.4023299999999</v>
      </c>
      <c r="G32" s="339">
        <v>0</v>
      </c>
      <c r="H32" s="339">
        <v>85.079582441423199</v>
      </c>
      <c r="I32" s="339">
        <v>85.079582441423199</v>
      </c>
      <c r="J32" s="339"/>
      <c r="K32" s="339">
        <v>0</v>
      </c>
      <c r="L32" s="339">
        <v>0</v>
      </c>
      <c r="M32" s="339">
        <v>0</v>
      </c>
      <c r="N32" s="339">
        <v>0</v>
      </c>
      <c r="O32" s="339">
        <v>0</v>
      </c>
      <c r="P32" s="339">
        <v>0</v>
      </c>
      <c r="Q32" s="339"/>
      <c r="R32" s="339"/>
      <c r="S32" s="339"/>
      <c r="T32" s="339">
        <v>6914</v>
      </c>
      <c r="U32" s="339">
        <v>6914</v>
      </c>
      <c r="V32" s="339">
        <v>0</v>
      </c>
      <c r="W32" s="339">
        <v>5882.4023299999999</v>
      </c>
      <c r="X32" s="339">
        <v>5882.4023299999999</v>
      </c>
      <c r="Y32" s="339">
        <v>0</v>
      </c>
      <c r="Z32" s="339">
        <v>85.079582441423199</v>
      </c>
      <c r="AA32" s="339">
        <v>85.079582441423199</v>
      </c>
      <c r="AB32" s="319"/>
    </row>
    <row r="33" spans="1:28" x14ac:dyDescent="0.3">
      <c r="A33" s="349" t="s">
        <v>180</v>
      </c>
      <c r="B33" s="339">
        <f>[1]Черн!F30</f>
        <v>0</v>
      </c>
      <c r="C33" s="339">
        <f>[1]Черн!G30</f>
        <v>0</v>
      </c>
      <c r="D33" s="339">
        <f>[1]Черн!H30</f>
        <v>0</v>
      </c>
      <c r="E33" s="339">
        <v>0</v>
      </c>
      <c r="F33" s="339">
        <v>0</v>
      </c>
      <c r="G33" s="339">
        <v>0</v>
      </c>
      <c r="H33" s="339"/>
      <c r="I33" s="339"/>
      <c r="J33" s="339"/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/>
      <c r="R33" s="339"/>
      <c r="S33" s="339"/>
      <c r="T33" s="339">
        <v>0</v>
      </c>
      <c r="U33" s="339">
        <v>0</v>
      </c>
      <c r="V33" s="339">
        <v>0</v>
      </c>
      <c r="W33" s="339">
        <v>0</v>
      </c>
      <c r="X33" s="339">
        <v>0</v>
      </c>
      <c r="Y33" s="339">
        <v>0</v>
      </c>
      <c r="Z33" s="339"/>
      <c r="AA33" s="339"/>
      <c r="AB33" s="319"/>
    </row>
    <row r="34" spans="1:28" x14ac:dyDescent="0.3">
      <c r="A34" s="349" t="s">
        <v>181</v>
      </c>
      <c r="B34" s="339">
        <f>[1]Черн!F31</f>
        <v>0</v>
      </c>
      <c r="C34" s="339">
        <f>[1]Черн!G31</f>
        <v>0</v>
      </c>
      <c r="D34" s="339">
        <f>[1]Черн!H31</f>
        <v>0</v>
      </c>
      <c r="E34" s="339">
        <v>0</v>
      </c>
      <c r="F34" s="339">
        <v>0</v>
      </c>
      <c r="G34" s="339">
        <v>0</v>
      </c>
      <c r="H34" s="339"/>
      <c r="I34" s="339"/>
      <c r="J34" s="339"/>
      <c r="K34" s="339">
        <v>0</v>
      </c>
      <c r="L34" s="339">
        <v>0</v>
      </c>
      <c r="M34" s="339">
        <v>0</v>
      </c>
      <c r="N34" s="339">
        <v>0</v>
      </c>
      <c r="O34" s="339">
        <v>0</v>
      </c>
      <c r="P34" s="339">
        <v>0</v>
      </c>
      <c r="Q34" s="339"/>
      <c r="R34" s="339"/>
      <c r="S34" s="339"/>
      <c r="T34" s="339">
        <v>0</v>
      </c>
      <c r="U34" s="339">
        <v>0</v>
      </c>
      <c r="V34" s="339">
        <v>0</v>
      </c>
      <c r="W34" s="339">
        <v>0</v>
      </c>
      <c r="X34" s="339">
        <v>0</v>
      </c>
      <c r="Y34" s="339">
        <v>0</v>
      </c>
      <c r="Z34" s="339"/>
      <c r="AA34" s="339"/>
      <c r="AB34" s="319"/>
    </row>
    <row r="35" spans="1:28" x14ac:dyDescent="0.3">
      <c r="A35" s="349" t="s">
        <v>182</v>
      </c>
      <c r="B35" s="339">
        <f>[1]Черн!F32</f>
        <v>0</v>
      </c>
      <c r="C35" s="339">
        <f>[1]Черн!G32</f>
        <v>0</v>
      </c>
      <c r="D35" s="339">
        <f>[1]Черн!H32</f>
        <v>0</v>
      </c>
      <c r="E35" s="339">
        <v>0</v>
      </c>
      <c r="F35" s="339">
        <v>0</v>
      </c>
      <c r="G35" s="339">
        <v>0</v>
      </c>
      <c r="H35" s="339"/>
      <c r="I35" s="339"/>
      <c r="J35" s="339"/>
      <c r="K35" s="339">
        <v>0</v>
      </c>
      <c r="L35" s="339">
        <v>0</v>
      </c>
      <c r="M35" s="339">
        <v>0</v>
      </c>
      <c r="N35" s="339">
        <v>0</v>
      </c>
      <c r="O35" s="339">
        <v>0</v>
      </c>
      <c r="P35" s="339">
        <v>0</v>
      </c>
      <c r="Q35" s="339"/>
      <c r="R35" s="339"/>
      <c r="S35" s="339"/>
      <c r="T35" s="339">
        <v>0</v>
      </c>
      <c r="U35" s="339">
        <v>0</v>
      </c>
      <c r="V35" s="339">
        <v>0</v>
      </c>
      <c r="W35" s="339">
        <v>0</v>
      </c>
      <c r="X35" s="339">
        <v>0</v>
      </c>
      <c r="Y35" s="339">
        <v>0</v>
      </c>
      <c r="Z35" s="339"/>
      <c r="AA35" s="339"/>
      <c r="AB35" s="319"/>
    </row>
    <row r="36" spans="1:28" s="275" customFormat="1" x14ac:dyDescent="0.3">
      <c r="A36" s="350" t="s">
        <v>183</v>
      </c>
      <c r="B36" s="351">
        <f>[1]Черн!F33</f>
        <v>2265439.2462499999</v>
      </c>
      <c r="C36" s="351">
        <f>[1]Черн!G33</f>
        <v>1409509.6668199999</v>
      </c>
      <c r="D36" s="351">
        <f>[1]Черн!H33</f>
        <v>855929.57942999993</v>
      </c>
      <c r="E36" s="351">
        <v>894887.30336999998</v>
      </c>
      <c r="F36" s="351">
        <v>443347.10222</v>
      </c>
      <c r="G36" s="351">
        <v>451540.20114999998</v>
      </c>
      <c r="H36" s="351">
        <v>39.501712740754989</v>
      </c>
      <c r="I36" s="351">
        <v>31.453995148556665</v>
      </c>
      <c r="J36" s="351">
        <v>52.754363443158475</v>
      </c>
      <c r="K36" s="351">
        <v>1418390.5710399998</v>
      </c>
      <c r="L36" s="351">
        <v>916941.17001999996</v>
      </c>
      <c r="M36" s="351">
        <v>501449.40101999999</v>
      </c>
      <c r="N36" s="351">
        <v>474875.11326999997</v>
      </c>
      <c r="O36" s="351">
        <v>222438.11354000002</v>
      </c>
      <c r="P36" s="351">
        <v>252436.99972999998</v>
      </c>
      <c r="Q36" s="351">
        <v>33.479855476042083</v>
      </c>
      <c r="R36" s="351">
        <v>24.258711552361454</v>
      </c>
      <c r="S36" s="351">
        <v>50.341469990096108</v>
      </c>
      <c r="T36" s="351">
        <v>847048.67521000002</v>
      </c>
      <c r="U36" s="351">
        <v>492568.49679999996</v>
      </c>
      <c r="V36" s="351">
        <v>354480.17841000005</v>
      </c>
      <c r="W36" s="351">
        <v>420012.19010000001</v>
      </c>
      <c r="X36" s="351">
        <v>220908.98868000001</v>
      </c>
      <c r="Y36" s="351">
        <v>199103.20142</v>
      </c>
      <c r="Z36" s="351">
        <v>49.585366507523403</v>
      </c>
      <c r="AA36" s="351">
        <v>44.848379487350122</v>
      </c>
      <c r="AB36" s="352">
        <v>56.167654370144383</v>
      </c>
    </row>
    <row r="37" spans="1:28" x14ac:dyDescent="0.3">
      <c r="A37" s="353" t="s">
        <v>323</v>
      </c>
      <c r="B37" s="339">
        <f>[1]Черн!F34</f>
        <v>52969.988689999998</v>
      </c>
      <c r="C37" s="339"/>
      <c r="D37" s="339"/>
      <c r="E37" s="339">
        <v>8612.9886900000001</v>
      </c>
      <c r="F37" s="339"/>
      <c r="G37" s="339"/>
      <c r="H37" s="253">
        <v>16.260129373269081</v>
      </c>
      <c r="I37" s="339"/>
      <c r="J37" s="339"/>
      <c r="K37" s="339">
        <v>11812.98869</v>
      </c>
      <c r="L37" s="339"/>
      <c r="M37" s="339"/>
      <c r="N37" s="339">
        <v>8612.9886900000001</v>
      </c>
      <c r="O37" s="339"/>
      <c r="P37" s="339"/>
      <c r="Q37" s="339">
        <v>72.911173590567458</v>
      </c>
      <c r="R37" s="339"/>
      <c r="S37" s="339"/>
      <c r="T37" s="339">
        <v>41157</v>
      </c>
      <c r="U37" s="339"/>
      <c r="V37" s="339"/>
      <c r="W37" s="339">
        <v>0</v>
      </c>
      <c r="X37" s="339"/>
      <c r="Y37" s="339"/>
      <c r="Z37" s="253">
        <v>0</v>
      </c>
      <c r="AA37" s="339"/>
      <c r="AB37" s="319"/>
    </row>
    <row r="38" spans="1:28" s="275" customFormat="1" ht="13.8" thickBot="1" x14ac:dyDescent="0.35">
      <c r="A38" s="354" t="s">
        <v>324</v>
      </c>
      <c r="B38" s="331">
        <f>[1]Черн!F35</f>
        <v>2318409.2349399999</v>
      </c>
      <c r="C38" s="331">
        <f>C36</f>
        <v>1409509.6668199999</v>
      </c>
      <c r="D38" s="331">
        <f>[1]Черн!H35</f>
        <v>855929.57942999993</v>
      </c>
      <c r="E38" s="331">
        <v>903500.29206000001</v>
      </c>
      <c r="F38" s="331">
        <v>443347.10222</v>
      </c>
      <c r="G38" s="331">
        <v>451540.20114999998</v>
      </c>
      <c r="H38" s="331">
        <v>38.970699324503961</v>
      </c>
      <c r="I38" s="331">
        <v>31.453995148556665</v>
      </c>
      <c r="J38" s="331">
        <v>52.754363443158475</v>
      </c>
      <c r="K38" s="331">
        <v>1430203.5597299999</v>
      </c>
      <c r="L38" s="331">
        <v>916941.17001999996</v>
      </c>
      <c r="M38" s="331">
        <v>501449.40101999999</v>
      </c>
      <c r="N38" s="331">
        <v>483488.10196</v>
      </c>
      <c r="O38" s="331">
        <v>222438.11354000002</v>
      </c>
      <c r="P38" s="331">
        <v>252436.99972999998</v>
      </c>
      <c r="Q38" s="331">
        <v>33.805544579351697</v>
      </c>
      <c r="R38" s="331">
        <v>24.258711552361454</v>
      </c>
      <c r="S38" s="331">
        <v>50.341469990096108</v>
      </c>
      <c r="T38" s="331">
        <v>888205.67521000002</v>
      </c>
      <c r="U38" s="331">
        <v>492568.49679999996</v>
      </c>
      <c r="V38" s="331">
        <v>354480.17841000005</v>
      </c>
      <c r="W38" s="331">
        <v>420012.19010000001</v>
      </c>
      <c r="X38" s="331">
        <v>220908.98868000001</v>
      </c>
      <c r="Y38" s="331">
        <v>199103.20142</v>
      </c>
      <c r="Z38" s="331">
        <v>47.287717453583689</v>
      </c>
      <c r="AA38" s="331">
        <v>44.848379487350122</v>
      </c>
      <c r="AB38" s="355">
        <v>56.167654370144383</v>
      </c>
    </row>
    <row r="39" spans="1:28" ht="13.8" thickTop="1" x14ac:dyDescent="0.3"/>
    <row r="41" spans="1:28" x14ac:dyDescent="0.3">
      <c r="C41" s="342">
        <f>C36+D36</f>
        <v>2265439.2462499999</v>
      </c>
    </row>
  </sheetData>
  <mergeCells count="35">
    <mergeCell ref="Y1:AB1"/>
    <mergeCell ref="A2:AB2"/>
    <mergeCell ref="Z3:AB3"/>
    <mergeCell ref="A4:A8"/>
    <mergeCell ref="B4:J5"/>
    <mergeCell ref="K4:AB4"/>
    <mergeCell ref="K5:S5"/>
    <mergeCell ref="T5:AB5"/>
    <mergeCell ref="B6:D6"/>
    <mergeCell ref="E6:G6"/>
    <mergeCell ref="Z6:AB6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H6:J6"/>
    <mergeCell ref="K6:M6"/>
    <mergeCell ref="N6:P6"/>
    <mergeCell ref="Q6:S6"/>
    <mergeCell ref="T6:V6"/>
    <mergeCell ref="W6:Y6"/>
    <mergeCell ref="X7:Y7"/>
    <mergeCell ref="Z7:Z8"/>
    <mergeCell ref="AA7:AB7"/>
    <mergeCell ref="O7:P7"/>
    <mergeCell ref="Q7:Q8"/>
    <mergeCell ref="R7:S7"/>
    <mergeCell ref="T7:T8"/>
    <mergeCell ref="U7:V7"/>
    <mergeCell ref="W7:W8"/>
  </mergeCells>
  <conditionalFormatting sqref="E10:G35">
    <cfRule type="cellIs" dxfId="9" priority="6" operator="equal">
      <formula>0</formula>
    </cfRule>
  </conditionalFormatting>
  <conditionalFormatting sqref="N10:P35">
    <cfRule type="cellIs" dxfId="8" priority="5" operator="equal">
      <formula>0</formula>
    </cfRule>
  </conditionalFormatting>
  <conditionalFormatting sqref="W10:Y35">
    <cfRule type="cellIs" dxfId="7" priority="4" operator="equal">
      <formula>0</formula>
    </cfRule>
  </conditionalFormatting>
  <conditionalFormatting sqref="B10:G35">
    <cfRule type="cellIs" dxfId="6" priority="3" operator="equal">
      <formula>0</formula>
    </cfRule>
  </conditionalFormatting>
  <conditionalFormatting sqref="K10:N35">
    <cfRule type="cellIs" dxfId="5" priority="2" operator="equal">
      <formula>0</formula>
    </cfRule>
  </conditionalFormatting>
  <conditionalFormatting sqref="T10:V35">
    <cfRule type="cellIs" dxfId="4" priority="1" operator="equal">
      <formula>0</formula>
    </cfRule>
  </conditionalFormatting>
  <pageMargins left="0.39370078740157483" right="0.39370078740157483" top="0.74803149606299213" bottom="0.59055118110236227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Прил. 1.1 - конс.</vt:lpstr>
      <vt:lpstr>Прил. 1.2 - доходы конс</vt:lpstr>
      <vt:lpstr>Прил. 1.3 - расходы конс.</vt:lpstr>
      <vt:lpstr>Прил. 1.4 - исполнение МО</vt:lpstr>
      <vt:lpstr>Прил. 1.5 - доходы МО</vt:lpstr>
      <vt:lpstr>Прил. 1.6 - безвозм.МО</vt:lpstr>
      <vt:lpstr>Безвозмезд.</vt:lpstr>
      <vt:lpstr>Черн</vt:lpstr>
      <vt:lpstr>Прил. 3.1- Фонд ЖКХ 1</vt:lpstr>
      <vt:lpstr>Прил.3.2 - Фонд ЖКХ 2</vt:lpstr>
      <vt:lpstr>Прил. 4.1 - учреждения</vt:lpstr>
      <vt:lpstr>'Прил. 1.1 - конс.'!Область_печати</vt:lpstr>
      <vt:lpstr>'Прил. 1.2 - доходы конс'!Область_печати</vt:lpstr>
      <vt:lpstr>'Прил. 1.3 - расходы конс.'!Область_печати</vt:lpstr>
      <vt:lpstr>'Прил. 1.4 - исполнение МО'!Область_печати</vt:lpstr>
      <vt:lpstr>'Прил. 1.5 - доходы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Кичев</dc:creator>
  <cp:lastModifiedBy>Сергей Калинин</cp:lastModifiedBy>
  <cp:lastPrinted>2016-12-15T07:31:34Z</cp:lastPrinted>
  <dcterms:created xsi:type="dcterms:W3CDTF">2016-08-15T11:30:33Z</dcterms:created>
  <dcterms:modified xsi:type="dcterms:W3CDTF">2016-12-15T07:47:45Z</dcterms:modified>
</cp:coreProperties>
</file>