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2016 год\Бюджет 2016\2016 год_исполнение бюджета\Отчет об исполнении 2016\Заключение\"/>
    </mc:Choice>
  </mc:AlternateContent>
  <bookViews>
    <workbookView xWindow="192" yWindow="312" windowWidth="18888" windowHeight="6180" firstSheet="8" activeTab="8"/>
  </bookViews>
  <sheets>
    <sheet name="Приложение № 1 конс." sheetId="2" r:id="rId1"/>
    <sheet name="Приложение № 1.1 Конс. 15-16" sheetId="12" r:id="rId2"/>
    <sheet name="Приложение № 2 бюджеты МО" sheetId="5" r:id="rId3"/>
    <sheet name="Приложение № 3 доходы МО" sheetId="6" r:id="rId4"/>
    <sheet name="Приложение № 4 МБТ" sheetId="8" r:id="rId5"/>
    <sheet name="Приложение № 5 программы" sheetId="1" r:id="rId6"/>
    <sheet name="Приложение № 6 ФХД МО" sheetId="9" r:id="rId7"/>
    <sheet name="Приложение № 7 ФХД ОБ" sheetId="3" r:id="rId8"/>
    <sheet name="Приложение № 8 задолж.МО" sheetId="11" r:id="rId9"/>
    <sheet name="Прилоежние № 9 задолж.ОБ" sheetId="10" r:id="rId10"/>
  </sheets>
  <externalReferences>
    <externalReference r:id="rId11"/>
  </externalReferences>
  <definedNames>
    <definedName name="_xlnm._FilterDatabase" localSheetId="5" hidden="1">'Приложение № 5 программы'!$A$7:$WWD$30</definedName>
    <definedName name="_xlnm._FilterDatabase" localSheetId="6" hidden="1">'Приложение № 6 ФХД МО'!$A$7:$P$36</definedName>
    <definedName name="_xlnm.Print_Titles" localSheetId="9">'Прилоежние № 9 задолж.ОБ'!$6:$7</definedName>
    <definedName name="_xlnm.Print_Titles" localSheetId="1">'Приложение № 1.1 Конс. 15-16'!$4:$7</definedName>
    <definedName name="_xlnm.Print_Titles" localSheetId="5">'Приложение № 5 программы'!$6:$7</definedName>
    <definedName name="_xlnm.Print_Area" localSheetId="9">'Прилоежние № 9 задолж.ОБ'!$A$1:$AO$27</definedName>
    <definedName name="_xlnm.Print_Area" localSheetId="0">'Приложение № 1 конс.'!$A$1:$AG$153</definedName>
    <definedName name="_xlnm.Print_Area" localSheetId="2">'Приложение № 2 бюджеты МО'!$A$1:$O$35</definedName>
    <definedName name="_xlnm.Print_Area" localSheetId="3">'Приложение № 3 доходы МО'!$A$1:$S$35</definedName>
    <definedName name="_xlnm.Print_Area" localSheetId="4">'Приложение № 4 МБТ'!$A$1:$P$36</definedName>
    <definedName name="_xlnm.Print_Area" localSheetId="5">'Приложение № 5 программы'!$A$1:$V$30</definedName>
    <definedName name="_xlnm.Print_Area" localSheetId="6">'Приложение № 6 ФХД МО'!$A$1:$AU$38</definedName>
    <definedName name="_xlnm.Print_Area" localSheetId="7">'Приложение № 7 ФХД ОБ'!$A$1:$AP$27</definedName>
  </definedNames>
  <calcPr calcId="152511"/>
</workbook>
</file>

<file path=xl/calcChain.xml><?xml version="1.0" encoding="utf-8"?>
<calcChain xmlns="http://schemas.openxmlformats.org/spreadsheetml/2006/main">
  <c r="AK39" i="2" l="1"/>
  <c r="AK38" i="2"/>
  <c r="AS26" i="10" l="1"/>
  <c r="AR26" i="10"/>
  <c r="AQ26" i="10"/>
  <c r="AP26" i="10"/>
  <c r="AO26" i="10"/>
  <c r="AN26" i="10"/>
  <c r="AS25" i="10"/>
  <c r="AR25" i="10"/>
  <c r="AQ25" i="10"/>
  <c r="AP25" i="10"/>
  <c r="AO25" i="10"/>
  <c r="AN25" i="10"/>
  <c r="AS24" i="10"/>
  <c r="AR24" i="10"/>
  <c r="AQ24" i="10"/>
  <c r="AP24" i="10"/>
  <c r="AO24" i="10"/>
  <c r="AN24" i="10"/>
  <c r="AS23" i="10"/>
  <c r="AR23" i="10"/>
  <c r="AQ23" i="10"/>
  <c r="AP23" i="10"/>
  <c r="AO23" i="10"/>
  <c r="AN23" i="10"/>
  <c r="AS22" i="10"/>
  <c r="AR22" i="10"/>
  <c r="AQ22" i="10"/>
  <c r="AP22" i="10"/>
  <c r="AO22" i="10"/>
  <c r="AN22" i="10"/>
  <c r="AS21" i="10"/>
  <c r="AR21" i="10"/>
  <c r="AQ21" i="10"/>
  <c r="AP21" i="10"/>
  <c r="AO21" i="10"/>
  <c r="AN21" i="10"/>
  <c r="AS20" i="10"/>
  <c r="AR20" i="10"/>
  <c r="AQ20" i="10"/>
  <c r="AP20" i="10"/>
  <c r="AO20" i="10"/>
  <c r="AN20" i="10"/>
  <c r="AS19" i="10"/>
  <c r="AR19" i="10"/>
  <c r="AQ19" i="10"/>
  <c r="AP19" i="10"/>
  <c r="AO19" i="10"/>
  <c r="AN19" i="10"/>
  <c r="AS18" i="10"/>
  <c r="AR18" i="10"/>
  <c r="AQ18" i="10"/>
  <c r="AP18" i="10"/>
  <c r="AO18" i="10"/>
  <c r="AN18" i="10"/>
  <c r="AS17" i="10"/>
  <c r="AR17" i="10"/>
  <c r="AQ17" i="10"/>
  <c r="AP17" i="10"/>
  <c r="AO17" i="10"/>
  <c r="AN17" i="10"/>
  <c r="AS16" i="10"/>
  <c r="AR16" i="10"/>
  <c r="AQ16" i="10"/>
  <c r="AP16" i="10"/>
  <c r="AO16" i="10"/>
  <c r="AN16" i="10"/>
  <c r="AS15" i="10"/>
  <c r="AR15" i="10"/>
  <c r="AQ15" i="10"/>
  <c r="AP15" i="10"/>
  <c r="AO15" i="10"/>
  <c r="AN15" i="10"/>
  <c r="AS14" i="10"/>
  <c r="AR14" i="10"/>
  <c r="AQ14" i="10"/>
  <c r="AP14" i="10"/>
  <c r="AO14" i="10"/>
  <c r="AN14" i="10"/>
  <c r="AS13" i="10"/>
  <c r="AR13" i="10"/>
  <c r="AQ13" i="10"/>
  <c r="AP13" i="10"/>
  <c r="AO13" i="10"/>
  <c r="AN13" i="10"/>
  <c r="AS12" i="10"/>
  <c r="AR12" i="10"/>
  <c r="AQ12" i="10"/>
  <c r="AP12" i="10"/>
  <c r="AO12" i="10"/>
  <c r="AN12" i="10"/>
  <c r="AS11" i="10"/>
  <c r="AR11" i="10"/>
  <c r="AQ11" i="10"/>
  <c r="AP11" i="10"/>
  <c r="AO11" i="10"/>
  <c r="AN11" i="10"/>
  <c r="AS10" i="10"/>
  <c r="AS27" i="10" s="1"/>
  <c r="AR10" i="10"/>
  <c r="AQ10" i="10"/>
  <c r="AP10" i="10"/>
  <c r="AP27" i="10" s="1"/>
  <c r="AO10" i="10"/>
  <c r="AO27" i="10" s="1"/>
  <c r="AN10" i="10"/>
  <c r="R30" i="3"/>
  <c r="AS27" i="3"/>
  <c r="AQ27" i="3"/>
  <c r="AS26" i="3"/>
  <c r="AS25" i="3"/>
  <c r="AQ25" i="3"/>
  <c r="AS23" i="3"/>
  <c r="AS22" i="3"/>
  <c r="AS21" i="3"/>
  <c r="AS20" i="3"/>
  <c r="AQ20" i="3"/>
  <c r="AS19" i="3"/>
  <c r="AS18" i="3"/>
  <c r="AS17" i="3"/>
  <c r="AS16" i="3"/>
  <c r="AQ16" i="3"/>
  <c r="AS15" i="3"/>
  <c r="AQ15" i="3"/>
  <c r="AS14" i="3"/>
  <c r="AS13" i="3"/>
  <c r="AQ13" i="3"/>
  <c r="AS12" i="3"/>
  <c r="AQ12" i="3"/>
  <c r="AS11" i="3"/>
  <c r="AS10" i="3"/>
  <c r="AS38" i="11"/>
  <c r="AR38" i="11"/>
  <c r="AQ38" i="11"/>
  <c r="AP38" i="11"/>
  <c r="AO38" i="11"/>
  <c r="AN38" i="11"/>
  <c r="AS36" i="11"/>
  <c r="AR36" i="11"/>
  <c r="AQ36" i="11"/>
  <c r="AP36" i="11"/>
  <c r="AO36" i="11"/>
  <c r="AN36" i="11"/>
  <c r="AS35" i="11"/>
  <c r="AR35" i="11"/>
  <c r="AQ35" i="11"/>
  <c r="AP35" i="11"/>
  <c r="AO35" i="11"/>
  <c r="AN35" i="11"/>
  <c r="AS34" i="11"/>
  <c r="AR34" i="11"/>
  <c r="AQ34" i="11"/>
  <c r="AP34" i="11"/>
  <c r="AO34" i="11"/>
  <c r="AN34" i="11"/>
  <c r="AS33" i="11"/>
  <c r="AR33" i="11"/>
  <c r="AQ33" i="11"/>
  <c r="AP33" i="11"/>
  <c r="AO33" i="11"/>
  <c r="AN33" i="11"/>
  <c r="AS32" i="11"/>
  <c r="AR32" i="11"/>
  <c r="AQ32" i="11"/>
  <c r="AP32" i="11"/>
  <c r="AO32" i="11"/>
  <c r="AN32" i="11"/>
  <c r="AS31" i="11"/>
  <c r="AR31" i="11"/>
  <c r="AQ31" i="11"/>
  <c r="AP31" i="11"/>
  <c r="AO31" i="11"/>
  <c r="AN31" i="11"/>
  <c r="AS30" i="11"/>
  <c r="AR30" i="11"/>
  <c r="AQ30" i="11"/>
  <c r="AP30" i="11"/>
  <c r="AO30" i="11"/>
  <c r="AN30" i="11"/>
  <c r="AS29" i="11"/>
  <c r="AR29" i="11"/>
  <c r="AQ29" i="11"/>
  <c r="AP29" i="11"/>
  <c r="AO29" i="11"/>
  <c r="AN29" i="11"/>
  <c r="AS28" i="11"/>
  <c r="AR28" i="11"/>
  <c r="AQ28" i="11"/>
  <c r="AP28" i="11"/>
  <c r="AO28" i="11"/>
  <c r="AN28" i="11"/>
  <c r="AS27" i="11"/>
  <c r="AR27" i="11"/>
  <c r="AQ27" i="11"/>
  <c r="AP27" i="11"/>
  <c r="AO27" i="11"/>
  <c r="AN27" i="11"/>
  <c r="AS26" i="11"/>
  <c r="AR26" i="11"/>
  <c r="AQ26" i="11"/>
  <c r="AP26" i="11"/>
  <c r="AO26" i="11"/>
  <c r="AN26" i="11"/>
  <c r="AS25" i="11"/>
  <c r="AR25" i="11"/>
  <c r="AQ25" i="11"/>
  <c r="AP25" i="11"/>
  <c r="AO25" i="11"/>
  <c r="AN25" i="11"/>
  <c r="AS24" i="11"/>
  <c r="AR24" i="11"/>
  <c r="AQ24" i="11"/>
  <c r="AP24" i="11"/>
  <c r="AO24" i="11"/>
  <c r="AN24" i="11"/>
  <c r="AS23" i="11"/>
  <c r="AR23" i="11"/>
  <c r="AQ23" i="11"/>
  <c r="AP23" i="11"/>
  <c r="AO23" i="11"/>
  <c r="AN23" i="11"/>
  <c r="AS22" i="11"/>
  <c r="AR22" i="11"/>
  <c r="AQ22" i="11"/>
  <c r="AP22" i="11"/>
  <c r="AO22" i="11"/>
  <c r="AN22" i="11"/>
  <c r="AS21" i="11"/>
  <c r="AR21" i="11"/>
  <c r="AQ21" i="11"/>
  <c r="AP21" i="11"/>
  <c r="AO21" i="11"/>
  <c r="AN21" i="11"/>
  <c r="AS20" i="11"/>
  <c r="AR20" i="11"/>
  <c r="AQ20" i="11"/>
  <c r="AP20" i="11"/>
  <c r="AO20" i="11"/>
  <c r="AN20" i="11"/>
  <c r="AS19" i="11"/>
  <c r="AR19" i="11"/>
  <c r="AQ19" i="11"/>
  <c r="AP19" i="11"/>
  <c r="AO19" i="11"/>
  <c r="AN19" i="11"/>
  <c r="AS18" i="11"/>
  <c r="AR18" i="11"/>
  <c r="AQ18" i="11"/>
  <c r="AP18" i="11"/>
  <c r="AO18" i="11"/>
  <c r="AN18" i="11"/>
  <c r="AS17" i="11"/>
  <c r="AR17" i="11"/>
  <c r="AQ17" i="11"/>
  <c r="AP17" i="11"/>
  <c r="AO17" i="11"/>
  <c r="AN17" i="11"/>
  <c r="AS16" i="11"/>
  <c r="AR16" i="11"/>
  <c r="AQ16" i="11"/>
  <c r="AP16" i="11"/>
  <c r="AO16" i="11"/>
  <c r="AN16" i="11"/>
  <c r="AS15" i="11"/>
  <c r="AR15" i="11"/>
  <c r="AQ15" i="11"/>
  <c r="AP15" i="11"/>
  <c r="AO15" i="11"/>
  <c r="AN15" i="11"/>
  <c r="AS14" i="11"/>
  <c r="AR14" i="11"/>
  <c r="AQ14" i="11"/>
  <c r="AP14" i="11"/>
  <c r="AO14" i="11"/>
  <c r="AN14" i="11"/>
  <c r="AS13" i="11"/>
  <c r="AR13" i="11"/>
  <c r="AQ13" i="11"/>
  <c r="AP13" i="11"/>
  <c r="AO13" i="11"/>
  <c r="AN13" i="11"/>
  <c r="AS12" i="11"/>
  <c r="AR12" i="11"/>
  <c r="AQ12" i="11"/>
  <c r="AP12" i="11"/>
  <c r="AO12" i="11"/>
  <c r="AN12" i="11"/>
  <c r="AS11" i="11"/>
  <c r="AR11" i="11"/>
  <c r="AQ11" i="11"/>
  <c r="AQ37" i="11" s="1"/>
  <c r="AQ39" i="11" s="1"/>
  <c r="AP11" i="11"/>
  <c r="AP37" i="11" s="1"/>
  <c r="AP39" i="11" s="1"/>
  <c r="AO11" i="11"/>
  <c r="AN11" i="11"/>
  <c r="AX37" i="9"/>
  <c r="AV37" i="9"/>
  <c r="AV36" i="9"/>
  <c r="AX38" i="9"/>
  <c r="AX35" i="9"/>
  <c r="AX34" i="9"/>
  <c r="AV34" i="9"/>
  <c r="AX33" i="9"/>
  <c r="AV33" i="9"/>
  <c r="AX32" i="9"/>
  <c r="AV32" i="9"/>
  <c r="AX31" i="9"/>
  <c r="AV31" i="9"/>
  <c r="AX30" i="9"/>
  <c r="AV30" i="9"/>
  <c r="AX29" i="9"/>
  <c r="AV29" i="9"/>
  <c r="AX28" i="9"/>
  <c r="AX27" i="9"/>
  <c r="AX26" i="9"/>
  <c r="AV26" i="9"/>
  <c r="AX25" i="9"/>
  <c r="AV25" i="9"/>
  <c r="AX24" i="9"/>
  <c r="AX23" i="9"/>
  <c r="AV23" i="9"/>
  <c r="AX22" i="9"/>
  <c r="AV22" i="9"/>
  <c r="AX21" i="9"/>
  <c r="AV21" i="9"/>
  <c r="AX20" i="9"/>
  <c r="AV20" i="9"/>
  <c r="AX19" i="9"/>
  <c r="AV19" i="9"/>
  <c r="AX18" i="9"/>
  <c r="AV18" i="9"/>
  <c r="AX17" i="9"/>
  <c r="AX16" i="9"/>
  <c r="AV16" i="9"/>
  <c r="AX15" i="9"/>
  <c r="AX14" i="9"/>
  <c r="AV14" i="9"/>
  <c r="AX13" i="9"/>
  <c r="AX12" i="9"/>
  <c r="AV12" i="9"/>
  <c r="AX11" i="9"/>
  <c r="AV11" i="9"/>
  <c r="AX10" i="9"/>
  <c r="AQ27" i="10" l="1"/>
  <c r="AN27" i="10"/>
  <c r="AR27" i="10"/>
  <c r="AN37" i="11"/>
  <c r="AN39" i="11" s="1"/>
  <c r="AR37" i="11"/>
  <c r="AR39" i="11" s="1"/>
  <c r="AO37" i="11"/>
  <c r="AO39" i="11" s="1"/>
  <c r="AS37" i="11"/>
  <c r="AS39" i="11" s="1"/>
  <c r="AV38" i="9"/>
  <c r="AX36" i="9"/>
  <c r="P38" i="12" l="1"/>
  <c r="E37" i="2"/>
  <c r="E36" i="2"/>
  <c r="E34" i="2"/>
  <c r="C37" i="8"/>
  <c r="H46" i="12" l="1"/>
  <c r="P29" i="12" l="1"/>
  <c r="P31" i="12"/>
  <c r="P30" i="12"/>
  <c r="S15" i="12" l="1"/>
  <c r="Q45" i="12"/>
  <c r="C45" i="12"/>
  <c r="D45" i="12"/>
  <c r="E45" i="12"/>
  <c r="F45" i="12"/>
  <c r="G45" i="12"/>
  <c r="H45" i="12"/>
  <c r="I45" i="12"/>
  <c r="J45" i="12"/>
  <c r="C46" i="12"/>
  <c r="D46" i="12"/>
  <c r="E46" i="12"/>
  <c r="F46" i="12"/>
  <c r="G46" i="12"/>
  <c r="I46" i="12"/>
  <c r="J46" i="12"/>
  <c r="B46" i="12"/>
  <c r="Q46" i="12" s="1"/>
  <c r="B45" i="12"/>
  <c r="Z40" i="2"/>
  <c r="AF40" i="2" s="1"/>
  <c r="Y39" i="2"/>
  <c r="X40" i="2"/>
  <c r="V39" i="2"/>
  <c r="AB39" i="2" s="1"/>
  <c r="U39" i="2"/>
  <c r="Q39" i="2"/>
  <c r="P39" i="2"/>
  <c r="P44" i="2"/>
  <c r="P45" i="2"/>
  <c r="C39" i="2"/>
  <c r="D39" i="2"/>
  <c r="E39" i="2"/>
  <c r="R39" i="2" s="1"/>
  <c r="F39" i="2"/>
  <c r="S39" i="2" s="1"/>
  <c r="G39" i="2"/>
  <c r="T39" i="2" s="1"/>
  <c r="H39" i="2"/>
  <c r="I39" i="2"/>
  <c r="J39" i="2"/>
  <c r="K39" i="2"/>
  <c r="W39" i="2" s="1"/>
  <c r="AC39" i="2" s="1"/>
  <c r="L39" i="2"/>
  <c r="X39" i="2" s="1"/>
  <c r="AD39" i="2" s="1"/>
  <c r="M39" i="2"/>
  <c r="N39" i="2"/>
  <c r="Z39" i="2" s="1"/>
  <c r="AF39" i="2" s="1"/>
  <c r="O39" i="2"/>
  <c r="AA39" i="2" s="1"/>
  <c r="AG39" i="2" s="1"/>
  <c r="C40" i="2"/>
  <c r="D40" i="2"/>
  <c r="Q40" i="2" s="1"/>
  <c r="F40" i="2"/>
  <c r="S40" i="2" s="1"/>
  <c r="G40" i="2"/>
  <c r="T40" i="2" s="1"/>
  <c r="H40" i="2"/>
  <c r="U40" i="2" s="1"/>
  <c r="I40" i="2"/>
  <c r="V40" i="2" s="1"/>
  <c r="J40" i="2"/>
  <c r="K40" i="2"/>
  <c r="W40" i="2" s="1"/>
  <c r="AC40" i="2" s="1"/>
  <c r="L40" i="2"/>
  <c r="M40" i="2"/>
  <c r="Y40" i="2" s="1"/>
  <c r="N40" i="2"/>
  <c r="O40" i="2"/>
  <c r="AA40" i="2" s="1"/>
  <c r="B40" i="2"/>
  <c r="P40" i="2" s="1"/>
  <c r="B39" i="2"/>
  <c r="R46" i="12" l="1"/>
  <c r="O45" i="12"/>
  <c r="N46" i="12"/>
  <c r="N45" i="12"/>
  <c r="O46" i="12"/>
  <c r="R45" i="12"/>
  <c r="S46" i="12"/>
  <c r="P45" i="12"/>
  <c r="P46" i="12"/>
  <c r="AG40" i="2"/>
  <c r="AE40" i="2"/>
  <c r="AB40" i="2"/>
  <c r="AE39" i="2"/>
  <c r="S45" i="12"/>
  <c r="K37" i="8"/>
  <c r="I37" i="8"/>
  <c r="J37" i="8"/>
  <c r="H37" i="8"/>
  <c r="F37" i="8"/>
  <c r="E37" i="8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M37" i="8" l="1"/>
  <c r="O37" i="8"/>
  <c r="P37" i="8"/>
  <c r="D37" i="8"/>
  <c r="N37" i="8" s="1"/>
  <c r="N127" i="12" l="1"/>
  <c r="O127" i="12"/>
  <c r="P127" i="12"/>
  <c r="Q127" i="12"/>
  <c r="S127" i="12"/>
  <c r="N128" i="12"/>
  <c r="O128" i="12"/>
  <c r="P128" i="12"/>
  <c r="Q128" i="12"/>
  <c r="R128" i="12"/>
  <c r="N129" i="12"/>
  <c r="O129" i="12"/>
  <c r="P129" i="12"/>
  <c r="Q129" i="12"/>
  <c r="R129" i="12"/>
  <c r="S129" i="12"/>
  <c r="N130" i="12"/>
  <c r="O130" i="12"/>
  <c r="P130" i="12"/>
  <c r="Q130" i="12"/>
  <c r="R130" i="12"/>
  <c r="N131" i="12"/>
  <c r="O131" i="12"/>
  <c r="P131" i="12"/>
  <c r="Q131" i="12"/>
  <c r="R131" i="12"/>
  <c r="S131" i="12"/>
  <c r="S126" i="12"/>
  <c r="R126" i="12"/>
  <c r="Q126" i="12"/>
  <c r="P126" i="12"/>
  <c r="O126" i="12"/>
  <c r="N126" i="12"/>
  <c r="K125" i="12"/>
  <c r="L125" i="12"/>
  <c r="M125" i="12"/>
  <c r="N115" i="12"/>
  <c r="O115" i="12"/>
  <c r="P115" i="12"/>
  <c r="Q115" i="12"/>
  <c r="S115" i="12"/>
  <c r="C114" i="12"/>
  <c r="D114" i="12"/>
  <c r="E114" i="12"/>
  <c r="F114" i="12"/>
  <c r="G114" i="12"/>
  <c r="H114" i="12"/>
  <c r="I114" i="12"/>
  <c r="J114" i="12"/>
  <c r="B114" i="12"/>
  <c r="N101" i="12"/>
  <c r="O101" i="12"/>
  <c r="P101" i="12"/>
  <c r="Q101" i="12"/>
  <c r="S101" i="12"/>
  <c r="N114" i="12" l="1"/>
  <c r="P59" i="12" l="1"/>
  <c r="I109" i="12" l="1"/>
  <c r="C120" i="12"/>
  <c r="D120" i="12"/>
  <c r="E120" i="12"/>
  <c r="F120" i="12"/>
  <c r="G120" i="12"/>
  <c r="H120" i="12"/>
  <c r="N120" i="12" s="1"/>
  <c r="I120" i="12"/>
  <c r="J120" i="12"/>
  <c r="K120" i="12"/>
  <c r="L120" i="12"/>
  <c r="M120" i="12"/>
  <c r="B120" i="12"/>
  <c r="C118" i="12"/>
  <c r="D118" i="12"/>
  <c r="E118" i="12"/>
  <c r="F118" i="12"/>
  <c r="G118" i="12"/>
  <c r="H118" i="12"/>
  <c r="I118" i="12"/>
  <c r="J118" i="12"/>
  <c r="K118" i="12"/>
  <c r="L118" i="12"/>
  <c r="M118" i="12"/>
  <c r="B118" i="12"/>
  <c r="C109" i="12"/>
  <c r="D109" i="12"/>
  <c r="E109" i="12"/>
  <c r="F109" i="12"/>
  <c r="G109" i="12"/>
  <c r="H109" i="12"/>
  <c r="J109" i="12"/>
  <c r="B109" i="12"/>
  <c r="C103" i="12"/>
  <c r="D103" i="12"/>
  <c r="E103" i="12"/>
  <c r="F103" i="12"/>
  <c r="G103" i="12"/>
  <c r="H103" i="12"/>
  <c r="I103" i="12"/>
  <c r="J103" i="12"/>
  <c r="B103" i="12"/>
  <c r="C95" i="12"/>
  <c r="D95" i="12"/>
  <c r="E95" i="12"/>
  <c r="F95" i="12"/>
  <c r="G95" i="12"/>
  <c r="H95" i="12"/>
  <c r="I95" i="12"/>
  <c r="J95" i="12"/>
  <c r="B95" i="12"/>
  <c r="C92" i="12"/>
  <c r="D92" i="12"/>
  <c r="E92" i="12"/>
  <c r="F92" i="12"/>
  <c r="G92" i="12"/>
  <c r="H92" i="12"/>
  <c r="I92" i="12"/>
  <c r="J92" i="12"/>
  <c r="B92" i="12"/>
  <c r="C84" i="12" l="1"/>
  <c r="D84" i="12"/>
  <c r="E84" i="12"/>
  <c r="F84" i="12"/>
  <c r="G84" i="12"/>
  <c r="H84" i="12"/>
  <c r="I84" i="12"/>
  <c r="J84" i="12"/>
  <c r="B84" i="12"/>
  <c r="C80" i="12"/>
  <c r="D80" i="12"/>
  <c r="E80" i="12"/>
  <c r="F80" i="12"/>
  <c r="G80" i="12"/>
  <c r="H80" i="12"/>
  <c r="I80" i="12"/>
  <c r="J80" i="12"/>
  <c r="B80" i="12"/>
  <c r="C75" i="12"/>
  <c r="D75" i="12"/>
  <c r="E75" i="12"/>
  <c r="F75" i="12"/>
  <c r="G75" i="12"/>
  <c r="H75" i="12"/>
  <c r="I75" i="12"/>
  <c r="J75" i="12"/>
  <c r="B75" i="12"/>
  <c r="J65" i="12" l="1"/>
  <c r="I65" i="12"/>
  <c r="C65" i="12"/>
  <c r="D65" i="12"/>
  <c r="E65" i="12"/>
  <c r="F65" i="12"/>
  <c r="G65" i="12"/>
  <c r="H65" i="12"/>
  <c r="B65" i="12"/>
  <c r="I60" i="12"/>
  <c r="C60" i="12"/>
  <c r="D60" i="12"/>
  <c r="E60" i="12"/>
  <c r="F60" i="12"/>
  <c r="G60" i="12"/>
  <c r="H60" i="12"/>
  <c r="J60" i="12"/>
  <c r="K60" i="12"/>
  <c r="L60" i="12"/>
  <c r="M60" i="12"/>
  <c r="B60" i="12"/>
  <c r="B58" i="12"/>
  <c r="C58" i="12"/>
  <c r="D58" i="12"/>
  <c r="E58" i="12"/>
  <c r="F58" i="12"/>
  <c r="G58" i="12"/>
  <c r="I58" i="12"/>
  <c r="J58" i="12"/>
  <c r="H58" i="12"/>
  <c r="H48" i="12"/>
  <c r="H124" i="12" l="1"/>
  <c r="H125" i="12" s="1"/>
  <c r="I48" i="12"/>
  <c r="I124" i="12" s="1"/>
  <c r="I125" i="12" s="1"/>
  <c r="C48" i="12"/>
  <c r="C124" i="12" s="1"/>
  <c r="C125" i="12" s="1"/>
  <c r="D48" i="12"/>
  <c r="D124" i="12" s="1"/>
  <c r="D125" i="12" s="1"/>
  <c r="E48" i="12"/>
  <c r="E124" i="12" s="1"/>
  <c r="E125" i="12" s="1"/>
  <c r="F48" i="12"/>
  <c r="F124" i="12" s="1"/>
  <c r="F125" i="12" s="1"/>
  <c r="G48" i="12"/>
  <c r="G124" i="12" s="1"/>
  <c r="G125" i="12" s="1"/>
  <c r="J48" i="12"/>
  <c r="J124" i="12" s="1"/>
  <c r="J125" i="12" s="1"/>
  <c r="B48" i="12"/>
  <c r="B124" i="12" s="1"/>
  <c r="B125" i="12" s="1"/>
  <c r="P125" i="12" l="1"/>
  <c r="S125" i="12"/>
  <c r="O125" i="12"/>
  <c r="R125" i="12"/>
  <c r="Q125" i="12"/>
  <c r="N125" i="12"/>
  <c r="N49" i="12"/>
  <c r="O49" i="12"/>
  <c r="P49" i="12"/>
  <c r="Q49" i="12"/>
  <c r="R49" i="12"/>
  <c r="S49" i="12"/>
  <c r="N50" i="12"/>
  <c r="O50" i="12"/>
  <c r="P50" i="12"/>
  <c r="Q50" i="12"/>
  <c r="R50" i="12"/>
  <c r="S50" i="12"/>
  <c r="N51" i="12"/>
  <c r="O51" i="12"/>
  <c r="P51" i="12"/>
  <c r="Q51" i="12"/>
  <c r="R51" i="12"/>
  <c r="S51" i="12"/>
  <c r="N52" i="12"/>
  <c r="O52" i="12"/>
  <c r="P52" i="12"/>
  <c r="Q52" i="12"/>
  <c r="R52" i="12"/>
  <c r="S52" i="12"/>
  <c r="N53" i="12"/>
  <c r="O53" i="12"/>
  <c r="P53" i="12"/>
  <c r="Q53" i="12"/>
  <c r="R53" i="12"/>
  <c r="S53" i="12"/>
  <c r="N54" i="12"/>
  <c r="O54" i="12"/>
  <c r="P54" i="12"/>
  <c r="Q54" i="12"/>
  <c r="R54" i="12"/>
  <c r="S54" i="12"/>
  <c r="N55" i="12"/>
  <c r="O55" i="12"/>
  <c r="P55" i="12"/>
  <c r="Q55" i="12"/>
  <c r="S55" i="12"/>
  <c r="N56" i="12"/>
  <c r="O56" i="12"/>
  <c r="P56" i="12"/>
  <c r="N57" i="12"/>
  <c r="O57" i="12"/>
  <c r="P57" i="12"/>
  <c r="Q57" i="12"/>
  <c r="R57" i="12"/>
  <c r="S57" i="12"/>
  <c r="N58" i="12"/>
  <c r="O58" i="12"/>
  <c r="P58" i="12"/>
  <c r="Q58" i="12"/>
  <c r="R58" i="12"/>
  <c r="S58" i="12"/>
  <c r="N59" i="12"/>
  <c r="O59" i="12"/>
  <c r="Q59" i="12"/>
  <c r="R59" i="12"/>
  <c r="S59" i="12"/>
  <c r="N60" i="12"/>
  <c r="O60" i="12"/>
  <c r="P60" i="12"/>
  <c r="Q60" i="12"/>
  <c r="R60" i="12"/>
  <c r="S60" i="12"/>
  <c r="N61" i="12"/>
  <c r="O61" i="12"/>
  <c r="P61" i="12"/>
  <c r="Q61" i="12"/>
  <c r="S61" i="12"/>
  <c r="N62" i="12"/>
  <c r="O62" i="12"/>
  <c r="P62" i="12"/>
  <c r="Q62" i="12"/>
  <c r="R62" i="12"/>
  <c r="S62" i="12"/>
  <c r="N63" i="12"/>
  <c r="O63" i="12"/>
  <c r="P63" i="12"/>
  <c r="Q63" i="12"/>
  <c r="R63" i="12"/>
  <c r="S63" i="12"/>
  <c r="N64" i="12"/>
  <c r="O64" i="12"/>
  <c r="P64" i="12"/>
  <c r="Q64" i="12"/>
  <c r="S64" i="12"/>
  <c r="N65" i="12"/>
  <c r="O65" i="12"/>
  <c r="P65" i="12"/>
  <c r="Q65" i="12"/>
  <c r="R65" i="12"/>
  <c r="S65" i="12"/>
  <c r="N66" i="12"/>
  <c r="O66" i="12"/>
  <c r="P66" i="12"/>
  <c r="Q66" i="12"/>
  <c r="R66" i="12"/>
  <c r="S66" i="12"/>
  <c r="N67" i="12"/>
  <c r="O67" i="12"/>
  <c r="P67" i="12"/>
  <c r="Q67" i="12"/>
  <c r="R67" i="12"/>
  <c r="S67" i="12"/>
  <c r="N68" i="12"/>
  <c r="O68" i="12"/>
  <c r="P68" i="12"/>
  <c r="Q68" i="12"/>
  <c r="R68" i="12"/>
  <c r="S68" i="12"/>
  <c r="N69" i="12"/>
  <c r="O69" i="12"/>
  <c r="P69" i="12"/>
  <c r="Q69" i="12"/>
  <c r="R69" i="12"/>
  <c r="S69" i="12"/>
  <c r="N70" i="12"/>
  <c r="O70" i="12"/>
  <c r="P70" i="12"/>
  <c r="Q70" i="12"/>
  <c r="R70" i="12"/>
  <c r="S70" i="12"/>
  <c r="N71" i="12"/>
  <c r="O71" i="12"/>
  <c r="P71" i="12"/>
  <c r="Q71" i="12"/>
  <c r="R71" i="12"/>
  <c r="S71" i="12"/>
  <c r="N72" i="12"/>
  <c r="O72" i="12"/>
  <c r="P72" i="12"/>
  <c r="Q72" i="12"/>
  <c r="R72" i="12"/>
  <c r="S72" i="12"/>
  <c r="N73" i="12"/>
  <c r="O73" i="12"/>
  <c r="P73" i="12"/>
  <c r="Q73" i="12"/>
  <c r="R73" i="12"/>
  <c r="S73" i="12"/>
  <c r="N74" i="12"/>
  <c r="O74" i="12"/>
  <c r="P74" i="12"/>
  <c r="Q74" i="12"/>
  <c r="R74" i="12"/>
  <c r="S74" i="12"/>
  <c r="N75" i="12"/>
  <c r="O75" i="12"/>
  <c r="P75" i="12"/>
  <c r="Q75" i="12"/>
  <c r="R75" i="12"/>
  <c r="S75" i="12"/>
  <c r="N76" i="12"/>
  <c r="O76" i="12"/>
  <c r="P76" i="12"/>
  <c r="Q76" i="12"/>
  <c r="R76" i="12"/>
  <c r="S76" i="12"/>
  <c r="N77" i="12"/>
  <c r="O77" i="12"/>
  <c r="P77" i="12"/>
  <c r="Q77" i="12"/>
  <c r="R77" i="12"/>
  <c r="S77" i="12"/>
  <c r="N78" i="12"/>
  <c r="O78" i="12"/>
  <c r="P78" i="12"/>
  <c r="Q78" i="12"/>
  <c r="R78" i="12"/>
  <c r="S78" i="12"/>
  <c r="N79" i="12"/>
  <c r="O79" i="12"/>
  <c r="P79" i="12"/>
  <c r="Q79" i="12"/>
  <c r="R79" i="12"/>
  <c r="S79" i="12"/>
  <c r="N80" i="12"/>
  <c r="O80" i="12"/>
  <c r="P80" i="12"/>
  <c r="Q80" i="12"/>
  <c r="R80" i="12"/>
  <c r="S80" i="12"/>
  <c r="N81" i="12"/>
  <c r="O81" i="12"/>
  <c r="P81" i="12"/>
  <c r="N82" i="12"/>
  <c r="O82" i="12"/>
  <c r="P82" i="12"/>
  <c r="Q82" i="12"/>
  <c r="R82" i="12"/>
  <c r="S82" i="12"/>
  <c r="N83" i="12"/>
  <c r="O83" i="12"/>
  <c r="P83" i="12"/>
  <c r="Q83" i="12"/>
  <c r="S83" i="12"/>
  <c r="N84" i="12"/>
  <c r="O84" i="12"/>
  <c r="P84" i="12"/>
  <c r="Q84" i="12"/>
  <c r="R84" i="12"/>
  <c r="S84" i="12"/>
  <c r="N85" i="12"/>
  <c r="O85" i="12"/>
  <c r="P85" i="12"/>
  <c r="Q85" i="12"/>
  <c r="R85" i="12"/>
  <c r="S85" i="12"/>
  <c r="N86" i="12"/>
  <c r="O86" i="12"/>
  <c r="P86" i="12"/>
  <c r="Q86" i="12"/>
  <c r="R86" i="12"/>
  <c r="S86" i="12"/>
  <c r="N87" i="12"/>
  <c r="O87" i="12"/>
  <c r="P87" i="12"/>
  <c r="Q87" i="12"/>
  <c r="R87" i="12"/>
  <c r="N88" i="12"/>
  <c r="O88" i="12"/>
  <c r="P88" i="12"/>
  <c r="Q88" i="12"/>
  <c r="R88" i="12"/>
  <c r="S88" i="12"/>
  <c r="N89" i="12"/>
  <c r="O89" i="12"/>
  <c r="P89" i="12"/>
  <c r="Q89" i="12"/>
  <c r="R89" i="12"/>
  <c r="S89" i="12"/>
  <c r="N90" i="12"/>
  <c r="O90" i="12"/>
  <c r="P90" i="12"/>
  <c r="Q90" i="12"/>
  <c r="R90" i="12"/>
  <c r="N91" i="12"/>
  <c r="O91" i="12"/>
  <c r="P91" i="12"/>
  <c r="Q91" i="12"/>
  <c r="R91" i="12"/>
  <c r="S91" i="12"/>
  <c r="N92" i="12"/>
  <c r="O92" i="12"/>
  <c r="P92" i="12"/>
  <c r="Q92" i="12"/>
  <c r="R92" i="12"/>
  <c r="S92" i="12"/>
  <c r="N93" i="12"/>
  <c r="O93" i="12"/>
  <c r="P93" i="12"/>
  <c r="Q93" i="12"/>
  <c r="R93" i="12"/>
  <c r="S93" i="12"/>
  <c r="N94" i="12"/>
  <c r="O94" i="12"/>
  <c r="P94" i="12"/>
  <c r="Q94" i="12"/>
  <c r="R94" i="12"/>
  <c r="S94" i="12"/>
  <c r="N95" i="12"/>
  <c r="O95" i="12"/>
  <c r="P95" i="12"/>
  <c r="Q95" i="12"/>
  <c r="R95" i="12"/>
  <c r="S95" i="12"/>
  <c r="N96" i="12"/>
  <c r="O96" i="12"/>
  <c r="P96" i="12"/>
  <c r="Q96" i="12"/>
  <c r="R96" i="12"/>
  <c r="N97" i="12"/>
  <c r="O97" i="12"/>
  <c r="P97" i="12"/>
  <c r="N98" i="12"/>
  <c r="O98" i="12"/>
  <c r="P98" i="12"/>
  <c r="N99" i="12"/>
  <c r="O99" i="12"/>
  <c r="P99" i="12"/>
  <c r="Q99" i="12"/>
  <c r="R99" i="12"/>
  <c r="N100" i="12"/>
  <c r="O100" i="12"/>
  <c r="P100" i="12"/>
  <c r="Q100" i="12"/>
  <c r="R100" i="12"/>
  <c r="N102" i="12"/>
  <c r="O102" i="12"/>
  <c r="P102" i="12"/>
  <c r="Q102" i="12"/>
  <c r="R102" i="12"/>
  <c r="S102" i="12"/>
  <c r="N103" i="12"/>
  <c r="O103" i="12"/>
  <c r="P103" i="12"/>
  <c r="Q103" i="12"/>
  <c r="R103" i="12"/>
  <c r="S103" i="12"/>
  <c r="N104" i="12"/>
  <c r="O104" i="12"/>
  <c r="P104" i="12"/>
  <c r="Q104" i="12"/>
  <c r="R104" i="12"/>
  <c r="S104" i="12"/>
  <c r="N105" i="12"/>
  <c r="O105" i="12"/>
  <c r="P105" i="12"/>
  <c r="Q105" i="12"/>
  <c r="R105" i="12"/>
  <c r="S105" i="12"/>
  <c r="N106" i="12"/>
  <c r="O106" i="12"/>
  <c r="P106" i="12"/>
  <c r="Q106" i="12"/>
  <c r="R106" i="12"/>
  <c r="S106" i="12"/>
  <c r="N107" i="12"/>
  <c r="O107" i="12"/>
  <c r="P107" i="12"/>
  <c r="Q107" i="12"/>
  <c r="R107" i="12"/>
  <c r="S107" i="12"/>
  <c r="N108" i="12"/>
  <c r="O108" i="12"/>
  <c r="P108" i="12"/>
  <c r="Q108" i="12"/>
  <c r="R108" i="12"/>
  <c r="S108" i="12"/>
  <c r="N109" i="12"/>
  <c r="O109" i="12"/>
  <c r="P109" i="12"/>
  <c r="Q109" i="12"/>
  <c r="R109" i="12"/>
  <c r="S109" i="12"/>
  <c r="N110" i="12"/>
  <c r="O110" i="12"/>
  <c r="P110" i="12"/>
  <c r="Q110" i="12"/>
  <c r="S110" i="12"/>
  <c r="N111" i="12"/>
  <c r="O111" i="12"/>
  <c r="P111" i="12"/>
  <c r="Q111" i="12"/>
  <c r="R111" i="12"/>
  <c r="S111" i="12"/>
  <c r="N112" i="12"/>
  <c r="O112" i="12"/>
  <c r="P112" i="12"/>
  <c r="Q112" i="12"/>
  <c r="R112" i="12"/>
  <c r="S112" i="12"/>
  <c r="N113" i="12"/>
  <c r="O113" i="12"/>
  <c r="P113" i="12"/>
  <c r="Q113" i="12"/>
  <c r="S113" i="12"/>
  <c r="O114" i="12"/>
  <c r="P114" i="12"/>
  <c r="Q114" i="12"/>
  <c r="R114" i="12"/>
  <c r="S114" i="12"/>
  <c r="N116" i="12"/>
  <c r="O116" i="12"/>
  <c r="P116" i="12"/>
  <c r="Q116" i="12"/>
  <c r="R116" i="12"/>
  <c r="S116" i="12"/>
  <c r="N117" i="12"/>
  <c r="O117" i="12"/>
  <c r="P117" i="12"/>
  <c r="Q117" i="12"/>
  <c r="R117" i="12"/>
  <c r="N118" i="12"/>
  <c r="O118" i="12"/>
  <c r="P118" i="12"/>
  <c r="Q118" i="12"/>
  <c r="R118" i="12"/>
  <c r="S118" i="12"/>
  <c r="N119" i="12"/>
  <c r="O119" i="12"/>
  <c r="P119" i="12"/>
  <c r="Q119" i="12"/>
  <c r="R119" i="12"/>
  <c r="S119" i="12"/>
  <c r="O120" i="12"/>
  <c r="P120" i="12"/>
  <c r="R120" i="12"/>
  <c r="N121" i="12"/>
  <c r="O121" i="12"/>
  <c r="P121" i="12"/>
  <c r="R121" i="12"/>
  <c r="N122" i="12"/>
  <c r="O122" i="12"/>
  <c r="P122" i="12"/>
  <c r="R122" i="12"/>
  <c r="N123" i="12"/>
  <c r="O123" i="12"/>
  <c r="P123" i="12"/>
  <c r="R123" i="12"/>
  <c r="N124" i="12"/>
  <c r="O124" i="12"/>
  <c r="P124" i="12"/>
  <c r="Q124" i="12"/>
  <c r="R124" i="12"/>
  <c r="S124" i="12"/>
  <c r="S48" i="12"/>
  <c r="R48" i="12"/>
  <c r="Q48" i="12"/>
  <c r="P48" i="12"/>
  <c r="O48" i="12"/>
  <c r="N48" i="12"/>
  <c r="D16" i="12" l="1"/>
  <c r="N36" i="12"/>
  <c r="B16" i="12" l="1"/>
  <c r="N16" i="12" s="1"/>
  <c r="AE63" i="2" l="1"/>
  <c r="AE65" i="2"/>
  <c r="P102" i="2"/>
  <c r="Q102" i="2"/>
  <c r="S102" i="2"/>
  <c r="T102" i="2"/>
  <c r="U102" i="2"/>
  <c r="V102" i="2"/>
  <c r="W102" i="2"/>
  <c r="Y102" i="2"/>
  <c r="Z102" i="2"/>
  <c r="AF102" i="2" s="1"/>
  <c r="AA102" i="2"/>
  <c r="P103" i="2"/>
  <c r="Q103" i="2"/>
  <c r="S103" i="2"/>
  <c r="T103" i="2"/>
  <c r="U103" i="2"/>
  <c r="V103" i="2"/>
  <c r="AB103" i="2" s="1"/>
  <c r="W103" i="2"/>
  <c r="Y103" i="2"/>
  <c r="Z103" i="2"/>
  <c r="AA103" i="2"/>
  <c r="AG103" i="2" s="1"/>
  <c r="AC103" i="2"/>
  <c r="AE103" i="2"/>
  <c r="P104" i="2"/>
  <c r="Q104" i="2"/>
  <c r="S104" i="2"/>
  <c r="T104" i="2"/>
  <c r="U104" i="2"/>
  <c r="V104" i="2"/>
  <c r="AB104" i="2" s="1"/>
  <c r="W104" i="2"/>
  <c r="AC104" i="2" s="1"/>
  <c r="Y104" i="2"/>
  <c r="Z104" i="2"/>
  <c r="AF104" i="2" s="1"/>
  <c r="AA104" i="2"/>
  <c r="AG104" i="2" s="1"/>
  <c r="AE104" i="2"/>
  <c r="P105" i="2"/>
  <c r="Q105" i="2"/>
  <c r="S105" i="2"/>
  <c r="T105" i="2"/>
  <c r="U105" i="2"/>
  <c r="V105" i="2"/>
  <c r="W105" i="2"/>
  <c r="AC105" i="2" s="1"/>
  <c r="Y105" i="2"/>
  <c r="Z105" i="2"/>
  <c r="AA105" i="2"/>
  <c r="AG105" i="2" s="1"/>
  <c r="AB105" i="2"/>
  <c r="AF105" i="2"/>
  <c r="P106" i="2"/>
  <c r="Q106" i="2"/>
  <c r="S106" i="2"/>
  <c r="AE106" i="2" s="1"/>
  <c r="T106" i="2"/>
  <c r="U106" i="2"/>
  <c r="V106" i="2"/>
  <c r="W106" i="2"/>
  <c r="AC106" i="2" s="1"/>
  <c r="Y106" i="2"/>
  <c r="Z106" i="2"/>
  <c r="AA106" i="2"/>
  <c r="AG106" i="2" s="1"/>
  <c r="AB106" i="2"/>
  <c r="AA101" i="2"/>
  <c r="Z101" i="2"/>
  <c r="Y101" i="2"/>
  <c r="W101" i="2"/>
  <c r="V101" i="2"/>
  <c r="U101" i="2"/>
  <c r="T101" i="2"/>
  <c r="S101" i="2"/>
  <c r="Q101" i="2"/>
  <c r="P101" i="2"/>
  <c r="AE105" i="2" l="1"/>
  <c r="AG101" i="2"/>
  <c r="AF103" i="2"/>
  <c r="AC102" i="2"/>
  <c r="AE101" i="2"/>
  <c r="AF106" i="2"/>
  <c r="AB102" i="2"/>
  <c r="AB101" i="2"/>
  <c r="AF101" i="2"/>
  <c r="AC101" i="2"/>
  <c r="I151" i="2"/>
  <c r="B151" i="2"/>
  <c r="D150" i="2"/>
  <c r="E149" i="2" l="1"/>
  <c r="B149" i="2" s="1"/>
  <c r="O148" i="2" l="1"/>
  <c r="N148" i="2"/>
  <c r="M148" i="2"/>
  <c r="L147" i="2"/>
  <c r="I147" i="2" s="1"/>
  <c r="L146" i="2"/>
  <c r="I146" i="2" s="1"/>
  <c r="L145" i="2"/>
  <c r="I145" i="2" s="1"/>
  <c r="L148" i="2" l="1"/>
  <c r="I148" i="2" s="1"/>
  <c r="C136" i="2"/>
  <c r="D136" i="2"/>
  <c r="F136" i="2"/>
  <c r="G136" i="2"/>
  <c r="H136" i="2"/>
  <c r="I136" i="2"/>
  <c r="J136" i="2"/>
  <c r="K136" i="2"/>
  <c r="M136" i="2"/>
  <c r="N136" i="2"/>
  <c r="O136" i="2"/>
  <c r="B136" i="2"/>
  <c r="P136" i="2" s="1"/>
  <c r="L10" i="2" l="1"/>
  <c r="E10" i="2"/>
  <c r="L31" i="2"/>
  <c r="L29" i="2"/>
  <c r="L52" i="2"/>
  <c r="E52" i="2"/>
  <c r="F118" i="2" l="1"/>
  <c r="G118" i="2"/>
  <c r="H118" i="2"/>
  <c r="I118" i="2"/>
  <c r="E31" i="2"/>
  <c r="E29" i="2"/>
  <c r="D118" i="2" l="1"/>
  <c r="E45" i="2" l="1"/>
  <c r="B118" i="2"/>
  <c r="C118" i="2"/>
  <c r="S54" i="2" l="1"/>
  <c r="J118" i="2"/>
  <c r="K118" i="2"/>
  <c r="M118" i="2"/>
  <c r="N118" i="2"/>
  <c r="O118" i="2"/>
  <c r="V112" i="2"/>
  <c r="L106" i="2"/>
  <c r="X106" i="2" s="1"/>
  <c r="E106" i="2"/>
  <c r="L104" i="2"/>
  <c r="E104" i="2"/>
  <c r="L102" i="2"/>
  <c r="X102" i="2" s="1"/>
  <c r="E102" i="2"/>
  <c r="R102" i="2" s="1"/>
  <c r="L101" i="2"/>
  <c r="E101" i="2"/>
  <c r="R101" i="2" s="1"/>
  <c r="E95" i="2"/>
  <c r="E99" i="2"/>
  <c r="E98" i="2" s="1"/>
  <c r="AD102" i="2" l="1"/>
  <c r="L105" i="2"/>
  <c r="X105" i="2" s="1"/>
  <c r="E105" i="2"/>
  <c r="R105" i="2" s="1"/>
  <c r="R106" i="2"/>
  <c r="AD106" i="2" s="1"/>
  <c r="E103" i="2"/>
  <c r="R103" i="2" s="1"/>
  <c r="R104" i="2"/>
  <c r="L103" i="2"/>
  <c r="X103" i="2" s="1"/>
  <c r="AD103" i="2" s="1"/>
  <c r="X104" i="2"/>
  <c r="L100" i="2"/>
  <c r="X101" i="2"/>
  <c r="AD101" i="2" s="1"/>
  <c r="E100" i="2"/>
  <c r="B42" i="2"/>
  <c r="B43" i="2" l="1"/>
  <c r="P43" i="2" s="1"/>
  <c r="P42" i="2"/>
  <c r="AD105" i="2"/>
  <c r="AD104" i="2"/>
  <c r="B9" i="2"/>
  <c r="S44" i="12" l="1"/>
  <c r="R44" i="12"/>
  <c r="Q44" i="12"/>
  <c r="P44" i="12"/>
  <c r="O44" i="12"/>
  <c r="N44" i="12"/>
  <c r="S43" i="12"/>
  <c r="R43" i="12"/>
  <c r="Q43" i="12"/>
  <c r="P43" i="12"/>
  <c r="O43" i="12"/>
  <c r="N43" i="12"/>
  <c r="S42" i="12"/>
  <c r="R42" i="12"/>
  <c r="Q42" i="12"/>
  <c r="P42" i="12"/>
  <c r="O42" i="12"/>
  <c r="N42" i="12"/>
  <c r="S41" i="12"/>
  <c r="R41" i="12"/>
  <c r="Q41" i="12"/>
  <c r="P41" i="12"/>
  <c r="O41" i="12"/>
  <c r="N41" i="12"/>
  <c r="S40" i="12"/>
  <c r="Q40" i="12"/>
  <c r="P40" i="12"/>
  <c r="O40" i="12"/>
  <c r="N40" i="12"/>
  <c r="S39" i="12"/>
  <c r="R39" i="12"/>
  <c r="Q39" i="12"/>
  <c r="P39" i="12"/>
  <c r="O39" i="12"/>
  <c r="N39" i="12"/>
  <c r="S38" i="12"/>
  <c r="R38" i="12"/>
  <c r="Q38" i="12"/>
  <c r="O38" i="12"/>
  <c r="N38" i="12"/>
  <c r="S37" i="12"/>
  <c r="R37" i="12"/>
  <c r="Q37" i="12"/>
  <c r="P37" i="12"/>
  <c r="O37" i="12"/>
  <c r="N37" i="12"/>
  <c r="P36" i="12"/>
  <c r="O36" i="12"/>
  <c r="S35" i="12"/>
  <c r="R35" i="12"/>
  <c r="Q35" i="12"/>
  <c r="P35" i="12"/>
  <c r="O35" i="12"/>
  <c r="N35" i="12"/>
  <c r="S34" i="12"/>
  <c r="R34" i="12"/>
  <c r="Q34" i="12"/>
  <c r="P34" i="12"/>
  <c r="O34" i="12"/>
  <c r="N34" i="12"/>
  <c r="S33" i="12"/>
  <c r="R33" i="12"/>
  <c r="Q33" i="12"/>
  <c r="P33" i="12"/>
  <c r="O33" i="12"/>
  <c r="N33" i="12"/>
  <c r="S32" i="12"/>
  <c r="R32" i="12"/>
  <c r="Q32" i="12"/>
  <c r="P32" i="12"/>
  <c r="O32" i="12"/>
  <c r="N32" i="12"/>
  <c r="O31" i="12"/>
  <c r="G31" i="12"/>
  <c r="F31" i="12"/>
  <c r="E31" i="12"/>
  <c r="R31" i="12"/>
  <c r="N31" i="12"/>
  <c r="O30" i="12"/>
  <c r="G30" i="12"/>
  <c r="F30" i="12"/>
  <c r="E30" i="12"/>
  <c r="R30" i="12"/>
  <c r="N30" i="12"/>
  <c r="S29" i="12"/>
  <c r="R29" i="12"/>
  <c r="Q29" i="12"/>
  <c r="O29" i="12"/>
  <c r="N29" i="12"/>
  <c r="R28" i="12"/>
  <c r="P28" i="12"/>
  <c r="O28" i="12"/>
  <c r="N28" i="12"/>
  <c r="P27" i="12"/>
  <c r="O27" i="12"/>
  <c r="N27" i="12"/>
  <c r="F26" i="12"/>
  <c r="E26" i="12"/>
  <c r="O26" i="12"/>
  <c r="N26" i="12"/>
  <c r="S25" i="12"/>
  <c r="R25" i="12"/>
  <c r="Q25" i="12"/>
  <c r="P25" i="12"/>
  <c r="O25" i="12"/>
  <c r="N25" i="12"/>
  <c r="S24" i="12"/>
  <c r="R24" i="12"/>
  <c r="Q24" i="12"/>
  <c r="P24" i="12"/>
  <c r="O24" i="12"/>
  <c r="N24" i="12"/>
  <c r="S23" i="12"/>
  <c r="R23" i="12"/>
  <c r="Q23" i="12"/>
  <c r="P23" i="12"/>
  <c r="O23" i="12"/>
  <c r="N23" i="12"/>
  <c r="S22" i="12"/>
  <c r="R22" i="12"/>
  <c r="Q22" i="12"/>
  <c r="P22" i="12"/>
  <c r="O22" i="12"/>
  <c r="N22" i="12"/>
  <c r="R21" i="12"/>
  <c r="P21" i="12"/>
  <c r="O21" i="12"/>
  <c r="N21" i="12"/>
  <c r="R20" i="12"/>
  <c r="Q20" i="12"/>
  <c r="P20" i="12"/>
  <c r="O20" i="12"/>
  <c r="N20" i="12"/>
  <c r="O19" i="12"/>
  <c r="N19" i="12"/>
  <c r="G19" i="12"/>
  <c r="F19" i="12"/>
  <c r="E19" i="12"/>
  <c r="Q19" i="12"/>
  <c r="R18" i="12"/>
  <c r="Q18" i="12"/>
  <c r="O18" i="12"/>
  <c r="N18" i="12"/>
  <c r="P18" i="12"/>
  <c r="R17" i="12"/>
  <c r="Q17" i="12"/>
  <c r="O17" i="12"/>
  <c r="N17" i="12"/>
  <c r="P17" i="12"/>
  <c r="Q16" i="12"/>
  <c r="O16" i="12"/>
  <c r="P16" i="12"/>
  <c r="G16" i="12"/>
  <c r="E16" i="12"/>
  <c r="R15" i="12"/>
  <c r="Q15" i="12"/>
  <c r="P15" i="12"/>
  <c r="O15" i="12"/>
  <c r="N15" i="12"/>
  <c r="S14" i="12"/>
  <c r="R14" i="12"/>
  <c r="Q14" i="12"/>
  <c r="P14" i="12"/>
  <c r="O14" i="12"/>
  <c r="N14" i="12"/>
  <c r="S13" i="12"/>
  <c r="R13" i="12"/>
  <c r="Q13" i="12"/>
  <c r="P13" i="12"/>
  <c r="O13" i="12"/>
  <c r="N13" i="12"/>
  <c r="S12" i="12"/>
  <c r="R12" i="12"/>
  <c r="Q12" i="12"/>
  <c r="P12" i="12"/>
  <c r="O12" i="12"/>
  <c r="N12" i="12"/>
  <c r="R11" i="12"/>
  <c r="Q11" i="12"/>
  <c r="P11" i="12"/>
  <c r="O11" i="12"/>
  <c r="N11" i="12"/>
  <c r="S10" i="12"/>
  <c r="R10" i="12"/>
  <c r="Q10" i="12"/>
  <c r="P10" i="12"/>
  <c r="O10" i="12"/>
  <c r="N10" i="12"/>
  <c r="P26" i="12" l="1"/>
  <c r="S26" i="12"/>
  <c r="S31" i="12"/>
  <c r="P19" i="12"/>
  <c r="S19" i="12"/>
  <c r="S30" i="12"/>
  <c r="Q26" i="12"/>
  <c r="S16" i="12"/>
  <c r="R26" i="12"/>
  <c r="Q28" i="12"/>
  <c r="Q21" i="12"/>
  <c r="Q30" i="12"/>
  <c r="Q31" i="12"/>
  <c r="AA153" i="2" l="1"/>
  <c r="Z153" i="2"/>
  <c r="AF153" i="2" s="1"/>
  <c r="Y153" i="2"/>
  <c r="U153" i="2"/>
  <c r="T153" i="2"/>
  <c r="S153" i="2"/>
  <c r="L153" i="2"/>
  <c r="E153" i="2"/>
  <c r="Q153" i="2"/>
  <c r="AA152" i="2"/>
  <c r="Z152" i="2"/>
  <c r="Y152" i="2"/>
  <c r="W152" i="2"/>
  <c r="U152" i="2"/>
  <c r="T152" i="2"/>
  <c r="S152" i="2"/>
  <c r="L152" i="2"/>
  <c r="E152" i="2"/>
  <c r="Q152" i="2"/>
  <c r="AA151" i="2"/>
  <c r="N150" i="2"/>
  <c r="Z150" i="2" s="1"/>
  <c r="Y151" i="2"/>
  <c r="W151" i="2"/>
  <c r="U151" i="2"/>
  <c r="S151" i="2"/>
  <c r="M150" i="2"/>
  <c r="G150" i="2"/>
  <c r="T150" i="2" s="1"/>
  <c r="AA149" i="2"/>
  <c r="Y149" i="2"/>
  <c r="W149" i="2"/>
  <c r="U149" i="2"/>
  <c r="S149" i="2"/>
  <c r="Q149" i="2"/>
  <c r="Z149" i="2"/>
  <c r="T149" i="2"/>
  <c r="AA148" i="2"/>
  <c r="Z148" i="2"/>
  <c r="X148" i="2"/>
  <c r="H148" i="2"/>
  <c r="U148" i="2" s="1"/>
  <c r="G148" i="2"/>
  <c r="T148" i="2" s="1"/>
  <c r="F148" i="2"/>
  <c r="S148" i="2" s="1"/>
  <c r="AA147" i="2"/>
  <c r="Z147" i="2"/>
  <c r="Y147" i="2"/>
  <c r="U147" i="2"/>
  <c r="T147" i="2"/>
  <c r="S147" i="2"/>
  <c r="Q147" i="2"/>
  <c r="X147" i="2"/>
  <c r="W147" i="2"/>
  <c r="E147" i="2"/>
  <c r="B147" i="2" s="1"/>
  <c r="P147" i="2" s="1"/>
  <c r="AA146" i="2"/>
  <c r="Z146" i="2"/>
  <c r="Y146" i="2"/>
  <c r="W146" i="2"/>
  <c r="U146" i="2"/>
  <c r="T146" i="2"/>
  <c r="S146" i="2"/>
  <c r="AE146" i="2" s="1"/>
  <c r="Q146" i="2"/>
  <c r="X146" i="2"/>
  <c r="E146" i="2"/>
  <c r="B146" i="2" s="1"/>
  <c r="P146" i="2" s="1"/>
  <c r="AA145" i="2"/>
  <c r="Z145" i="2"/>
  <c r="Y145" i="2"/>
  <c r="W145" i="2"/>
  <c r="U145" i="2"/>
  <c r="AG145" i="2" s="1"/>
  <c r="T145" i="2"/>
  <c r="AF145" i="2" s="1"/>
  <c r="S145" i="2"/>
  <c r="Q145" i="2"/>
  <c r="E145" i="2"/>
  <c r="J135" i="2"/>
  <c r="C135" i="2"/>
  <c r="AA134" i="2"/>
  <c r="Z134" i="2"/>
  <c r="Y134" i="2"/>
  <c r="W134" i="2"/>
  <c r="V134" i="2"/>
  <c r="U134" i="2"/>
  <c r="T134" i="2"/>
  <c r="S134" i="2"/>
  <c r="Q134" i="2"/>
  <c r="P134" i="2"/>
  <c r="X134" i="2"/>
  <c r="R134" i="2"/>
  <c r="AA133" i="2"/>
  <c r="Z133" i="2"/>
  <c r="Y133" i="2"/>
  <c r="W133" i="2"/>
  <c r="V133" i="2"/>
  <c r="U133" i="2"/>
  <c r="T133" i="2"/>
  <c r="S133" i="2"/>
  <c r="Q133" i="2"/>
  <c r="P133" i="2"/>
  <c r="L133" i="2"/>
  <c r="X133" i="2" s="1"/>
  <c r="E133" i="2"/>
  <c r="R133" i="2" s="1"/>
  <c r="AA132" i="2"/>
  <c r="Z132" i="2"/>
  <c r="Y132" i="2"/>
  <c r="W132" i="2"/>
  <c r="V132" i="2"/>
  <c r="U132" i="2"/>
  <c r="T132" i="2"/>
  <c r="S132" i="2"/>
  <c r="Q132" i="2"/>
  <c r="P132" i="2"/>
  <c r="X132" i="2"/>
  <c r="R132" i="2"/>
  <c r="AA131" i="2"/>
  <c r="Z131" i="2"/>
  <c r="Y131" i="2"/>
  <c r="W131" i="2"/>
  <c r="V131" i="2"/>
  <c r="U131" i="2"/>
  <c r="T131" i="2"/>
  <c r="S131" i="2"/>
  <c r="Q131" i="2"/>
  <c r="P131" i="2"/>
  <c r="X131" i="2"/>
  <c r="R131" i="2"/>
  <c r="AA130" i="2"/>
  <c r="Z130" i="2"/>
  <c r="Y130" i="2"/>
  <c r="W130" i="2"/>
  <c r="V130" i="2"/>
  <c r="U130" i="2"/>
  <c r="T130" i="2"/>
  <c r="S130" i="2"/>
  <c r="Q130" i="2"/>
  <c r="P130" i="2"/>
  <c r="X130" i="2"/>
  <c r="R130" i="2"/>
  <c r="AA129" i="2"/>
  <c r="Z129" i="2"/>
  <c r="Y129" i="2"/>
  <c r="W129" i="2"/>
  <c r="V129" i="2"/>
  <c r="U129" i="2"/>
  <c r="T129" i="2"/>
  <c r="S129" i="2"/>
  <c r="Q129" i="2"/>
  <c r="P129" i="2"/>
  <c r="X129" i="2"/>
  <c r="R129" i="2"/>
  <c r="AA128" i="2"/>
  <c r="Z128" i="2"/>
  <c r="Y128" i="2"/>
  <c r="W128" i="2"/>
  <c r="V128" i="2"/>
  <c r="U128" i="2"/>
  <c r="T128" i="2"/>
  <c r="S128" i="2"/>
  <c r="Q128" i="2"/>
  <c r="P128" i="2"/>
  <c r="X128" i="2"/>
  <c r="R128" i="2"/>
  <c r="AA127" i="2"/>
  <c r="Z127" i="2"/>
  <c r="Y127" i="2"/>
  <c r="W127" i="2"/>
  <c r="V127" i="2"/>
  <c r="U127" i="2"/>
  <c r="T127" i="2"/>
  <c r="S127" i="2"/>
  <c r="Q127" i="2"/>
  <c r="P127" i="2"/>
  <c r="X127" i="2"/>
  <c r="R127" i="2"/>
  <c r="AA120" i="2"/>
  <c r="Z120" i="2"/>
  <c r="Y120" i="2"/>
  <c r="W120" i="2"/>
  <c r="V120" i="2"/>
  <c r="U120" i="2"/>
  <c r="T120" i="2"/>
  <c r="S120" i="2"/>
  <c r="Q120" i="2"/>
  <c r="P120" i="2"/>
  <c r="L120" i="2"/>
  <c r="E120" i="2"/>
  <c r="AA117" i="2"/>
  <c r="Z117" i="2"/>
  <c r="Y117" i="2"/>
  <c r="W117" i="2"/>
  <c r="V117" i="2"/>
  <c r="U117" i="2"/>
  <c r="T117" i="2"/>
  <c r="S117" i="2"/>
  <c r="Q117" i="2"/>
  <c r="P117" i="2"/>
  <c r="X117" i="2"/>
  <c r="O115" i="2"/>
  <c r="N115" i="2"/>
  <c r="N116" i="2" s="1"/>
  <c r="Z116" i="2" s="1"/>
  <c r="M115" i="2"/>
  <c r="Y115" i="2" s="1"/>
  <c r="K115" i="2"/>
  <c r="K116" i="2" s="1"/>
  <c r="W116" i="2" s="1"/>
  <c r="J115" i="2"/>
  <c r="J116" i="2" s="1"/>
  <c r="I115" i="2"/>
  <c r="H115" i="2"/>
  <c r="U115" i="2" s="1"/>
  <c r="G115" i="2"/>
  <c r="T115" i="2" s="1"/>
  <c r="F115" i="2"/>
  <c r="F116" i="2" s="1"/>
  <c r="D115" i="2"/>
  <c r="C115" i="2"/>
  <c r="C116" i="2" s="1"/>
  <c r="B115" i="2"/>
  <c r="B116" i="2" s="1"/>
  <c r="P116" i="2" s="1"/>
  <c r="AA114" i="2"/>
  <c r="Z114" i="2"/>
  <c r="Y114" i="2"/>
  <c r="W114" i="2"/>
  <c r="V114" i="2"/>
  <c r="U114" i="2"/>
  <c r="T114" i="2"/>
  <c r="S114" i="2"/>
  <c r="Q114" i="2"/>
  <c r="P114" i="2"/>
  <c r="AA113" i="2"/>
  <c r="Z113" i="2"/>
  <c r="Y113" i="2"/>
  <c r="W113" i="2"/>
  <c r="V113" i="2"/>
  <c r="U113" i="2"/>
  <c r="T113" i="2"/>
  <c r="S113" i="2"/>
  <c r="Q113" i="2"/>
  <c r="P113" i="2"/>
  <c r="AA112" i="2"/>
  <c r="Z112" i="2"/>
  <c r="Y112" i="2"/>
  <c r="W112" i="2"/>
  <c r="U112" i="2"/>
  <c r="T112" i="2"/>
  <c r="S112" i="2"/>
  <c r="Q112" i="2"/>
  <c r="P112" i="2"/>
  <c r="AA111" i="2"/>
  <c r="Z111" i="2"/>
  <c r="Y111" i="2"/>
  <c r="W111" i="2"/>
  <c r="V111" i="2"/>
  <c r="U111" i="2"/>
  <c r="T111" i="2"/>
  <c r="S111" i="2"/>
  <c r="Q111" i="2"/>
  <c r="P111" i="2"/>
  <c r="AA110" i="2"/>
  <c r="Z110" i="2"/>
  <c r="Y110" i="2"/>
  <c r="W110" i="2"/>
  <c r="V110" i="2"/>
  <c r="U110" i="2"/>
  <c r="T110" i="2"/>
  <c r="S110" i="2"/>
  <c r="Q110" i="2"/>
  <c r="P110" i="2"/>
  <c r="L110" i="2"/>
  <c r="X110" i="2" s="1"/>
  <c r="E110" i="2"/>
  <c r="R110" i="2" s="1"/>
  <c r="AA109" i="2"/>
  <c r="Z109" i="2"/>
  <c r="Y109" i="2"/>
  <c r="W109" i="2"/>
  <c r="V109" i="2"/>
  <c r="U109" i="2"/>
  <c r="T109" i="2"/>
  <c r="S109" i="2"/>
  <c r="Q109" i="2"/>
  <c r="P109" i="2"/>
  <c r="L109" i="2"/>
  <c r="X109" i="2" s="1"/>
  <c r="E109" i="2"/>
  <c r="R109" i="2" s="1"/>
  <c r="AA108" i="2"/>
  <c r="Z108" i="2"/>
  <c r="W108" i="2"/>
  <c r="U108" i="2"/>
  <c r="T108" i="2"/>
  <c r="Q108" i="2"/>
  <c r="L108" i="2"/>
  <c r="L107" i="2" s="1"/>
  <c r="X107" i="2" s="1"/>
  <c r="E108" i="2"/>
  <c r="E107" i="2" s="1"/>
  <c r="R107" i="2" s="1"/>
  <c r="AA107" i="2"/>
  <c r="Z107" i="2"/>
  <c r="Y107" i="2"/>
  <c r="W107" i="2"/>
  <c r="V107" i="2"/>
  <c r="U107" i="2"/>
  <c r="T107" i="2"/>
  <c r="S107" i="2"/>
  <c r="Q107" i="2"/>
  <c r="P107" i="2"/>
  <c r="X100" i="2"/>
  <c r="R100" i="2"/>
  <c r="AA100" i="2"/>
  <c r="Z100" i="2"/>
  <c r="Y100" i="2"/>
  <c r="W100" i="2"/>
  <c r="V100" i="2"/>
  <c r="U100" i="2"/>
  <c r="T100" i="2"/>
  <c r="S100" i="2"/>
  <c r="Q100" i="2"/>
  <c r="P100" i="2"/>
  <c r="Z99" i="2"/>
  <c r="W99" i="2"/>
  <c r="V99" i="2"/>
  <c r="T99" i="2"/>
  <c r="Q99" i="2"/>
  <c r="P99" i="2"/>
  <c r="L99" i="2"/>
  <c r="L98" i="2" s="1"/>
  <c r="X98" i="2" s="1"/>
  <c r="AA98" i="2"/>
  <c r="Z98" i="2"/>
  <c r="Y98" i="2"/>
  <c r="W98" i="2"/>
  <c r="V98" i="2"/>
  <c r="U98" i="2"/>
  <c r="T98" i="2"/>
  <c r="S98" i="2"/>
  <c r="Q98" i="2"/>
  <c r="P98" i="2"/>
  <c r="R98" i="2"/>
  <c r="AA97" i="2"/>
  <c r="Z97" i="2"/>
  <c r="Y97" i="2"/>
  <c r="W97" i="2"/>
  <c r="V97" i="2"/>
  <c r="U97" i="2"/>
  <c r="T97" i="2"/>
  <c r="S97" i="2"/>
  <c r="Q97" i="2"/>
  <c r="P97" i="2"/>
  <c r="L97" i="2"/>
  <c r="X97" i="2" s="1"/>
  <c r="E97" i="2"/>
  <c r="R97" i="2" s="1"/>
  <c r="AA96" i="2"/>
  <c r="Z96" i="2"/>
  <c r="Y96" i="2"/>
  <c r="W96" i="2"/>
  <c r="V96" i="2"/>
  <c r="U96" i="2"/>
  <c r="T96" i="2"/>
  <c r="S96" i="2"/>
  <c r="Q96" i="2"/>
  <c r="P96" i="2"/>
  <c r="L96" i="2"/>
  <c r="X96" i="2" s="1"/>
  <c r="E96" i="2"/>
  <c r="R96" i="2" s="1"/>
  <c r="AA95" i="2"/>
  <c r="Z95" i="2"/>
  <c r="Y95" i="2"/>
  <c r="W95" i="2"/>
  <c r="V95" i="2"/>
  <c r="U95" i="2"/>
  <c r="T95" i="2"/>
  <c r="S95" i="2"/>
  <c r="Q95" i="2"/>
  <c r="L95" i="2"/>
  <c r="L94" i="2" s="1"/>
  <c r="X94" i="2" s="1"/>
  <c r="E94" i="2"/>
  <c r="R94" i="2" s="1"/>
  <c r="AA94" i="2"/>
  <c r="Z94" i="2"/>
  <c r="Y94" i="2"/>
  <c r="W94" i="2"/>
  <c r="V94" i="2"/>
  <c r="U94" i="2"/>
  <c r="T94" i="2"/>
  <c r="S94" i="2"/>
  <c r="Q94" i="2"/>
  <c r="P94" i="2"/>
  <c r="AA93" i="2"/>
  <c r="Z93" i="2"/>
  <c r="W93" i="2"/>
  <c r="U93" i="2"/>
  <c r="T93" i="2"/>
  <c r="Q93" i="2"/>
  <c r="P93" i="2"/>
  <c r="L93" i="2"/>
  <c r="L92" i="2" s="1"/>
  <c r="X92" i="2" s="1"/>
  <c r="E93" i="2"/>
  <c r="E92" i="2" s="1"/>
  <c r="R92" i="2" s="1"/>
  <c r="AA92" i="2"/>
  <c r="Z92" i="2"/>
  <c r="Y92" i="2"/>
  <c r="W92" i="2"/>
  <c r="V92" i="2"/>
  <c r="U92" i="2"/>
  <c r="T92" i="2"/>
  <c r="S92" i="2"/>
  <c r="Q92" i="2"/>
  <c r="P92" i="2"/>
  <c r="AA91" i="2"/>
  <c r="Z91" i="2"/>
  <c r="W91" i="2"/>
  <c r="V91" i="2"/>
  <c r="U91" i="2"/>
  <c r="T91" i="2"/>
  <c r="Q91" i="2"/>
  <c r="P91" i="2"/>
  <c r="L91" i="2"/>
  <c r="L90" i="2" s="1"/>
  <c r="X90" i="2" s="1"/>
  <c r="E91" i="2"/>
  <c r="E90" i="2" s="1"/>
  <c r="R90" i="2" s="1"/>
  <c r="AA90" i="2"/>
  <c r="Z90" i="2"/>
  <c r="Y90" i="2"/>
  <c r="W90" i="2"/>
  <c r="V90" i="2"/>
  <c r="U90" i="2"/>
  <c r="T90" i="2"/>
  <c r="S90" i="2"/>
  <c r="Q90" i="2"/>
  <c r="P90" i="2"/>
  <c r="Z89" i="2"/>
  <c r="W89" i="2"/>
  <c r="T89" i="2"/>
  <c r="Q89" i="2"/>
  <c r="L89" i="2"/>
  <c r="L88" i="2" s="1"/>
  <c r="X88" i="2" s="1"/>
  <c r="E89" i="2"/>
  <c r="E88" i="2" s="1"/>
  <c r="R88" i="2" s="1"/>
  <c r="AA88" i="2"/>
  <c r="Z88" i="2"/>
  <c r="Y88" i="2"/>
  <c r="W88" i="2"/>
  <c r="V88" i="2"/>
  <c r="U88" i="2"/>
  <c r="T88" i="2"/>
  <c r="S88" i="2"/>
  <c r="Q88" i="2"/>
  <c r="P88" i="2"/>
  <c r="AA87" i="2"/>
  <c r="Z87" i="2"/>
  <c r="W87" i="2"/>
  <c r="U87" i="2"/>
  <c r="T87" i="2"/>
  <c r="Q87" i="2"/>
  <c r="L87" i="2"/>
  <c r="L86" i="2" s="1"/>
  <c r="X86" i="2" s="1"/>
  <c r="E87" i="2"/>
  <c r="E86" i="2" s="1"/>
  <c r="R86" i="2" s="1"/>
  <c r="AA86" i="2"/>
  <c r="Z86" i="2"/>
  <c r="Y86" i="2"/>
  <c r="W86" i="2"/>
  <c r="V86" i="2"/>
  <c r="U86" i="2"/>
  <c r="T86" i="2"/>
  <c r="S86" i="2"/>
  <c r="Q86" i="2"/>
  <c r="P86" i="2"/>
  <c r="AA85" i="2"/>
  <c r="Z85" i="2"/>
  <c r="W85" i="2"/>
  <c r="U85" i="2"/>
  <c r="T85" i="2"/>
  <c r="Q85" i="2"/>
  <c r="L85" i="2"/>
  <c r="E85" i="2"/>
  <c r="E84" i="2" s="1"/>
  <c r="R84" i="2" s="1"/>
  <c r="AA84" i="2"/>
  <c r="Z84" i="2"/>
  <c r="Y84" i="2"/>
  <c r="W84" i="2"/>
  <c r="V84" i="2"/>
  <c r="U84" i="2"/>
  <c r="T84" i="2"/>
  <c r="S84" i="2"/>
  <c r="Q84" i="2"/>
  <c r="P84" i="2"/>
  <c r="L84" i="2"/>
  <c r="X84" i="2" s="1"/>
  <c r="AA83" i="2"/>
  <c r="Z83" i="2"/>
  <c r="W83" i="2"/>
  <c r="U83" i="2"/>
  <c r="T83" i="2"/>
  <c r="Q83" i="2"/>
  <c r="L83" i="2"/>
  <c r="L82" i="2" s="1"/>
  <c r="X82" i="2" s="1"/>
  <c r="E83" i="2"/>
  <c r="E82" i="2" s="1"/>
  <c r="R82" i="2" s="1"/>
  <c r="AA82" i="2"/>
  <c r="Z82" i="2"/>
  <c r="Y82" i="2"/>
  <c r="W82" i="2"/>
  <c r="V82" i="2"/>
  <c r="U82" i="2"/>
  <c r="T82" i="2"/>
  <c r="S82" i="2"/>
  <c r="Q82" i="2"/>
  <c r="P82" i="2"/>
  <c r="AA81" i="2"/>
  <c r="Z81" i="2"/>
  <c r="W81" i="2"/>
  <c r="U81" i="2"/>
  <c r="T81" i="2"/>
  <c r="Q81" i="2"/>
  <c r="L81" i="2"/>
  <c r="L80" i="2" s="1"/>
  <c r="X80" i="2" s="1"/>
  <c r="E81" i="2"/>
  <c r="E80" i="2" s="1"/>
  <c r="R80" i="2" s="1"/>
  <c r="AA80" i="2"/>
  <c r="Z80" i="2"/>
  <c r="Y80" i="2"/>
  <c r="W80" i="2"/>
  <c r="V80" i="2"/>
  <c r="U80" i="2"/>
  <c r="T80" i="2"/>
  <c r="S80" i="2"/>
  <c r="Q80" i="2"/>
  <c r="P80" i="2"/>
  <c r="AA79" i="2"/>
  <c r="Z79" i="2"/>
  <c r="W79" i="2"/>
  <c r="V79" i="2"/>
  <c r="U79" i="2"/>
  <c r="T79" i="2"/>
  <c r="AF79" i="2" s="1"/>
  <c r="Q79" i="2"/>
  <c r="P79" i="2"/>
  <c r="L79" i="2"/>
  <c r="E79" i="2"/>
  <c r="E78" i="2" s="1"/>
  <c r="R78" i="2" s="1"/>
  <c r="AA78" i="2"/>
  <c r="Z78" i="2"/>
  <c r="Y78" i="2"/>
  <c r="W78" i="2"/>
  <c r="V78" i="2"/>
  <c r="U78" i="2"/>
  <c r="T78" i="2"/>
  <c r="S78" i="2"/>
  <c r="Q78" i="2"/>
  <c r="P78" i="2"/>
  <c r="L78" i="2"/>
  <c r="X78" i="2" s="1"/>
  <c r="AA77" i="2"/>
  <c r="Z77" i="2"/>
  <c r="W77" i="2"/>
  <c r="V77" i="2"/>
  <c r="U77" i="2"/>
  <c r="T77" i="2"/>
  <c r="S77" i="2"/>
  <c r="Q77" i="2"/>
  <c r="P77" i="2"/>
  <c r="L77" i="2"/>
  <c r="L76" i="2" s="1"/>
  <c r="X76" i="2" s="1"/>
  <c r="E77" i="2"/>
  <c r="E76" i="2" s="1"/>
  <c r="R76" i="2" s="1"/>
  <c r="AA76" i="2"/>
  <c r="Z76" i="2"/>
  <c r="Y76" i="2"/>
  <c r="W76" i="2"/>
  <c r="V76" i="2"/>
  <c r="U76" i="2"/>
  <c r="T76" i="2"/>
  <c r="S76" i="2"/>
  <c r="Q76" i="2"/>
  <c r="P76" i="2"/>
  <c r="Z75" i="2"/>
  <c r="W75" i="2"/>
  <c r="T75" i="2"/>
  <c r="Q75" i="2"/>
  <c r="L75" i="2"/>
  <c r="E75" i="2"/>
  <c r="E74" i="2" s="1"/>
  <c r="R74" i="2" s="1"/>
  <c r="AA74" i="2"/>
  <c r="Z74" i="2"/>
  <c r="Y74" i="2"/>
  <c r="W74" i="2"/>
  <c r="V74" i="2"/>
  <c r="U74" i="2"/>
  <c r="T74" i="2"/>
  <c r="S74" i="2"/>
  <c r="Q74" i="2"/>
  <c r="P74" i="2"/>
  <c r="L74" i="2"/>
  <c r="X74" i="2" s="1"/>
  <c r="AA73" i="2"/>
  <c r="Z73" i="2"/>
  <c r="W73" i="2"/>
  <c r="V73" i="2"/>
  <c r="U73" i="2"/>
  <c r="T73" i="2"/>
  <c r="Q73" i="2"/>
  <c r="P73" i="2"/>
  <c r="L73" i="2"/>
  <c r="L72" i="2" s="1"/>
  <c r="X72" i="2" s="1"/>
  <c r="E73" i="2"/>
  <c r="E72" i="2" s="1"/>
  <c r="R72" i="2" s="1"/>
  <c r="AA72" i="2"/>
  <c r="Z72" i="2"/>
  <c r="Y72" i="2"/>
  <c r="W72" i="2"/>
  <c r="V72" i="2"/>
  <c r="U72" i="2"/>
  <c r="T72" i="2"/>
  <c r="S72" i="2"/>
  <c r="Q72" i="2"/>
  <c r="P72" i="2"/>
  <c r="AA71" i="2"/>
  <c r="Z71" i="2"/>
  <c r="W71" i="2"/>
  <c r="U71" i="2"/>
  <c r="T71" i="2"/>
  <c r="Q71" i="2"/>
  <c r="L71" i="2"/>
  <c r="E71" i="2"/>
  <c r="E70" i="2" s="1"/>
  <c r="R70" i="2" s="1"/>
  <c r="AA70" i="2"/>
  <c r="Z70" i="2"/>
  <c r="Y70" i="2"/>
  <c r="W70" i="2"/>
  <c r="V70" i="2"/>
  <c r="U70" i="2"/>
  <c r="T70" i="2"/>
  <c r="S70" i="2"/>
  <c r="Q70" i="2"/>
  <c r="P70" i="2"/>
  <c r="Z69" i="2"/>
  <c r="W69" i="2"/>
  <c r="U69" i="2"/>
  <c r="T69" i="2"/>
  <c r="Q69" i="2"/>
  <c r="L69" i="2"/>
  <c r="L68" i="2" s="1"/>
  <c r="X68" i="2" s="1"/>
  <c r="E69" i="2"/>
  <c r="E68" i="2" s="1"/>
  <c r="R68" i="2" s="1"/>
  <c r="AA68" i="2"/>
  <c r="Z68" i="2"/>
  <c r="Y68" i="2"/>
  <c r="W68" i="2"/>
  <c r="V68" i="2"/>
  <c r="U68" i="2"/>
  <c r="T68" i="2"/>
  <c r="S68" i="2"/>
  <c r="Q68" i="2"/>
  <c r="P68" i="2"/>
  <c r="AA67" i="2"/>
  <c r="Z67" i="2"/>
  <c r="W67" i="2"/>
  <c r="U67" i="2"/>
  <c r="T67" i="2"/>
  <c r="Q67" i="2"/>
  <c r="L67" i="2"/>
  <c r="L66" i="2" s="1"/>
  <c r="X66" i="2" s="1"/>
  <c r="E67" i="2"/>
  <c r="E66" i="2" s="1"/>
  <c r="R66" i="2" s="1"/>
  <c r="AA66" i="2"/>
  <c r="Z66" i="2"/>
  <c r="Y66" i="2"/>
  <c r="W66" i="2"/>
  <c r="V66" i="2"/>
  <c r="U66" i="2"/>
  <c r="T66" i="2"/>
  <c r="S66" i="2"/>
  <c r="Q66" i="2"/>
  <c r="P66" i="2"/>
  <c r="AA65" i="2"/>
  <c r="Z65" i="2"/>
  <c r="W65" i="2"/>
  <c r="U65" i="2"/>
  <c r="T65" i="2"/>
  <c r="Q65" i="2"/>
  <c r="L65" i="2"/>
  <c r="L64" i="2" s="1"/>
  <c r="X64" i="2" s="1"/>
  <c r="E65" i="2"/>
  <c r="E64" i="2" s="1"/>
  <c r="R64" i="2" s="1"/>
  <c r="AA64" i="2"/>
  <c r="Z64" i="2"/>
  <c r="Y64" i="2"/>
  <c r="W64" i="2"/>
  <c r="V64" i="2"/>
  <c r="U64" i="2"/>
  <c r="T64" i="2"/>
  <c r="S64" i="2"/>
  <c r="Q64" i="2"/>
  <c r="P64" i="2"/>
  <c r="AA63" i="2"/>
  <c r="Z63" i="2"/>
  <c r="W63" i="2"/>
  <c r="U63" i="2"/>
  <c r="T63" i="2"/>
  <c r="Q63" i="2"/>
  <c r="L63" i="2"/>
  <c r="L62" i="2" s="1"/>
  <c r="X62" i="2" s="1"/>
  <c r="E63" i="2"/>
  <c r="E62" i="2" s="1"/>
  <c r="R62" i="2" s="1"/>
  <c r="AA62" i="2"/>
  <c r="Z62" i="2"/>
  <c r="Y62" i="2"/>
  <c r="W62" i="2"/>
  <c r="V62" i="2"/>
  <c r="U62" i="2"/>
  <c r="T62" i="2"/>
  <c r="S62" i="2"/>
  <c r="Q62" i="2"/>
  <c r="P62" i="2"/>
  <c r="AA61" i="2"/>
  <c r="Z61" i="2"/>
  <c r="Y61" i="2"/>
  <c r="W61" i="2"/>
  <c r="V61" i="2"/>
  <c r="U61" i="2"/>
  <c r="T61" i="2"/>
  <c r="S61" i="2"/>
  <c r="Q61" i="2"/>
  <c r="P61" i="2"/>
  <c r="L61" i="2"/>
  <c r="X61" i="2" s="1"/>
  <c r="E61" i="2"/>
  <c r="R61" i="2" s="1"/>
  <c r="AA60" i="2"/>
  <c r="Z60" i="2"/>
  <c r="W60" i="2"/>
  <c r="V60" i="2"/>
  <c r="U60" i="2"/>
  <c r="T60" i="2"/>
  <c r="Q60" i="2"/>
  <c r="P60" i="2"/>
  <c r="L60" i="2"/>
  <c r="L59" i="2" s="1"/>
  <c r="X59" i="2" s="1"/>
  <c r="E60" i="2"/>
  <c r="E59" i="2" s="1"/>
  <c r="R59" i="2" s="1"/>
  <c r="AA59" i="2"/>
  <c r="Z59" i="2"/>
  <c r="Y59" i="2"/>
  <c r="W59" i="2"/>
  <c r="V59" i="2"/>
  <c r="U59" i="2"/>
  <c r="T59" i="2"/>
  <c r="S59" i="2"/>
  <c r="Q59" i="2"/>
  <c r="P59" i="2"/>
  <c r="AA58" i="2"/>
  <c r="Z58" i="2"/>
  <c r="Y58" i="2"/>
  <c r="W58" i="2"/>
  <c r="U58" i="2"/>
  <c r="T58" i="2"/>
  <c r="Q58" i="2"/>
  <c r="L58" i="2"/>
  <c r="E58" i="2"/>
  <c r="E57" i="2" s="1"/>
  <c r="R57" i="2" s="1"/>
  <c r="AA57" i="2"/>
  <c r="Z57" i="2"/>
  <c r="Y57" i="2"/>
  <c r="W57" i="2"/>
  <c r="V57" i="2"/>
  <c r="U57" i="2"/>
  <c r="T57" i="2"/>
  <c r="S57" i="2"/>
  <c r="Q57" i="2"/>
  <c r="P57" i="2"/>
  <c r="L57" i="2"/>
  <c r="X57" i="2" s="1"/>
  <c r="AA56" i="2"/>
  <c r="Z56" i="2"/>
  <c r="W56" i="2"/>
  <c r="V56" i="2"/>
  <c r="U56" i="2"/>
  <c r="T56" i="2"/>
  <c r="AF56" i="2" s="1"/>
  <c r="Q56" i="2"/>
  <c r="P56" i="2"/>
  <c r="L56" i="2"/>
  <c r="E56" i="2"/>
  <c r="AA55" i="2"/>
  <c r="Z55" i="2"/>
  <c r="Y55" i="2"/>
  <c r="W55" i="2"/>
  <c r="V55" i="2"/>
  <c r="U55" i="2"/>
  <c r="T55" i="2"/>
  <c r="S55" i="2"/>
  <c r="Q55" i="2"/>
  <c r="P55" i="2"/>
  <c r="L55" i="2"/>
  <c r="X55" i="2" s="1"/>
  <c r="E55" i="2"/>
  <c r="R55" i="2" s="1"/>
  <c r="AA54" i="2"/>
  <c r="Z54" i="2"/>
  <c r="W54" i="2"/>
  <c r="U54" i="2"/>
  <c r="T54" i="2"/>
  <c r="Q54" i="2"/>
  <c r="P54" i="2"/>
  <c r="AB54" i="2" s="1"/>
  <c r="L54" i="2"/>
  <c r="E54" i="2"/>
  <c r="AA53" i="2"/>
  <c r="Z53" i="2"/>
  <c r="Y53" i="2"/>
  <c r="W53" i="2"/>
  <c r="V53" i="2"/>
  <c r="U53" i="2"/>
  <c r="T53" i="2"/>
  <c r="S53" i="2"/>
  <c r="Q53" i="2"/>
  <c r="P53" i="2"/>
  <c r="AA52" i="2"/>
  <c r="Z52" i="2"/>
  <c r="Y52" i="2"/>
  <c r="W52" i="2"/>
  <c r="V52" i="2"/>
  <c r="U52" i="2"/>
  <c r="T52" i="2"/>
  <c r="S52" i="2"/>
  <c r="Q52" i="2"/>
  <c r="P52" i="2"/>
  <c r="X52" i="2"/>
  <c r="L45" i="2"/>
  <c r="O42" i="2"/>
  <c r="O43" i="2" s="1"/>
  <c r="N42" i="2"/>
  <c r="N43" i="2" s="1"/>
  <c r="M42" i="2"/>
  <c r="M43" i="2" s="1"/>
  <c r="K42" i="2"/>
  <c r="K43" i="2" s="1"/>
  <c r="J42" i="2"/>
  <c r="J43" i="2" s="1"/>
  <c r="I42" i="2"/>
  <c r="I43" i="2" s="1"/>
  <c r="H42" i="2"/>
  <c r="H43" i="2" s="1"/>
  <c r="G42" i="2"/>
  <c r="G43" i="2" s="1"/>
  <c r="F42" i="2"/>
  <c r="F43" i="2" s="1"/>
  <c r="D42" i="2"/>
  <c r="D43" i="2" s="1"/>
  <c r="C42" i="2"/>
  <c r="C43" i="2" s="1"/>
  <c r="O38" i="2"/>
  <c r="O41" i="2" s="1"/>
  <c r="N38" i="2"/>
  <c r="Z38" i="2" s="1"/>
  <c r="M38" i="2"/>
  <c r="K38" i="2"/>
  <c r="W38" i="2" s="1"/>
  <c r="J38" i="2"/>
  <c r="J41" i="2" s="1"/>
  <c r="I38" i="2"/>
  <c r="H38" i="2"/>
  <c r="G38" i="2"/>
  <c r="F38" i="2"/>
  <c r="S38" i="2" s="1"/>
  <c r="D38" i="2"/>
  <c r="Q38" i="2" s="1"/>
  <c r="C38" i="2"/>
  <c r="C41" i="2" s="1"/>
  <c r="B38" i="2"/>
  <c r="B41" i="2" s="1"/>
  <c r="P41" i="2" s="1"/>
  <c r="AA37" i="2"/>
  <c r="Z37" i="2"/>
  <c r="Y37" i="2"/>
  <c r="W37" i="2"/>
  <c r="V37" i="2"/>
  <c r="U37" i="2"/>
  <c r="T37" i="2"/>
  <c r="S37" i="2"/>
  <c r="Q37" i="2"/>
  <c r="P37" i="2"/>
  <c r="L37" i="2"/>
  <c r="X37" i="2" s="1"/>
  <c r="R37" i="2"/>
  <c r="AA36" i="2"/>
  <c r="Z36" i="2"/>
  <c r="Y36" i="2"/>
  <c r="W36" i="2"/>
  <c r="V36" i="2"/>
  <c r="U36" i="2"/>
  <c r="T36" i="2"/>
  <c r="S36" i="2"/>
  <c r="Q36" i="2"/>
  <c r="P36" i="2"/>
  <c r="L36" i="2"/>
  <c r="X36" i="2" s="1"/>
  <c r="R36" i="2"/>
  <c r="AA35" i="2"/>
  <c r="Z35" i="2"/>
  <c r="Y35" i="2"/>
  <c r="X35" i="2"/>
  <c r="W35" i="2"/>
  <c r="V35" i="2"/>
  <c r="U35" i="2"/>
  <c r="T35" i="2"/>
  <c r="S35" i="2"/>
  <c r="R35" i="2"/>
  <c r="Q35" i="2"/>
  <c r="P35" i="2"/>
  <c r="AA34" i="2"/>
  <c r="Z34" i="2"/>
  <c r="Y34" i="2"/>
  <c r="W34" i="2"/>
  <c r="V34" i="2"/>
  <c r="U34" i="2"/>
  <c r="T34" i="2"/>
  <c r="S34" i="2"/>
  <c r="Q34" i="2"/>
  <c r="P34" i="2"/>
  <c r="L34" i="2"/>
  <c r="X34" i="2" s="1"/>
  <c r="R34" i="2"/>
  <c r="AA33" i="2"/>
  <c r="Z33" i="2"/>
  <c r="Y33" i="2"/>
  <c r="W33" i="2"/>
  <c r="V33" i="2"/>
  <c r="U33" i="2"/>
  <c r="T33" i="2"/>
  <c r="S33" i="2"/>
  <c r="Q33" i="2"/>
  <c r="P33" i="2"/>
  <c r="L33" i="2"/>
  <c r="X33" i="2" s="1"/>
  <c r="E33" i="2"/>
  <c r="R33" i="2" s="1"/>
  <c r="AA32" i="2"/>
  <c r="Z32" i="2"/>
  <c r="Y32" i="2"/>
  <c r="W32" i="2"/>
  <c r="V32" i="2"/>
  <c r="U32" i="2"/>
  <c r="T32" i="2"/>
  <c r="S32" i="2"/>
  <c r="Q32" i="2"/>
  <c r="P32" i="2"/>
  <c r="L32" i="2"/>
  <c r="X32" i="2" s="1"/>
  <c r="E32" i="2"/>
  <c r="AA31" i="2"/>
  <c r="Z31" i="2"/>
  <c r="Y31" i="2"/>
  <c r="Y42" i="2" s="1"/>
  <c r="W31" i="2"/>
  <c r="V31" i="2"/>
  <c r="U31" i="2"/>
  <c r="T31" i="2"/>
  <c r="S31" i="2"/>
  <c r="Q31" i="2"/>
  <c r="P31" i="2"/>
  <c r="R31" i="2"/>
  <c r="AA30" i="2"/>
  <c r="Z30" i="2"/>
  <c r="Y30" i="2"/>
  <c r="X30" i="2"/>
  <c r="W30" i="2"/>
  <c r="V30" i="2"/>
  <c r="U30" i="2"/>
  <c r="T30" i="2"/>
  <c r="S30" i="2"/>
  <c r="R30" i="2"/>
  <c r="Q30" i="2"/>
  <c r="P30" i="2"/>
  <c r="AA29" i="2"/>
  <c r="Z29" i="2"/>
  <c r="Y29" i="2"/>
  <c r="W29" i="2"/>
  <c r="V29" i="2"/>
  <c r="U29" i="2"/>
  <c r="T29" i="2"/>
  <c r="S29" i="2"/>
  <c r="Q29" i="2"/>
  <c r="P29" i="2"/>
  <c r="AA28" i="2"/>
  <c r="Z28" i="2"/>
  <c r="Y28" i="2"/>
  <c r="W28" i="2"/>
  <c r="V28" i="2"/>
  <c r="U28" i="2"/>
  <c r="T28" i="2"/>
  <c r="S28" i="2"/>
  <c r="Q28" i="2"/>
  <c r="P28" i="2"/>
  <c r="X28" i="2"/>
  <c r="E28" i="2"/>
  <c r="AA27" i="2"/>
  <c r="Z27" i="2"/>
  <c r="Y27" i="2"/>
  <c r="X27" i="2"/>
  <c r="AH27" i="2" s="1"/>
  <c r="W27" i="2"/>
  <c r="V27" i="2"/>
  <c r="U27" i="2"/>
  <c r="S27" i="2"/>
  <c r="P27" i="2"/>
  <c r="R27" i="2"/>
  <c r="AA26" i="2"/>
  <c r="Z26" i="2"/>
  <c r="Y26" i="2"/>
  <c r="X26" i="2"/>
  <c r="W26" i="2"/>
  <c r="V26" i="2"/>
  <c r="U26" i="2"/>
  <c r="T26" i="2"/>
  <c r="S26" i="2"/>
  <c r="Q26" i="2"/>
  <c r="P26" i="2"/>
  <c r="R26" i="2"/>
  <c r="AA25" i="2"/>
  <c r="Z25" i="2"/>
  <c r="Y25" i="2"/>
  <c r="W25" i="2"/>
  <c r="V25" i="2"/>
  <c r="U25" i="2"/>
  <c r="T25" i="2"/>
  <c r="S25" i="2"/>
  <c r="Q25" i="2"/>
  <c r="P25" i="2"/>
  <c r="X25" i="2"/>
  <c r="R25" i="2"/>
  <c r="AA24" i="2"/>
  <c r="Z24" i="2"/>
  <c r="Y24" i="2"/>
  <c r="X24" i="2"/>
  <c r="W24" i="2"/>
  <c r="V24" i="2"/>
  <c r="U24" i="2"/>
  <c r="T24" i="2"/>
  <c r="S24" i="2"/>
  <c r="Q24" i="2"/>
  <c r="P24" i="2"/>
  <c r="R24" i="2"/>
  <c r="AA23" i="2"/>
  <c r="Z23" i="2"/>
  <c r="Y23" i="2"/>
  <c r="W23" i="2"/>
  <c r="V23" i="2"/>
  <c r="U23" i="2"/>
  <c r="T23" i="2"/>
  <c r="S23" i="2"/>
  <c r="Q23" i="2"/>
  <c r="P23" i="2"/>
  <c r="X23" i="2"/>
  <c r="R23" i="2"/>
  <c r="AA22" i="2"/>
  <c r="Z22" i="2"/>
  <c r="Y22" i="2"/>
  <c r="W22" i="2"/>
  <c r="V22" i="2"/>
  <c r="U22" i="2"/>
  <c r="T22" i="2"/>
  <c r="S22" i="2"/>
  <c r="Q22" i="2"/>
  <c r="P22" i="2"/>
  <c r="X22" i="2"/>
  <c r="R22" i="2"/>
  <c r="AA21" i="2"/>
  <c r="Z21" i="2"/>
  <c r="Y21" i="2"/>
  <c r="W21" i="2"/>
  <c r="V21" i="2"/>
  <c r="U21" i="2"/>
  <c r="T21" i="2"/>
  <c r="S21" i="2"/>
  <c r="Q21" i="2"/>
  <c r="P21" i="2"/>
  <c r="X21" i="2"/>
  <c r="R21" i="2"/>
  <c r="AA20" i="2"/>
  <c r="Z20" i="2"/>
  <c r="Y20" i="2"/>
  <c r="W20" i="2"/>
  <c r="V20" i="2"/>
  <c r="U20" i="2"/>
  <c r="T20" i="2"/>
  <c r="S20" i="2"/>
  <c r="Q20" i="2"/>
  <c r="P20" i="2"/>
  <c r="X20" i="2"/>
  <c r="R20" i="2"/>
  <c r="AA19" i="2"/>
  <c r="Z19" i="2"/>
  <c r="Y19" i="2"/>
  <c r="X19" i="2"/>
  <c r="W19" i="2"/>
  <c r="V19" i="2"/>
  <c r="U19" i="2"/>
  <c r="T19" i="2"/>
  <c r="S19" i="2"/>
  <c r="Q19" i="2"/>
  <c r="P19" i="2"/>
  <c r="R19" i="2"/>
  <c r="AA18" i="2"/>
  <c r="Z18" i="2"/>
  <c r="Y18" i="2"/>
  <c r="W18" i="2"/>
  <c r="V18" i="2"/>
  <c r="U18" i="2"/>
  <c r="T18" i="2"/>
  <c r="S18" i="2"/>
  <c r="Q18" i="2"/>
  <c r="P18" i="2"/>
  <c r="X18" i="2"/>
  <c r="R18" i="2"/>
  <c r="AA17" i="2"/>
  <c r="Z17" i="2"/>
  <c r="Y17" i="2"/>
  <c r="W17" i="2"/>
  <c r="V17" i="2"/>
  <c r="U17" i="2"/>
  <c r="T17" i="2"/>
  <c r="S17" i="2"/>
  <c r="Q17" i="2"/>
  <c r="P17" i="2"/>
  <c r="X17" i="2"/>
  <c r="R17" i="2"/>
  <c r="AA16" i="2"/>
  <c r="Z16" i="2"/>
  <c r="Y16" i="2"/>
  <c r="W16" i="2"/>
  <c r="V16" i="2"/>
  <c r="U16" i="2"/>
  <c r="T16" i="2"/>
  <c r="S16" i="2"/>
  <c r="Q16" i="2"/>
  <c r="P16" i="2"/>
  <c r="X16" i="2"/>
  <c r="R16" i="2"/>
  <c r="AA15" i="2"/>
  <c r="Z15" i="2"/>
  <c r="Y15" i="2"/>
  <c r="W15" i="2"/>
  <c r="V15" i="2"/>
  <c r="U15" i="2"/>
  <c r="T15" i="2"/>
  <c r="S15" i="2"/>
  <c r="Q15" i="2"/>
  <c r="P15" i="2"/>
  <c r="X15" i="2"/>
  <c r="R15" i="2"/>
  <c r="AA14" i="2"/>
  <c r="Z14" i="2"/>
  <c r="Y14" i="2"/>
  <c r="X14" i="2"/>
  <c r="W14" i="2"/>
  <c r="V14" i="2"/>
  <c r="U14" i="2"/>
  <c r="T14" i="2"/>
  <c r="S14" i="2"/>
  <c r="Q14" i="2"/>
  <c r="P14" i="2"/>
  <c r="R14" i="2"/>
  <c r="AA13" i="2"/>
  <c r="Z13" i="2"/>
  <c r="Y13" i="2"/>
  <c r="W13" i="2"/>
  <c r="V13" i="2"/>
  <c r="U13" i="2"/>
  <c r="T13" i="2"/>
  <c r="S13" i="2"/>
  <c r="Q13" i="2"/>
  <c r="P13" i="2"/>
  <c r="X13" i="2"/>
  <c r="R13" i="2"/>
  <c r="AA12" i="2"/>
  <c r="Z12" i="2"/>
  <c r="Y12" i="2"/>
  <c r="W12" i="2"/>
  <c r="V12" i="2"/>
  <c r="U12" i="2"/>
  <c r="T12" i="2"/>
  <c r="S12" i="2"/>
  <c r="Q12" i="2"/>
  <c r="P12" i="2"/>
  <c r="X12" i="2"/>
  <c r="R12" i="2"/>
  <c r="AA11" i="2"/>
  <c r="Z11" i="2"/>
  <c r="Y11" i="2"/>
  <c r="W11" i="2"/>
  <c r="V11" i="2"/>
  <c r="U11" i="2"/>
  <c r="T11" i="2"/>
  <c r="S11" i="2"/>
  <c r="Q11" i="2"/>
  <c r="P11" i="2"/>
  <c r="X11" i="2"/>
  <c r="R11" i="2"/>
  <c r="AA10" i="2"/>
  <c r="Z10" i="2"/>
  <c r="Y10" i="2"/>
  <c r="W10" i="2"/>
  <c r="V10" i="2"/>
  <c r="U10" i="2"/>
  <c r="T10" i="2"/>
  <c r="S10" i="2"/>
  <c r="Q10" i="2"/>
  <c r="P10" i="2"/>
  <c r="O9" i="2"/>
  <c r="N9" i="2"/>
  <c r="M9" i="2"/>
  <c r="L9" i="2"/>
  <c r="K9" i="2"/>
  <c r="J9" i="2"/>
  <c r="I9" i="2"/>
  <c r="H9" i="2"/>
  <c r="G9" i="2"/>
  <c r="F9" i="2"/>
  <c r="D9" i="2"/>
  <c r="C9" i="2"/>
  <c r="AJ3" i="2"/>
  <c r="M3" i="2"/>
  <c r="AL11" i="2" l="1"/>
  <c r="AD127" i="2"/>
  <c r="AE127" i="2"/>
  <c r="AD128" i="2"/>
  <c r="AE128" i="2"/>
  <c r="AD131" i="2"/>
  <c r="AD132" i="2"/>
  <c r="AD134" i="2"/>
  <c r="AE134" i="2"/>
  <c r="AF147" i="2"/>
  <c r="AH14" i="2"/>
  <c r="AH19" i="2"/>
  <c r="AH24" i="2"/>
  <c r="AH26" i="2"/>
  <c r="AH11" i="2"/>
  <c r="AH12" i="2"/>
  <c r="AH13" i="2"/>
  <c r="AH15" i="2"/>
  <c r="AH16" i="2"/>
  <c r="AH17" i="2"/>
  <c r="AH18" i="2"/>
  <c r="AH20" i="2"/>
  <c r="AH21" i="2"/>
  <c r="AH22" i="2"/>
  <c r="AH23" i="2"/>
  <c r="AH25" i="2"/>
  <c r="AB127" i="2"/>
  <c r="AG127" i="2"/>
  <c r="AB128" i="2"/>
  <c r="AG128" i="2"/>
  <c r="AB129" i="2"/>
  <c r="AB131" i="2"/>
  <c r="AG131" i="2"/>
  <c r="AB132" i="2"/>
  <c r="AG132" i="2"/>
  <c r="AC127" i="2"/>
  <c r="AC128" i="2"/>
  <c r="AC129" i="2"/>
  <c r="AC134" i="2"/>
  <c r="R153" i="2"/>
  <c r="B153" i="2"/>
  <c r="X153" i="2"/>
  <c r="AD153" i="2" s="1"/>
  <c r="AI153" i="2" s="1"/>
  <c r="I153" i="2"/>
  <c r="AF127" i="2"/>
  <c r="AF128" i="2"/>
  <c r="AF134" i="2"/>
  <c r="R152" i="2"/>
  <c r="X155" i="2" s="1"/>
  <c r="B152" i="2"/>
  <c r="R28" i="2"/>
  <c r="AH28" i="2" s="1"/>
  <c r="E40" i="2"/>
  <c r="R40" i="2" s="1"/>
  <c r="AD40" i="2" s="1"/>
  <c r="AB134" i="2"/>
  <c r="AG134" i="2"/>
  <c r="X152" i="2"/>
  <c r="I152" i="2"/>
  <c r="AL29" i="2"/>
  <c r="AC11" i="2"/>
  <c r="L70" i="2"/>
  <c r="X70" i="2" s="1"/>
  <c r="AD70" i="2" s="1"/>
  <c r="L118" i="2"/>
  <c r="AF150" i="2"/>
  <c r="X120" i="2"/>
  <c r="L136" i="2"/>
  <c r="D116" i="2"/>
  <c r="Q116" i="2" s="1"/>
  <c r="AE149" i="2"/>
  <c r="AG152" i="2"/>
  <c r="R32" i="2"/>
  <c r="E42" i="2"/>
  <c r="E43" i="2" s="1"/>
  <c r="AB33" i="2"/>
  <c r="E118" i="2"/>
  <c r="E53" i="2"/>
  <c r="E115" i="2" s="1"/>
  <c r="E116" i="2" s="1"/>
  <c r="R54" i="2"/>
  <c r="R120" i="2"/>
  <c r="E136" i="2"/>
  <c r="AG153" i="2"/>
  <c r="V152" i="2"/>
  <c r="AF152" i="2"/>
  <c r="AE147" i="2"/>
  <c r="AC147" i="2"/>
  <c r="Y148" i="2"/>
  <c r="AE148" i="2" s="1"/>
  <c r="R146" i="2"/>
  <c r="AD146" i="2" s="1"/>
  <c r="R145" i="2"/>
  <c r="B145" i="2"/>
  <c r="P145" i="2" s="1"/>
  <c r="AC146" i="2"/>
  <c r="AC145" i="2"/>
  <c r="AC130" i="2"/>
  <c r="AE130" i="2"/>
  <c r="AB130" i="2"/>
  <c r="R9" i="2"/>
  <c r="AF117" i="2"/>
  <c r="L53" i="2"/>
  <c r="X53" i="2" s="1"/>
  <c r="AE145" i="2"/>
  <c r="AG147" i="2"/>
  <c r="AG148" i="2"/>
  <c r="AG151" i="2"/>
  <c r="AC152" i="2"/>
  <c r="AF11" i="2"/>
  <c r="AB26" i="2"/>
  <c r="AF36" i="2"/>
  <c r="AE80" i="2"/>
  <c r="AG100" i="2"/>
  <c r="AG107" i="2"/>
  <c r="AD130" i="2"/>
  <c r="R147" i="2"/>
  <c r="AD147" i="2" s="1"/>
  <c r="P149" i="2"/>
  <c r="AG149" i="2"/>
  <c r="H150" i="2"/>
  <c r="U150" i="2" s="1"/>
  <c r="L151" i="2"/>
  <c r="X151" i="2" s="1"/>
  <c r="AE152" i="2"/>
  <c r="AF146" i="2"/>
  <c r="E148" i="2"/>
  <c r="R148" i="2" s="1"/>
  <c r="AD148" i="2" s="1"/>
  <c r="AG146" i="2"/>
  <c r="AF148" i="2"/>
  <c r="F150" i="2"/>
  <c r="S150" i="2" s="1"/>
  <c r="O150" i="2"/>
  <c r="AA150" i="2" s="1"/>
  <c r="V151" i="2"/>
  <c r="Z151" i="2"/>
  <c r="AE153" i="2"/>
  <c r="AC71" i="2"/>
  <c r="AF81" i="2"/>
  <c r="AG83" i="2"/>
  <c r="AB18" i="2"/>
  <c r="AG23" i="2"/>
  <c r="AG25" i="2"/>
  <c r="AC55" i="2"/>
  <c r="AB59" i="2"/>
  <c r="AG59" i="2"/>
  <c r="AF86" i="2"/>
  <c r="AF92" i="2"/>
  <c r="AF98" i="2"/>
  <c r="AB99" i="2"/>
  <c r="AF108" i="2"/>
  <c r="AG108" i="2"/>
  <c r="X9" i="2"/>
  <c r="AE15" i="2"/>
  <c r="AE16" i="2"/>
  <c r="AE20" i="2"/>
  <c r="AE21" i="2"/>
  <c r="AC25" i="2"/>
  <c r="AE34" i="2"/>
  <c r="AE37" i="2"/>
  <c r="AC54" i="2"/>
  <c r="AF66" i="2"/>
  <c r="AG74" i="2"/>
  <c r="AB76" i="2"/>
  <c r="AF89" i="2"/>
  <c r="AF93" i="2"/>
  <c r="AB98" i="2"/>
  <c r="AC12" i="2"/>
  <c r="AC20" i="2"/>
  <c r="AC21" i="2"/>
  <c r="AC22" i="2"/>
  <c r="AC31" i="2"/>
  <c r="AD11" i="2"/>
  <c r="AB10" i="2"/>
  <c r="AB12" i="2"/>
  <c r="AB14" i="2"/>
  <c r="AF76" i="2"/>
  <c r="AC78" i="2"/>
  <c r="AC82" i="2"/>
  <c r="AB11" i="2"/>
  <c r="AI12" i="2"/>
  <c r="AC13" i="2"/>
  <c r="AB13" i="2"/>
  <c r="AG13" i="2"/>
  <c r="AB15" i="2"/>
  <c r="AG18" i="2"/>
  <c r="AB20" i="2"/>
  <c r="AG29" i="2"/>
  <c r="AB34" i="2"/>
  <c r="AB36" i="2"/>
  <c r="AG36" i="2"/>
  <c r="AC63" i="2"/>
  <c r="AB64" i="2"/>
  <c r="AF65" i="2"/>
  <c r="AF67" i="2"/>
  <c r="AC74" i="2"/>
  <c r="AF75" i="2"/>
  <c r="AF78" i="2"/>
  <c r="AG84" i="2"/>
  <c r="AE25" i="2"/>
  <c r="AF14" i="2"/>
  <c r="AC18" i="2"/>
  <c r="AG24" i="2"/>
  <c r="AC32" i="2"/>
  <c r="AG78" i="2"/>
  <c r="AG85" i="2"/>
  <c r="M119" i="2"/>
  <c r="M121" i="2" s="1"/>
  <c r="AE90" i="2"/>
  <c r="AF88" i="2"/>
  <c r="AE88" i="2"/>
  <c r="AB88" i="2"/>
  <c r="AC84" i="2"/>
  <c r="AF82" i="2"/>
  <c r="AB82" i="2"/>
  <c r="AE82" i="2"/>
  <c r="AF80" i="2"/>
  <c r="AC80" i="2"/>
  <c r="I119" i="2"/>
  <c r="I121" i="2" s="1"/>
  <c r="AE78" i="2"/>
  <c r="AB72" i="2"/>
  <c r="AG70" i="2"/>
  <c r="AC70" i="2"/>
  <c r="AE70" i="2"/>
  <c r="AC117" i="2"/>
  <c r="AD80" i="2"/>
  <c r="AG57" i="2"/>
  <c r="AF83" i="2"/>
  <c r="AG90" i="2"/>
  <c r="AF100" i="2"/>
  <c r="AF110" i="2"/>
  <c r="AF112" i="2"/>
  <c r="AG58" i="2"/>
  <c r="AE72" i="2"/>
  <c r="AG76" i="2"/>
  <c r="AG110" i="2"/>
  <c r="W115" i="2"/>
  <c r="AC99" i="2"/>
  <c r="AB62" i="2"/>
  <c r="AC76" i="2"/>
  <c r="AC90" i="2"/>
  <c r="AB92" i="2"/>
  <c r="AC96" i="2"/>
  <c r="AB110" i="2"/>
  <c r="AB61" i="2"/>
  <c r="AC68" i="2"/>
  <c r="AB84" i="2"/>
  <c r="AC94" i="2"/>
  <c r="AC100" i="2"/>
  <c r="AC110" i="2"/>
  <c r="H116" i="2"/>
  <c r="U116" i="2" s="1"/>
  <c r="AF57" i="2"/>
  <c r="AE74" i="2"/>
  <c r="AE92" i="2"/>
  <c r="AE94" i="2"/>
  <c r="AF114" i="2"/>
  <c r="AE59" i="2"/>
  <c r="AF61" i="2"/>
  <c r="AG62" i="2"/>
  <c r="AG71" i="2"/>
  <c r="AG72" i="2"/>
  <c r="AE76" i="2"/>
  <c r="AG81" i="2"/>
  <c r="AD84" i="2"/>
  <c r="AE84" i="2"/>
  <c r="AE100" i="2"/>
  <c r="AD100" i="2"/>
  <c r="AD109" i="2"/>
  <c r="AE109" i="2"/>
  <c r="AD110" i="2"/>
  <c r="AE110" i="2"/>
  <c r="AF69" i="2"/>
  <c r="AG77" i="2"/>
  <c r="AB55" i="2"/>
  <c r="AB86" i="2"/>
  <c r="AB94" i="2"/>
  <c r="AB111" i="2"/>
  <c r="AC112" i="2"/>
  <c r="AB57" i="2"/>
  <c r="AB70" i="2"/>
  <c r="AC92" i="2"/>
  <c r="AB100" i="2"/>
  <c r="AB107" i="2"/>
  <c r="AC111" i="2"/>
  <c r="AD37" i="2"/>
  <c r="AI37" i="2"/>
  <c r="AJ37" i="2" s="1"/>
  <c r="AC36" i="2"/>
  <c r="AF34" i="2"/>
  <c r="AI32" i="2"/>
  <c r="AJ32" i="2" s="1"/>
  <c r="Z42" i="2"/>
  <c r="Z43" i="2" s="1"/>
  <c r="V42" i="2"/>
  <c r="V43" i="2" s="1"/>
  <c r="AB32" i="2"/>
  <c r="AF10" i="2"/>
  <c r="Y43" i="2"/>
  <c r="AI26" i="2"/>
  <c r="AJ26" i="2" s="1"/>
  <c r="AE26" i="2"/>
  <c r="AI27" i="2"/>
  <c r="AJ27" i="2" s="1"/>
  <c r="AB24" i="2"/>
  <c r="AC24" i="2"/>
  <c r="AC23" i="2"/>
  <c r="AE22" i="2"/>
  <c r="AC38" i="2"/>
  <c r="AF20" i="2"/>
  <c r="AI20" i="2"/>
  <c r="AI19" i="2"/>
  <c r="AI17" i="2"/>
  <c r="AF15" i="2"/>
  <c r="AG14" i="2"/>
  <c r="AC14" i="2"/>
  <c r="AI14" i="2"/>
  <c r="K41" i="2"/>
  <c r="M41" i="2"/>
  <c r="AJ12" i="2"/>
  <c r="I41" i="2"/>
  <c r="AG11" i="2"/>
  <c r="AD90" i="2"/>
  <c r="R117" i="2"/>
  <c r="AD117" i="2" s="1"/>
  <c r="R29" i="2"/>
  <c r="R10" i="2"/>
  <c r="R52" i="2"/>
  <c r="AD52" i="2" s="1"/>
  <c r="AD64" i="2"/>
  <c r="AB90" i="2"/>
  <c r="AD94" i="2"/>
  <c r="S116" i="2"/>
  <c r="S115" i="2"/>
  <c r="AE115" i="2" s="1"/>
  <c r="O116" i="2"/>
  <c r="AA116" i="2" s="1"/>
  <c r="AA115" i="2"/>
  <c r="AG115" i="2" s="1"/>
  <c r="AD59" i="2"/>
  <c r="AD74" i="2"/>
  <c r="AG54" i="2"/>
  <c r="AC57" i="2"/>
  <c r="AC60" i="2"/>
  <c r="AD62" i="2"/>
  <c r="AB79" i="2"/>
  <c r="AC91" i="2"/>
  <c r="AD66" i="2"/>
  <c r="AC79" i="2"/>
  <c r="AC88" i="2"/>
  <c r="AB109" i="2"/>
  <c r="P115" i="2"/>
  <c r="B119" i="2"/>
  <c r="B135" i="2" s="1"/>
  <c r="P135" i="2" s="1"/>
  <c r="G119" i="2"/>
  <c r="G135" i="2" s="1"/>
  <c r="T135" i="2" s="1"/>
  <c r="K119" i="2"/>
  <c r="K121" i="2" s="1"/>
  <c r="O119" i="2"/>
  <c r="O121" i="2" s="1"/>
  <c r="AB52" i="2"/>
  <c r="AB53" i="2"/>
  <c r="AF53" i="2"/>
  <c r="AE55" i="2"/>
  <c r="AD57" i="2"/>
  <c r="AE57" i="2"/>
  <c r="AF59" i="2"/>
  <c r="AG60" i="2"/>
  <c r="AG61" i="2"/>
  <c r="AE62" i="2"/>
  <c r="AG63" i="2"/>
  <c r="AG64" i="2"/>
  <c r="AC67" i="2"/>
  <c r="AD72" i="2"/>
  <c r="AG73" i="2"/>
  <c r="AB74" i="2"/>
  <c r="AF74" i="2"/>
  <c r="AB78" i="2"/>
  <c r="AD78" i="2"/>
  <c r="AG82" i="2"/>
  <c r="AD82" i="2"/>
  <c r="AG87" i="2"/>
  <c r="AD92" i="2"/>
  <c r="AG93" i="2"/>
  <c r="AB96" i="2"/>
  <c r="AD98" i="2"/>
  <c r="AE107" i="2"/>
  <c r="AC108" i="2"/>
  <c r="AC109" i="2"/>
  <c r="AF60" i="2"/>
  <c r="AF64" i="2"/>
  <c r="AC72" i="2"/>
  <c r="AC86" i="2"/>
  <c r="AD88" i="2"/>
  <c r="AF91" i="2"/>
  <c r="AE98" i="2"/>
  <c r="AC107" i="2"/>
  <c r="AG109" i="2"/>
  <c r="AF113" i="2"/>
  <c r="AC114" i="2"/>
  <c r="X10" i="2"/>
  <c r="AE52" i="2"/>
  <c r="AC52" i="2"/>
  <c r="AG52" i="2"/>
  <c r="AE53" i="2"/>
  <c r="AC53" i="2"/>
  <c r="AG53" i="2"/>
  <c r="AG55" i="2"/>
  <c r="AF55" i="2"/>
  <c r="AC58" i="2"/>
  <c r="AC59" i="2"/>
  <c r="AB60" i="2"/>
  <c r="AC61" i="2"/>
  <c r="AC62" i="2"/>
  <c r="AC64" i="2"/>
  <c r="AB66" i="2"/>
  <c r="AB68" i="2"/>
  <c r="AG68" i="2"/>
  <c r="AE68" i="2"/>
  <c r="AF72" i="2"/>
  <c r="AC75" i="2"/>
  <c r="AG79" i="2"/>
  <c r="AB80" i="2"/>
  <c r="AG80" i="2"/>
  <c r="AC81" i="2"/>
  <c r="AC85" i="2"/>
  <c r="AF85" i="2"/>
  <c r="AB91" i="2"/>
  <c r="AC93" i="2"/>
  <c r="AF94" i="2"/>
  <c r="AC95" i="2"/>
  <c r="AC97" i="2"/>
  <c r="AB97" i="2"/>
  <c r="AC98" i="2"/>
  <c r="AF107" i="2"/>
  <c r="G116" i="2"/>
  <c r="T116" i="2" s="1"/>
  <c r="AB117" i="2"/>
  <c r="AC10" i="2"/>
  <c r="AE11" i="2"/>
  <c r="AG10" i="2"/>
  <c r="AE10" i="2"/>
  <c r="T42" i="2"/>
  <c r="T43" i="2" s="1"/>
  <c r="AF37" i="2"/>
  <c r="U42" i="2"/>
  <c r="U43" i="2" s="1"/>
  <c r="AG37" i="2"/>
  <c r="AB37" i="2"/>
  <c r="AC37" i="2"/>
  <c r="AK35" i="2"/>
  <c r="Q42" i="2"/>
  <c r="Q43" i="2" s="1"/>
  <c r="AE36" i="2"/>
  <c r="AG34" i="2"/>
  <c r="AC34" i="2"/>
  <c r="AD33" i="2"/>
  <c r="AF33" i="2"/>
  <c r="S42" i="2"/>
  <c r="S43" i="2" s="1"/>
  <c r="AE29" i="2"/>
  <c r="AF29" i="2"/>
  <c r="AB29" i="2"/>
  <c r="AC29" i="2"/>
  <c r="AG26" i="2"/>
  <c r="AF25" i="2"/>
  <c r="AB25" i="2"/>
  <c r="AE23" i="2"/>
  <c r="AF23" i="2"/>
  <c r="AD23" i="2"/>
  <c r="AB23" i="2"/>
  <c r="AF22" i="2"/>
  <c r="AB22" i="2"/>
  <c r="AG22" i="2"/>
  <c r="AF21" i="2"/>
  <c r="AG20" i="2"/>
  <c r="AF18" i="2"/>
  <c r="AE18" i="2"/>
  <c r="AC17" i="2"/>
  <c r="AB17" i="2"/>
  <c r="AG16" i="2"/>
  <c r="AC16" i="2"/>
  <c r="AD16" i="2"/>
  <c r="AC15" i="2"/>
  <c r="AG15" i="2"/>
  <c r="AE14" i="2"/>
  <c r="F119" i="2"/>
  <c r="F135" i="2" s="1"/>
  <c r="S135" i="2" s="1"/>
  <c r="AD13" i="2"/>
  <c r="AE13" i="2"/>
  <c r="AF13" i="2"/>
  <c r="P38" i="2"/>
  <c r="T38" i="2"/>
  <c r="AF38" i="2" s="1"/>
  <c r="G41" i="2"/>
  <c r="AD21" i="2"/>
  <c r="AD22" i="2"/>
  <c r="H119" i="2"/>
  <c r="H41" i="2"/>
  <c r="U38" i="2"/>
  <c r="X51" i="2"/>
  <c r="AF52" i="2"/>
  <c r="E9" i="2"/>
  <c r="AI16" i="2"/>
  <c r="AB16" i="2"/>
  <c r="AD25" i="2"/>
  <c r="AI11" i="2"/>
  <c r="AD14" i="2"/>
  <c r="AD18" i="2"/>
  <c r="AD20" i="2"/>
  <c r="AD24" i="2"/>
  <c r="W42" i="2"/>
  <c r="W43" i="2" s="1"/>
  <c r="R42" i="2"/>
  <c r="AE31" i="2"/>
  <c r="AD15" i="2"/>
  <c r="AI21" i="2"/>
  <c r="AB21" i="2"/>
  <c r="AI22" i="2"/>
  <c r="AF58" i="2"/>
  <c r="AF62" i="2"/>
  <c r="AF70" i="2"/>
  <c r="AF84" i="2"/>
  <c r="AK19" i="2"/>
  <c r="AI15" i="2"/>
  <c r="AI24" i="2"/>
  <c r="AD26" i="2"/>
  <c r="X45" i="2"/>
  <c r="AG31" i="2"/>
  <c r="AD34" i="2"/>
  <c r="AI36" i="2"/>
  <c r="AJ36" i="2" s="1"/>
  <c r="AA42" i="2"/>
  <c r="AA43" i="2" s="1"/>
  <c r="AD61" i="2"/>
  <c r="AD68" i="2"/>
  <c r="AF73" i="2"/>
  <c r="AD76" i="2"/>
  <c r="AB77" i="2"/>
  <c r="AD107" i="2"/>
  <c r="L42" i="2"/>
  <c r="X31" i="2"/>
  <c r="AI31" i="2" s="1"/>
  <c r="AJ31" i="2" s="1"/>
  <c r="AK31" i="2" s="1"/>
  <c r="AI33" i="2"/>
  <c r="AJ33" i="2" s="1"/>
  <c r="AI34" i="2"/>
  <c r="AJ34" i="2" s="1"/>
  <c r="AD36" i="2"/>
  <c r="D119" i="2"/>
  <c r="D41" i="2"/>
  <c r="AF54" i="2"/>
  <c r="AD55" i="2"/>
  <c r="AC56" i="2"/>
  <c r="AC66" i="2"/>
  <c r="AF77" i="2"/>
  <c r="AI18" i="2"/>
  <c r="AJ19" i="2"/>
  <c r="AI23" i="2"/>
  <c r="AI25" i="2"/>
  <c r="AB31" i="2"/>
  <c r="AF31" i="2"/>
  <c r="Y38" i="2"/>
  <c r="AE38" i="2" s="1"/>
  <c r="F41" i="2"/>
  <c r="N41" i="2"/>
  <c r="R45" i="2"/>
  <c r="L115" i="2"/>
  <c r="L116" i="2" s="1"/>
  <c r="AC65" i="2"/>
  <c r="AG66" i="2"/>
  <c r="AC83" i="2"/>
  <c r="AD86" i="2"/>
  <c r="AE86" i="2"/>
  <c r="N119" i="2"/>
  <c r="V38" i="2"/>
  <c r="R77" i="2"/>
  <c r="AF90" i="2"/>
  <c r="AI13" i="2"/>
  <c r="AA38" i="2"/>
  <c r="AF71" i="2"/>
  <c r="AC73" i="2"/>
  <c r="AC77" i="2"/>
  <c r="AG86" i="2"/>
  <c r="AG92" i="2"/>
  <c r="AF111" i="2"/>
  <c r="T151" i="2"/>
  <c r="AF151" i="2" s="1"/>
  <c r="E151" i="2"/>
  <c r="R151" i="2" s="1"/>
  <c r="AB113" i="2"/>
  <c r="X145" i="2"/>
  <c r="V145" i="2"/>
  <c r="AF149" i="2"/>
  <c r="V153" i="2"/>
  <c r="K150" i="2"/>
  <c r="AC113" i="2"/>
  <c r="V115" i="2"/>
  <c r="I116" i="2"/>
  <c r="V116" i="2" s="1"/>
  <c r="Q115" i="2"/>
  <c r="M116" i="2"/>
  <c r="Y116" i="2" s="1"/>
  <c r="AG117" i="2"/>
  <c r="AC149" i="2"/>
  <c r="Y150" i="2"/>
  <c r="W153" i="2"/>
  <c r="AC153" i="2" s="1"/>
  <c r="V146" i="2"/>
  <c r="AB146" i="2" s="1"/>
  <c r="R149" i="2"/>
  <c r="P152" i="2"/>
  <c r="P153" i="2"/>
  <c r="V148" i="2"/>
  <c r="L149" i="2"/>
  <c r="V147" i="2"/>
  <c r="AB147" i="2" s="1"/>
  <c r="AE151" i="2"/>
  <c r="Z115" i="2"/>
  <c r="AF115" i="2" s="1"/>
  <c r="I135" i="2" l="1"/>
  <c r="V135" i="2" s="1"/>
  <c r="AD152" i="2"/>
  <c r="AI152" i="2" s="1"/>
  <c r="M135" i="2"/>
  <c r="Y135" i="2" s="1"/>
  <c r="AH9" i="2"/>
  <c r="AD151" i="2"/>
  <c r="AI151" i="2" s="1"/>
  <c r="E150" i="2"/>
  <c r="R150" i="2" s="1"/>
  <c r="AE150" i="2"/>
  <c r="AB152" i="2"/>
  <c r="AG150" i="2"/>
  <c r="B148" i="2"/>
  <c r="P148" i="2" s="1"/>
  <c r="AB148" i="2" s="1"/>
  <c r="AD145" i="2"/>
  <c r="E38" i="2"/>
  <c r="E41" i="2" s="1"/>
  <c r="AB153" i="2"/>
  <c r="AB145" i="2"/>
  <c r="L150" i="2"/>
  <c r="X150" i="2" s="1"/>
  <c r="Y119" i="2"/>
  <c r="Y121" i="2" s="1"/>
  <c r="P119" i="2"/>
  <c r="P121" i="2" s="1"/>
  <c r="V119" i="2"/>
  <c r="V121" i="2" s="1"/>
  <c r="AC115" i="2"/>
  <c r="B121" i="2"/>
  <c r="T119" i="2"/>
  <c r="T121" i="2" s="1"/>
  <c r="G121" i="2"/>
  <c r="AD10" i="2"/>
  <c r="L43" i="2"/>
  <c r="W119" i="2"/>
  <c r="W121" i="2" s="1"/>
  <c r="K135" i="2"/>
  <c r="W135" i="2" s="1"/>
  <c r="AA119" i="2"/>
  <c r="AA121" i="2" s="1"/>
  <c r="X29" i="2"/>
  <c r="L38" i="2"/>
  <c r="L41" i="2" s="1"/>
  <c r="O135" i="2"/>
  <c r="AA135" i="2" s="1"/>
  <c r="R43" i="2"/>
  <c r="AB115" i="2"/>
  <c r="S119" i="2"/>
  <c r="S121" i="2" s="1"/>
  <c r="F121" i="2"/>
  <c r="AB135" i="2"/>
  <c r="AG38" i="2"/>
  <c r="R53" i="2"/>
  <c r="AD53" i="2" s="1"/>
  <c r="U119" i="2"/>
  <c r="U121" i="2" s="1"/>
  <c r="H135" i="2"/>
  <c r="U135" i="2" s="1"/>
  <c r="H121" i="2"/>
  <c r="X149" i="2"/>
  <c r="AD149" i="2" s="1"/>
  <c r="I149" i="2"/>
  <c r="V149" i="2" s="1"/>
  <c r="N135" i="2"/>
  <c r="Z135" i="2" s="1"/>
  <c r="AF135" i="2" s="1"/>
  <c r="Z119" i="2"/>
  <c r="Z121" i="2" s="1"/>
  <c r="N121" i="2"/>
  <c r="X115" i="2"/>
  <c r="X116" i="2"/>
  <c r="AE135" i="2"/>
  <c r="Q119" i="2"/>
  <c r="Q121" i="2" s="1"/>
  <c r="D135" i="2"/>
  <c r="Q135" i="2" s="1"/>
  <c r="D121" i="2"/>
  <c r="AD31" i="2"/>
  <c r="X42" i="2"/>
  <c r="Q151" i="2"/>
  <c r="AC151" i="2" s="1"/>
  <c r="P151" i="2"/>
  <c r="AB151" i="2" s="1"/>
  <c r="W150" i="2"/>
  <c r="AB38" i="2"/>
  <c r="AD150" i="2" l="1"/>
  <c r="AI150" i="2" s="1"/>
  <c r="I150" i="2"/>
  <c r="V150" i="2" s="1"/>
  <c r="R38" i="2"/>
  <c r="E119" i="2"/>
  <c r="E135" i="2" s="1"/>
  <c r="R135" i="2" s="1"/>
  <c r="R116" i="2"/>
  <c r="X43" i="2"/>
  <c r="AC135" i="2"/>
  <c r="X38" i="2"/>
  <c r="AI38" i="2" s="1"/>
  <c r="AJ38" i="2" s="1"/>
  <c r="L119" i="2"/>
  <c r="AI29" i="2"/>
  <c r="AJ29" i="2" s="1"/>
  <c r="AD29" i="2"/>
  <c r="AG135" i="2"/>
  <c r="Q150" i="2"/>
  <c r="AC150" i="2" s="1"/>
  <c r="B150" i="2"/>
  <c r="P150" i="2" s="1"/>
  <c r="AB149" i="2"/>
  <c r="V155" i="2"/>
  <c r="R115" i="2"/>
  <c r="AD115" i="2" s="1"/>
  <c r="AB150" i="2" l="1"/>
  <c r="R119" i="2"/>
  <c r="R121" i="2" s="1"/>
  <c r="E121" i="2"/>
  <c r="L135" i="2"/>
  <c r="X135" i="2" s="1"/>
  <c r="AD135" i="2" s="1"/>
  <c r="L121" i="2"/>
  <c r="X119" i="2"/>
  <c r="X121" i="2" s="1"/>
  <c r="AD38" i="2"/>
</calcChain>
</file>

<file path=xl/sharedStrings.xml><?xml version="1.0" encoding="utf-8"?>
<sst xmlns="http://schemas.openxmlformats.org/spreadsheetml/2006/main" count="1376" uniqueCount="432">
  <si>
    <t>млн.руб.</t>
  </si>
  <si>
    <t>№ п/п</t>
  </si>
  <si>
    <t>2013 года</t>
  </si>
  <si>
    <t>Значение интегрального (итогового) показателя оценки эффективности по ГП АО (%)</t>
  </si>
  <si>
    <t>Уточненная бюджетная роспись по состоянию на 31.12.2013</t>
  </si>
  <si>
    <t>Доведено финансирование на 31.12.2013</t>
  </si>
  <si>
    <t>исполнено на 31.12.2013</t>
  </si>
  <si>
    <t>% исполнения к бюджетной росписи</t>
  </si>
  <si>
    <t>Уточненная бюджетная роспись по состоянию на 31.12.2014</t>
  </si>
  <si>
    <t>Доведено финансирование на 31.12.2014</t>
  </si>
  <si>
    <t>Доведено финансирование на 31.12.2015</t>
  </si>
  <si>
    <t>Развитие здравоохранения Архангельской области на 2013 – 2020 годы</t>
  </si>
  <si>
    <t>Культура Русского Севера (2013 – 2020 годы)</t>
  </si>
  <si>
    <t>Обеспечение качественным, доступным жильем и объектами инженерной инфраструктуры населения Архангельской области (2014 – 2020 годы)</t>
  </si>
  <si>
    <t>Содействие занятости населения Архангельской области, улучшение условий и охраны труда (2014 – 2020 годы)</t>
  </si>
  <si>
    <t>Охрана окружающей среды, воспроизводство и использование природных ресурсов Архангельской области (2014 – 2020 годы)</t>
  </si>
  <si>
    <t>Патриотическое воспитание, развитие физической культуры, спорта, туризма и повышение эффективности реализации молодежной политики в Архангельской области (2014 – 2020 годы)</t>
  </si>
  <si>
    <t>Экономическое развитие и инвестиционная деятельность в Архангельской области (2014 – 2020 годы)</t>
  </si>
  <si>
    <t>Развитие торговли в Архангельской области (2014 – 2020 годы)</t>
  </si>
  <si>
    <t>Развитие лесного комплекса Архангельской области (2014 – 2020 годы)</t>
  </si>
  <si>
    <t>Развитие энергетики, связи и жилищно-коммунального хозяйства Архангельской области (2014-2020 годы),</t>
  </si>
  <si>
    <t>Развитие местного самоуправления в Архангельской области и государственная поддержка социально ориентированных некоммерческих организаций (2014 – 2020 годы)</t>
  </si>
  <si>
    <t>Развитие транспортной системы Архангельской области (2014 – 2020 годы)</t>
  </si>
  <si>
    <t>Развитие инфраструктуры Соловецкого архипелага (2014 – 2019 годы)</t>
  </si>
  <si>
    <t>ИТОГО по государственным программам Архангельской области</t>
  </si>
  <si>
    <t>х</t>
  </si>
  <si>
    <t>2015 год</t>
  </si>
  <si>
    <t>Уточненная бюджетная роспись по состоянию на 31.12.2015</t>
  </si>
  <si>
    <t>А</t>
  </si>
  <si>
    <t>Налог на прибыль организаций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</si>
  <si>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</si>
  <si>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</si>
  <si>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</si>
  <si>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Государственная пошлина</t>
  </si>
  <si>
    <t>Административные платежи и сборы</t>
  </si>
  <si>
    <t>Прочие неналоговые доходы</t>
  </si>
  <si>
    <t>Показатели</t>
  </si>
  <si>
    <t>Процент выполнения (%)</t>
  </si>
  <si>
    <t>Консоли-дирован-ный бюджет области</t>
  </si>
  <si>
    <t>в том числе бюджеты:</t>
  </si>
  <si>
    <t>из них бюджеты:</t>
  </si>
  <si>
    <t>суммы подлежащие исключению</t>
  </si>
  <si>
    <t>област-ной</t>
  </si>
  <si>
    <t>консоли-дирован-ные бюджеты МО</t>
  </si>
  <si>
    <t>в т.ч.:</t>
  </si>
  <si>
    <t>город-ские</t>
  </si>
  <si>
    <t>район-ные</t>
  </si>
  <si>
    <t>поселе-ний</t>
  </si>
  <si>
    <t>посе-лений</t>
  </si>
  <si>
    <t>1</t>
  </si>
  <si>
    <t>2</t>
  </si>
  <si>
    <t>3</t>
  </si>
  <si>
    <t>7</t>
  </si>
  <si>
    <t>8</t>
  </si>
  <si>
    <t>9</t>
  </si>
  <si>
    <t>13=7/1*100</t>
  </si>
  <si>
    <t>14=8/2*100</t>
  </si>
  <si>
    <t>15=9/3*100</t>
  </si>
  <si>
    <t>16=10/4*100</t>
  </si>
  <si>
    <t>17=11/5*100</t>
  </si>
  <si>
    <t>18=12/6*100</t>
  </si>
  <si>
    <t>ДОХОДЫ (по форме 0503317)</t>
  </si>
  <si>
    <t>Доходы бюджета - ИТОГО - спрятать</t>
  </si>
  <si>
    <t>Налоговые и неналоговые доходы, из них:</t>
  </si>
  <si>
    <t>-</t>
  </si>
  <si>
    <t>Налог на доходы физических лиц</t>
  </si>
  <si>
    <t>Акцизы</t>
  </si>
  <si>
    <t>Задолженность и перерасчеты по отмененным налогам, сборам и иным обязательным платежам</t>
  </si>
  <si>
    <t>Доходы от оказания платных услуг (работ) и компенсации затрат государства</t>
  </si>
  <si>
    <t>Доходы от продажи активов</t>
  </si>
  <si>
    <t>Штрафные санкции</t>
  </si>
  <si>
    <t xml:space="preserve"> - из них: невыясненные поступления</t>
  </si>
  <si>
    <t>Поступления (перечисления) по урегулированию расчетов между бюджетами</t>
  </si>
  <si>
    <t>Безвозмездные поступления, в т.ч.:</t>
  </si>
  <si>
    <t>1. От нерезидентов</t>
  </si>
  <si>
    <t>1. От других бюджетов</t>
  </si>
  <si>
    <t>2. Безвозмездные поступления от государственных (муниципальных) организаций</t>
  </si>
  <si>
    <t>3. Безвозмездные поступления от негосударственных  организаций</t>
  </si>
  <si>
    <t>4. Прочие безвозмездные поступления</t>
  </si>
  <si>
    <t>5. Перечисления для осуществления возврата (зачета) излишне уплаченных или излишне взысканных сумм налогов, сборов 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</si>
  <si>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7. Возврат целевых остатков прошлых лет</t>
  </si>
  <si>
    <t>Контроль - спрятать</t>
  </si>
  <si>
    <t>Итого безвозмездные</t>
  </si>
  <si>
    <t>Отклонение</t>
  </si>
  <si>
    <t>Отклонения в доходах получено поселениями от районов и в расходах - отдано в районах межбюджетных</t>
  </si>
  <si>
    <t>посе-ле-ний</t>
  </si>
  <si>
    <t>РАСХОДЫ (по форме 0503317)</t>
  </si>
  <si>
    <r>
      <t xml:space="preserve">Расходы - </t>
    </r>
    <r>
      <rPr>
        <b/>
        <sz val="10"/>
        <color indexed="10"/>
        <rFont val="Arial"/>
        <family val="2"/>
        <charset val="204"/>
      </rPr>
      <t>спрятать</t>
    </r>
  </si>
  <si>
    <t>Общегосударственные вопросы (01)</t>
  </si>
  <si>
    <t>в т.ч. межбюджетные трансферты</t>
  </si>
  <si>
    <t>Национальная оборона (02)</t>
  </si>
  <si>
    <t>Национальная безопасность и правоохранительная деятельность (03)</t>
  </si>
  <si>
    <t>Национальная экономика (04), из них:</t>
  </si>
  <si>
    <t xml:space="preserve"> - общеэкономические вопросы (0401)</t>
  </si>
  <si>
    <t xml:space="preserve"> - топливно-энергетический комплекс (0402)</t>
  </si>
  <si>
    <t xml:space="preserve">   в т.ч межбюджетные трансферты</t>
  </si>
  <si>
    <t xml:space="preserve"> - сельское хозяйство и рыболовство (0405)</t>
  </si>
  <si>
    <t xml:space="preserve"> - водное хозяйство (0406)</t>
  </si>
  <si>
    <t xml:space="preserve"> - лесное хозяйство (0407)</t>
  </si>
  <si>
    <t xml:space="preserve"> - транспорт (0408)</t>
  </si>
  <si>
    <t xml:space="preserve"> - дорожное хозяйство, фонды (0409)</t>
  </si>
  <si>
    <t xml:space="preserve"> - связь и информатика (0410)</t>
  </si>
  <si>
    <t xml:space="preserve"> - другие вопросы в области национальной экономики (0412)</t>
  </si>
  <si>
    <t>Жилищно-коммунальное хозяйство (05), из них:</t>
  </si>
  <si>
    <t xml:space="preserve"> - жилищное хозяйство (0501)</t>
  </si>
  <si>
    <t xml:space="preserve"> - коммунальное хозяйство (0502)</t>
  </si>
  <si>
    <t xml:space="preserve"> - благоустройство (0503)</t>
  </si>
  <si>
    <t xml:space="preserve"> - другие вопросы в области жилищно-коммунального хозяйства (0505)</t>
  </si>
  <si>
    <t>Охрана окружающей среды (06)</t>
  </si>
  <si>
    <t>Образование (07)</t>
  </si>
  <si>
    <t>Культура, кинематография (08)</t>
  </si>
  <si>
    <t>Здравоохранение (09), из них:</t>
  </si>
  <si>
    <t xml:space="preserve"> - стационарная медицинская помощь (0901)</t>
  </si>
  <si>
    <t xml:space="preserve"> - амбулаторная помощь (0902)</t>
  </si>
  <si>
    <t xml:space="preserve"> - другие вопросы в области здравоохранения (0909)</t>
  </si>
  <si>
    <t>Физическая культура и спорт (1100)</t>
  </si>
  <si>
    <t>Средства массовой информации (1200)</t>
  </si>
  <si>
    <t>Обслуживание гос. и муниципального долга (1300)</t>
  </si>
  <si>
    <t>Межбюджетные трансферты общего характера (1400)</t>
  </si>
  <si>
    <t xml:space="preserve"> -  дотации на выравнивание бюджетной обеспеченности</t>
  </si>
  <si>
    <t xml:space="preserve"> - иные дотации</t>
  </si>
  <si>
    <t xml:space="preserve"> - прочие межбюджетные трансферты общего характера</t>
  </si>
  <si>
    <t>ВСЕГО РАСХОДЫ</t>
  </si>
  <si>
    <t>контроль - спрятать</t>
  </si>
  <si>
    <t>контроль межбюджетных - спрятать</t>
  </si>
  <si>
    <t>РЕЗУЛЬТАТ ИСПОЛНЕНИЯ БЮДЖЕТОВ:                   дефицит (-),  профицит (+)</t>
  </si>
  <si>
    <t>результат по отчету - спрятать</t>
  </si>
  <si>
    <t>Контроль результата - спрятать</t>
  </si>
  <si>
    <t>Источники финансирования дефицита бюджетов (по форме 0503317), в т.ч.:</t>
  </si>
  <si>
    <t>Кредиты кредитных организаций (оборот)</t>
  </si>
  <si>
    <t>Бюджетные кредиты (оборот)</t>
  </si>
  <si>
    <t>Средства от продажи акций и иных форм участия в капитале</t>
  </si>
  <si>
    <t>Исполнение государственных и муниципальных гарантий</t>
  </si>
  <si>
    <t>Возврат бюджетных кредитов</t>
  </si>
  <si>
    <t>Операции по управлению остатками средств на единых счетах бюджетов (оборот)</t>
  </si>
  <si>
    <t>Изменение остатков средств бюджетов (оборот)</t>
  </si>
  <si>
    <t>СПРАВОЧНО:</t>
  </si>
  <si>
    <t>Показатели на 01.01.2016 год (руб.)</t>
  </si>
  <si>
    <t>Показатели на 01.01.2016 года (млн.руб.)</t>
  </si>
  <si>
    <t>Изменение (+/-), млн.руб.</t>
  </si>
  <si>
    <t>Остатки на счетах бюджета (сч. 202.10 ф. 0503320), из них:</t>
  </si>
  <si>
    <t xml:space="preserve">  целевые (ф. 0503387), в т.ч.:</t>
  </si>
  <si>
    <t xml:space="preserve">         - федерального бюджета</t>
  </si>
  <si>
    <t xml:space="preserve">         - областного бюджета</t>
  </si>
  <si>
    <t>Внутренний долг, в т.ч.:</t>
  </si>
  <si>
    <t xml:space="preserve"> - по бюджетным кредитам</t>
  </si>
  <si>
    <t xml:space="preserve"> - по кредитам кредитных организаций</t>
  </si>
  <si>
    <t xml:space="preserve"> - по выданным гарантиям</t>
  </si>
  <si>
    <t>Наименование</t>
  </si>
  <si>
    <t>% выполнения</t>
  </si>
  <si>
    <t>Итого</t>
  </si>
  <si>
    <t>%</t>
  </si>
  <si>
    <t>Просроченная кредиторская задолженность (ф. 0503369)</t>
  </si>
  <si>
    <t>Консолидированные бюджеты</t>
  </si>
  <si>
    <t>Доходы</t>
  </si>
  <si>
    <t>Расходы</t>
  </si>
  <si>
    <t>Результат исполнения (дефицит "-", профицит "+")</t>
  </si>
  <si>
    <t>назначено на год</t>
  </si>
  <si>
    <t>исполнено</t>
  </si>
  <si>
    <t>Всего</t>
  </si>
  <si>
    <t>в т.ч. целевых</t>
  </si>
  <si>
    <t>3=2/1</t>
  </si>
  <si>
    <t>4</t>
  </si>
  <si>
    <t>5=4/3</t>
  </si>
  <si>
    <t>6</t>
  </si>
  <si>
    <t>10</t>
  </si>
  <si>
    <t>11</t>
  </si>
  <si>
    <t>12</t>
  </si>
  <si>
    <t>Вельский район</t>
  </si>
  <si>
    <t>Верхнетоемский район</t>
  </si>
  <si>
    <t>Вилегодский район</t>
  </si>
  <si>
    <t>Виноградовский район</t>
  </si>
  <si>
    <t>Каргопольский район</t>
  </si>
  <si>
    <t>Коношский район</t>
  </si>
  <si>
    <t>Котласский район</t>
  </si>
  <si>
    <t>Красноборский район</t>
  </si>
  <si>
    <t>Ленский район</t>
  </si>
  <si>
    <t>Лешуконский район</t>
  </si>
  <si>
    <t>Мезенский район</t>
  </si>
  <si>
    <t>Няндомский район</t>
  </si>
  <si>
    <t>Онежский район</t>
  </si>
  <si>
    <t>Пинежский район</t>
  </si>
  <si>
    <t>Плесецкий район</t>
  </si>
  <si>
    <t>Приморский район</t>
  </si>
  <si>
    <t>Устьянский район</t>
  </si>
  <si>
    <t>Холмогорский район</t>
  </si>
  <si>
    <t>Шенкурский район</t>
  </si>
  <si>
    <t>Город Архангельск</t>
  </si>
  <si>
    <t>Северодвинск</t>
  </si>
  <si>
    <t>Котлас</t>
  </si>
  <si>
    <t>Город Новодвинск</t>
  </si>
  <si>
    <t>Город Коряжма</t>
  </si>
  <si>
    <t>Мирный</t>
  </si>
  <si>
    <t>Новая Земля</t>
  </si>
  <si>
    <t>Итого по МО</t>
  </si>
  <si>
    <t>из них:</t>
  </si>
  <si>
    <t>налог на доходы физических лиц</t>
  </si>
  <si>
    <t>5</t>
  </si>
  <si>
    <t>Рост, снижение в %</t>
  </si>
  <si>
    <t>на 01.01.2016</t>
  </si>
  <si>
    <t>Исполнено на 31.12.2015</t>
  </si>
  <si>
    <t>Исполнено за 2015 год</t>
  </si>
  <si>
    <t>7=4-1</t>
  </si>
  <si>
    <t>8=5-2</t>
  </si>
  <si>
    <t>9=6-3</t>
  </si>
  <si>
    <t>10=4/1*100-100</t>
  </si>
  <si>
    <t>11=5/2*100-100</t>
  </si>
  <si>
    <t>12=6/3*100-100</t>
  </si>
  <si>
    <t>Налоги на имущество, из них:</t>
  </si>
  <si>
    <t xml:space="preserve">  - налог на имущество физических лиц</t>
  </si>
  <si>
    <t xml:space="preserve">  - налог на имущество организаций</t>
  </si>
  <si>
    <t xml:space="preserve">  - транспортный налог</t>
  </si>
  <si>
    <t xml:space="preserve">  - земельный налог</t>
  </si>
  <si>
    <t>Налоги, сборы и регулярные платежи за пользование природными ресурсами, из них:</t>
  </si>
  <si>
    <t xml:space="preserve">  - налог на добычу полезных ископаемых в виде природных алмазов</t>
  </si>
  <si>
    <t xml:space="preserve">  - плата за негативное воздействие на окружающую среду</t>
  </si>
  <si>
    <t xml:space="preserve">  - платежи при пользовании недрами</t>
  </si>
  <si>
    <t xml:space="preserve">  - плата за использование лесов</t>
  </si>
  <si>
    <t xml:space="preserve">  - доходы от оказания платных услуг (работ)</t>
  </si>
  <si>
    <t xml:space="preserve">  -доходы от компенсации затрат государства</t>
  </si>
  <si>
    <t>Приложение № 1</t>
  </si>
  <si>
    <t>Приложение № 1.1</t>
  </si>
  <si>
    <t>6. Доходы от возврата целевых остатков прошлых лет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</si>
  <si>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</si>
  <si>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</si>
  <si>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Штрафы, санкции, возмещение ущерба</t>
  </si>
  <si>
    <t>Социальная политика (1000), из них:</t>
  </si>
  <si>
    <t xml:space="preserve"> - социальное обслуживание населения (1002)</t>
  </si>
  <si>
    <t xml:space="preserve"> - социальное обеспечение населения (1003)</t>
  </si>
  <si>
    <t xml:space="preserve"> - охрана семьи и детства (1004)</t>
  </si>
  <si>
    <t>Утверждено по отчету на 2016 год (руб.)</t>
  </si>
  <si>
    <t>Исполнено за 2016 год (руб.)</t>
  </si>
  <si>
    <t>Утверждено по отчету на 2016 год (млн.руб.)</t>
  </si>
  <si>
    <t>Исполнено 2016 год (млн.руб.)</t>
  </si>
  <si>
    <t>Показатели на 01.01.2017 год (руб.)</t>
  </si>
  <si>
    <t>Показатели на 01.01.2017 года (млн.руб.)</t>
  </si>
  <si>
    <t>Сведения об исполнении консолидированного бюджета Архангельской области за 2016 год, согласно отчету, представленному в Минфин России по ф. 0503317</t>
  </si>
  <si>
    <t>Сведения об исполнении консолидированного бюджета Архангельской области за 2015- 2016 годы</t>
  </si>
  <si>
    <t>Исполнено за 2016 год</t>
  </si>
  <si>
    <t>Рост, снижение к 2015 г. в млн.руб.</t>
  </si>
  <si>
    <t>Платежи при пользовании природными ресурсами, из них:</t>
  </si>
  <si>
    <t>01 00. Общегосударственные вопросы</t>
  </si>
  <si>
    <t>01 02. Функционирование высшего должностного лица субъекта РФ и муниципального образования</t>
  </si>
  <si>
    <t>01 03.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</si>
  <si>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04. Функционирование Правительства РФ, высших исполнительных органов государственной власти субъектов РФ, местных администраций</t>
  </si>
  <si>
    <t>01 05. Судебная система</t>
  </si>
  <si>
    <t>01 06. Обеспечение деятельности финансовых, налоговых и таможенных органов и органов финансового (финансово-бюджетного) надзора</t>
  </si>
  <si>
    <t>01 07. Обеспечение проведения выборов и референдумов</t>
  </si>
  <si>
    <t>01 11. Резервные фонды</t>
  </si>
  <si>
    <t>01 12. Прикладные научные исследования в области общегосударственных вопросов</t>
  </si>
  <si>
    <t>01 13. Другие общегосударственные вопросы</t>
  </si>
  <si>
    <t>02 00. Национальная оборона</t>
  </si>
  <si>
    <t>02 03. Мобилизационная и вневойсковая подготовка</t>
  </si>
  <si>
    <t>03 00. Национальная безопасность и правоохранительная деятельность</t>
  </si>
  <si>
    <t>03 02. Органы внутренних дел</t>
  </si>
  <si>
    <t>03 09. Защита населения и территории от чрезвычайных ситуаций природного и техногенного характера, гражданская оборона</t>
  </si>
  <si>
    <t>03 10. Обеспечение пожарной безопасности</t>
  </si>
  <si>
    <t>03 14. Другие вопросы в области национальной безопасности и правоохранительной деятельности</t>
  </si>
  <si>
    <t>04 00. Национальная экономика</t>
  </si>
  <si>
    <t>04 01. Общеэкономические вопросы</t>
  </si>
  <si>
    <t>04 02. Топливно-энергетический комплекс</t>
  </si>
  <si>
    <t>04 05. Сельское хозяйство и рыболовство</t>
  </si>
  <si>
    <t>04 06. Водное хозяйство</t>
  </si>
  <si>
    <t>04 07. Лесное хозяйство</t>
  </si>
  <si>
    <t>04 08. Транспорт</t>
  </si>
  <si>
    <t>04 09. Дорожное хозяйство (дорожные фонды)</t>
  </si>
  <si>
    <t>04 10. Связь и информатика</t>
  </si>
  <si>
    <t>04 12. Другие вопросы в области национальной экономики</t>
  </si>
  <si>
    <t>05 00. Жилищно-коммунальное хозяйство</t>
  </si>
  <si>
    <t>05 01. Жилищное хозяйство</t>
  </si>
  <si>
    <t>05 02. Комунальное хозяйство</t>
  </si>
  <si>
    <t>05 03. Благоустройство</t>
  </si>
  <si>
    <t>05 05. Другие вопросы в области жилищно-коммунального хозяйства</t>
  </si>
  <si>
    <t>06 00. Охрана окружающей среды</t>
  </si>
  <si>
    <t>06 02. Сбор, удаление отходов и очистка сточных вод</t>
  </si>
  <si>
    <t>06 03. Охрана объектов растительного и животного мира и среды их обитания</t>
  </si>
  <si>
    <t>06 05. Другие вопросы в области охраны окружающей среды</t>
  </si>
  <si>
    <t>07 00. Образование</t>
  </si>
  <si>
    <t>07 01. Дошкольное образование</t>
  </si>
  <si>
    <t>07 02. Общее образование</t>
  </si>
  <si>
    <t>07 04. Среднее профессиональное образование</t>
  </si>
  <si>
    <t>07 05. Профессиональная подготовка, переподготовка и повышение квалификации</t>
  </si>
  <si>
    <t>07 07. Молодежная политика и оздоровление детей</t>
  </si>
  <si>
    <t>07 08. Прикладные научные исследования в области образования</t>
  </si>
  <si>
    <t>07 09. Другие вопросы в области образования</t>
  </si>
  <si>
    <t>08 00. Культура, кинематография</t>
  </si>
  <si>
    <t>08 01. Культура</t>
  </si>
  <si>
    <t>08 04. Другие вопросы в области культуры, кинематографии</t>
  </si>
  <si>
    <t>09 00. Здравоохранение</t>
  </si>
  <si>
    <t>09 01. Стационарная медицинская помощь</t>
  </si>
  <si>
    <t>09 02. Амбулаторная помощь</t>
  </si>
  <si>
    <t>09 04. Скорая медицинская помощь</t>
  </si>
  <si>
    <t>09 05. Санаторно-оздоровительная помощь</t>
  </si>
  <si>
    <t>09 06. Заготовка, переработка, хранение и обеспечение безопасности донорской крови и её компонентов</t>
  </si>
  <si>
    <t>09 09. Другие вопросы в области здравоохранения</t>
  </si>
  <si>
    <t>10 00. Социальная политика</t>
  </si>
  <si>
    <t>10 01. Пенсионное обеспечение</t>
  </si>
  <si>
    <t>10 02. Социальное обслуживание населения</t>
  </si>
  <si>
    <t>10 03.  Социальное обеспечение населения</t>
  </si>
  <si>
    <t>10 04. Охрана семьи и детства</t>
  </si>
  <si>
    <t>10 06. Другие вопросы в области социальной политики</t>
  </si>
  <si>
    <t>11 00. Физическая культура и спорт</t>
  </si>
  <si>
    <t>11 01. Физическая культура</t>
  </si>
  <si>
    <t>11 02. Массовый спорт</t>
  </si>
  <si>
    <t>11 03. Спорт высших достижений</t>
  </si>
  <si>
    <t>11 05. Другие вопросы в области физической культуры и спорта</t>
  </si>
  <si>
    <t>12 00. Средства массовой информации</t>
  </si>
  <si>
    <t>12 02. Периодическая печать и издательства</t>
  </si>
  <si>
    <t>12 04. Другие вопросы в области средств массовой информации</t>
  </si>
  <si>
    <t>13 00. Обслуживание государственного и муниципального долга</t>
  </si>
  <si>
    <t>13 01. Обслуживание государственного внутреннего и муниципального долга</t>
  </si>
  <si>
    <t>14 00. Межбюджетные трансферты общего характера бюджетам субъектов РФ и муниципальных образований</t>
  </si>
  <si>
    <t>14 01. Дотации на выравнивание бюджетной обеспеченности субъектов РФ и муниципальных образований</t>
  </si>
  <si>
    <t>14 02. Иные дотации</t>
  </si>
  <si>
    <t>14 03. Прочие межбюджетные трансферты общего характера</t>
  </si>
  <si>
    <t>09 07. Санитарно-эпидемиологическое благополучие</t>
  </si>
  <si>
    <t>12 01. Телевидение и радиовещание</t>
  </si>
  <si>
    <t>Рост, снижение к 2015 г. в %</t>
  </si>
  <si>
    <t>Остатки средств на 01.01.2017</t>
  </si>
  <si>
    <t>Изменение остатков за год</t>
  </si>
  <si>
    <t>Внутренний долг на 01.01.2017</t>
  </si>
  <si>
    <t>Изменение внутр. долга за год</t>
  </si>
  <si>
    <t>целевые</t>
  </si>
  <si>
    <t>меньше 100% (кол-во)</t>
  </si>
  <si>
    <t>больше 100% (кол-во)</t>
  </si>
  <si>
    <t>в т.ч.</t>
  </si>
  <si>
    <t>субсидии</t>
  </si>
  <si>
    <t>субвенции</t>
  </si>
  <si>
    <t>дотации</t>
  </si>
  <si>
    <t>иные</t>
  </si>
  <si>
    <t>уд. вес.</t>
  </si>
  <si>
    <t>ВСЕГО ДОХОДЫ, из них:</t>
  </si>
  <si>
    <t xml:space="preserve"> - налоговые доходы</t>
  </si>
  <si>
    <t xml:space="preserve"> - неналоговые доходы</t>
  </si>
  <si>
    <t>ВСЕГО ДОХОДЫиз них:</t>
  </si>
  <si>
    <t>в 13 раз</t>
  </si>
  <si>
    <t>Налоговые и неналоговые доходы</t>
  </si>
  <si>
    <t>налоги на совокупный доход</t>
  </si>
  <si>
    <t>налоги на имущество</t>
  </si>
  <si>
    <t>Доходы от использования миущества, находящегося в собственности</t>
  </si>
  <si>
    <t>13</t>
  </si>
  <si>
    <t>14</t>
  </si>
  <si>
    <t>15</t>
  </si>
  <si>
    <t>16</t>
  </si>
  <si>
    <t>17</t>
  </si>
  <si>
    <t>18</t>
  </si>
  <si>
    <t>субси-
дии</t>
  </si>
  <si>
    <t>субвен-
ции</t>
  </si>
  <si>
    <t>дота-
ции</t>
  </si>
  <si>
    <t>в 5,6 р.</t>
  </si>
  <si>
    <t>Остаток, с учетом средств в пути</t>
  </si>
  <si>
    <t>ДОХОДЫ</t>
  </si>
  <si>
    <t>РАСХОДЫ</t>
  </si>
  <si>
    <t>на 01.01.16</t>
  </si>
  <si>
    <t>на 01.01.17</t>
  </si>
  <si>
    <t>Изменения за год</t>
  </si>
  <si>
    <t>План года</t>
  </si>
  <si>
    <t>Исполнено</t>
  </si>
  <si>
    <t>из них: "Заработная плата"</t>
  </si>
  <si>
    <t>бюд-жетные</t>
  </si>
  <si>
    <t>иные цели</t>
  </si>
  <si>
    <t>кап. вложения</t>
  </si>
  <si>
    <t>гос. задание</t>
  </si>
  <si>
    <t>в т.ч. бюд-жетные</t>
  </si>
  <si>
    <t>Областные учреждения</t>
  </si>
  <si>
    <t>Всего по области</t>
  </si>
  <si>
    <t>Дебиторская задолженность</t>
  </si>
  <si>
    <t>Кредиторская задолженность</t>
  </si>
  <si>
    <t>на 01.01.2017</t>
  </si>
  <si>
    <t>ВСЕГО</t>
  </si>
  <si>
    <t>из нее:</t>
  </si>
  <si>
    <t>Всего бюджетная</t>
  </si>
  <si>
    <t>Бюджетная просроченая</t>
  </si>
  <si>
    <t>Бюд-жетные</t>
  </si>
  <si>
    <t>просро-ченная</t>
  </si>
  <si>
    <t>в т.ч. просроченная</t>
  </si>
  <si>
    <t>Минстрой АО</t>
  </si>
  <si>
    <t>Министерство ТЭК и ЖКХ АО</t>
  </si>
  <si>
    <t>Минлеспром АО</t>
  </si>
  <si>
    <t>Минздрав АО</t>
  </si>
  <si>
    <t>Минкультуры АО</t>
  </si>
  <si>
    <t>Минсвязи АО</t>
  </si>
  <si>
    <t>Минобрнауки АО</t>
  </si>
  <si>
    <t>Минагропромторг АО</t>
  </si>
  <si>
    <t>Минтранс АО</t>
  </si>
  <si>
    <t>Минэкономразвития АО</t>
  </si>
  <si>
    <t>Минтрудсоцразвития АО</t>
  </si>
  <si>
    <t>Агентство ГПС и ГЗ АО</t>
  </si>
  <si>
    <t>Агенство по спорту АО</t>
  </si>
  <si>
    <t>Администрация ГАО и ПАО</t>
  </si>
  <si>
    <t>Агентство развития Соловков</t>
  </si>
  <si>
    <t>Агентство по печати и СМИ АО</t>
  </si>
  <si>
    <t>Инспекция по ветнадзору АО</t>
  </si>
  <si>
    <t>Приложение №</t>
  </si>
  <si>
    <t>Сведения о реализации государственных программ Архангельской области за 2015 - 2016 годы</t>
  </si>
  <si>
    <t>2014 года</t>
  </si>
  <si>
    <t>исполнено на 31.12.2014</t>
  </si>
  <si>
    <t>Уточненная бюджетная роспись по состоянию на 31.12.2016</t>
  </si>
  <si>
    <t>Доведено финансирование на 31.12.2016</t>
  </si>
  <si>
    <t>Исполнено на 31.12.2016</t>
  </si>
  <si>
    <t>Развитие образования и науки Архангельской области (2013 – 2020 годы)</t>
  </si>
  <si>
    <t>Социальная поддержка граждан в Архангельской области (2013 – 2020 годы)</t>
  </si>
  <si>
    <t>Развития сельского хозяйства  и регулирования рынков сельскохозяйственной продукции, сырья и продовольствия Архангельской области на 2013 – 2020 годы</t>
  </si>
  <si>
    <t>Обеспечение общественного порядка, профилактика преступности, коррупции, терроризма, экстремизма и незаконного потребления наркотических средств и психотропных веществ в Архангельской области (2014 – 2020 годы)</t>
  </si>
  <si>
    <t>Защита населения и территорий Архангельской области от чрезвычайных ситуаций, обеспечение пожарной безопасности и безопасности на водных объектах (2014 – 2020 годы)</t>
  </si>
  <si>
    <t>Развитие имущественно-земельных отношений Архангельской области (2014 – 2020 годы)</t>
  </si>
  <si>
    <t>Управление государственными финансами и государственным долгом Архангельской области (2014 – 2020 годы)</t>
  </si>
  <si>
    <t>Эффективное государственное управление в Архангельской области (2014 – 2020 годы)</t>
  </si>
  <si>
    <t>Устойчивое развитие сельских территорий Архангельской области (2014 – 2020 годы)</t>
  </si>
  <si>
    <t>2016 год</t>
  </si>
  <si>
    <t>Высокая</t>
  </si>
  <si>
    <t>Значение интегрального (итогового) показателя оценки эффективности по ГП АО</t>
  </si>
  <si>
    <t>Средняя</t>
  </si>
  <si>
    <t>Исполнено за 2015 год, млн.руб.</t>
  </si>
  <si>
    <t>Исполнено за 2016 год, млн.руб.</t>
  </si>
  <si>
    <t>Приложение № 2</t>
  </si>
  <si>
    <t>Приложение № 3</t>
  </si>
  <si>
    <t>Приложение № 4</t>
  </si>
  <si>
    <t>Межбюджетные трансферты из областного бюджета в бюджеты городских округов и муниципальных районов за 2015 и за 2015 годы, согласно отчету по ф. 0503317 "Таблица консолидируемых расчетов", представленному в Минфин России</t>
  </si>
  <si>
    <t>Приложение № 5</t>
  </si>
  <si>
    <t>Приложение № 6</t>
  </si>
  <si>
    <t>Приложение № 7</t>
  </si>
  <si>
    <t>Приложение № 8</t>
  </si>
  <si>
    <t>Приложение № 9</t>
  </si>
  <si>
    <t>тыс.руб.</t>
  </si>
  <si>
    <t>Состояние задолженности государственных бюджетных и автономных учреждений за 2016 год, согласно отчетам по ф 0503769, без учета средств во временном распоряжении</t>
  </si>
  <si>
    <t>Состояние задолженности государственных и муниципальных бюджетных, автономных учреждений за 2016 год, без учета средств во временном распоряжении, согласно отчету по ф. 0503769</t>
  </si>
  <si>
    <t>Выполнение планов финансово-хозяйственной деятельности государственных бюджетных и автономных учреждений за 2016 год, без учета средств во временном распоряжении, в разрезе главных распорядителей, согласно отчетам 0503779 и 0503737</t>
  </si>
  <si>
    <t>Выполнение планов финансово-хозяйственной деятельности государственных, муниципальных бюджетных и автономных учреждений за 2016 год, без учета средств во временном распоряжении, согласно отчетам 0503779 и 0503737</t>
  </si>
  <si>
    <t>Наименование государственной программы</t>
  </si>
  <si>
    <t>Поступление налоговых и неналоговых доходов консолидированных бюджетов муниципальных образований Архангельской области за 2016 год, согласно отчету, представленному в Минфин России по ф. 0503317</t>
  </si>
  <si>
    <t>Сведения об исполнении консолидированных бюджетов муниципальных образований в Архангельской области за 2016 год, согласно отчетам по ф. 0503317 и 0503387, представленным в Минфин России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</si>
</sst>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"/>
    <numFmt numFmtId="165" formatCode="0.0"/>
    <numFmt numFmtId="166" formatCode="#,##0.00_ ;[Red]\-#,##0.00\ "/>
    <numFmt numFmtId="167" formatCode="#,##0.0_ ;[Red]\-#,##0.0\ "/>
    <numFmt numFmtId="168" formatCode="#,##0.000000_ ;[Red]\-#,##0.000000\ "/>
    <numFmt numFmtId="169" formatCode="#,##0.000000000000_ ;[Red]\-#,##0.000000000000\ "/>
    <numFmt numFmtId="170" formatCode="#,##0.00000000000_ ;[Red]\-#,##0.00000000000\ "/>
    <numFmt numFmtId="171" formatCode="#,##0.00000_ ;[Red]\-#,##0.00000\ "/>
  </numFmts>
  <fonts count="32" x14ac:knownFonts="1"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0"/>
      <color indexed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Arial Cyr"/>
      <charset val="204"/>
    </font>
    <font>
      <sz val="8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0"/>
      <color rgb="FFFF0000"/>
      <name val="Arial"/>
      <family val="2"/>
      <charset val="204"/>
    </font>
    <font>
      <i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9"/>
      <color theme="1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65FFAB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4" fontId="16" fillId="0" borderId="30">
      <alignment horizontal="right" shrinkToFit="1"/>
    </xf>
    <xf numFmtId="4" fontId="29" fillId="0" borderId="26">
      <alignment horizontal="right"/>
    </xf>
  </cellStyleXfs>
  <cellXfs count="447">
    <xf numFmtId="0" fontId="0" fillId="0" borderId="0" xfId="0"/>
    <xf numFmtId="0" fontId="6" fillId="0" borderId="12" xfId="1" applyFont="1" applyFill="1" applyBorder="1" applyAlignment="1">
      <alignment horizontal="center" vertical="center" wrapText="1"/>
    </xf>
    <xf numFmtId="0" fontId="7" fillId="2" borderId="10" xfId="1" applyNumberFormat="1" applyFont="1" applyFill="1" applyBorder="1" applyAlignment="1">
      <alignment horizontal="left" vertical="center" wrapText="1"/>
    </xf>
    <xf numFmtId="0" fontId="8" fillId="2" borderId="16" xfId="1" applyNumberFormat="1" applyFont="1" applyFill="1" applyBorder="1" applyAlignment="1">
      <alignment horizontal="left" vertical="center" wrapText="1"/>
    </xf>
    <xf numFmtId="166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166" fontId="7" fillId="0" borderId="0" xfId="0" applyNumberFormat="1" applyFont="1" applyAlignment="1">
      <alignment vertical="center" shrinkToFit="1"/>
    </xf>
    <xf numFmtId="166" fontId="11" fillId="0" borderId="0" xfId="0" applyNumberFormat="1" applyFont="1" applyAlignment="1">
      <alignment vertical="center" shrinkToFi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shrinkToFit="1"/>
    </xf>
    <xf numFmtId="49" fontId="13" fillId="0" borderId="10" xfId="0" applyNumberFormat="1" applyFont="1" applyFill="1" applyBorder="1" applyAlignment="1">
      <alignment horizontal="center" vertical="center" shrinkToFit="1"/>
    </xf>
    <xf numFmtId="4" fontId="13" fillId="0" borderId="10" xfId="0" applyNumberFormat="1" applyFont="1" applyFill="1" applyBorder="1" applyAlignment="1">
      <alignment horizontal="center" vertical="center" shrinkToFit="1"/>
    </xf>
    <xf numFmtId="0" fontId="13" fillId="0" borderId="10" xfId="0" applyFont="1" applyFill="1" applyBorder="1" applyAlignment="1">
      <alignment horizontal="center" vertical="center" shrinkToFit="1"/>
    </xf>
    <xf numFmtId="0" fontId="13" fillId="0" borderId="13" xfId="0" applyFont="1" applyFill="1" applyBorder="1" applyAlignment="1">
      <alignment horizontal="center" vertical="center" shrinkToFit="1"/>
    </xf>
    <xf numFmtId="0" fontId="16" fillId="0" borderId="0" xfId="0" applyFont="1" applyAlignment="1">
      <alignment vertical="center" wrapText="1"/>
    </xf>
    <xf numFmtId="0" fontId="7" fillId="0" borderId="10" xfId="0" applyFont="1" applyBorder="1" applyAlignment="1">
      <alignment vertical="center" wrapText="1"/>
    </xf>
    <xf numFmtId="167" fontId="11" fillId="0" borderId="10" xfId="0" applyNumberFormat="1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17" fillId="0" borderId="8" xfId="0" applyFont="1" applyFill="1" applyBorder="1" applyAlignment="1">
      <alignment vertical="center" wrapText="1"/>
    </xf>
    <xf numFmtId="4" fontId="7" fillId="3" borderId="10" xfId="0" applyNumberFormat="1" applyFont="1" applyFill="1" applyBorder="1" applyAlignment="1">
      <alignment horizontal="right" shrinkToFit="1"/>
    </xf>
    <xf numFmtId="166" fontId="7" fillId="4" borderId="10" xfId="0" applyNumberFormat="1" applyFont="1" applyFill="1" applyBorder="1" applyAlignment="1">
      <alignment horizontal="right" vertical="center" shrinkToFit="1"/>
    </xf>
    <xf numFmtId="4" fontId="7" fillId="3" borderId="14" xfId="0" applyNumberFormat="1" applyFont="1" applyFill="1" applyBorder="1" applyAlignment="1">
      <alignment horizontal="right" shrinkToFit="1"/>
    </xf>
    <xf numFmtId="167" fontId="7" fillId="0" borderId="10" xfId="0" applyNumberFormat="1" applyFont="1" applyBorder="1" applyAlignment="1">
      <alignment vertical="center" wrapText="1"/>
    </xf>
    <xf numFmtId="167" fontId="5" fillId="0" borderId="10" xfId="0" applyNumberFormat="1" applyFont="1" applyBorder="1" applyAlignment="1">
      <alignment vertical="center" wrapText="1"/>
    </xf>
    <xf numFmtId="167" fontId="7" fillId="0" borderId="13" xfId="0" applyNumberFormat="1" applyFont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4" fontId="8" fillId="3" borderId="10" xfId="0" applyNumberFormat="1" applyFont="1" applyFill="1" applyBorder="1" applyAlignment="1">
      <alignment horizontal="right" shrinkToFit="1"/>
    </xf>
    <xf numFmtId="4" fontId="8" fillId="5" borderId="10" xfId="0" applyNumberFormat="1" applyFont="1" applyFill="1" applyBorder="1" applyAlignment="1">
      <alignment horizontal="right" shrinkToFit="1"/>
    </xf>
    <xf numFmtId="167" fontId="8" fillId="0" borderId="10" xfId="0" applyNumberFormat="1" applyFont="1" applyBorder="1" applyAlignment="1">
      <alignment vertical="center" wrapText="1"/>
    </xf>
    <xf numFmtId="167" fontId="8" fillId="0" borderId="13" xfId="0" applyNumberFormat="1" applyFont="1" applyBorder="1" applyAlignment="1">
      <alignment vertical="center" wrapText="1"/>
    </xf>
    <xf numFmtId="168" fontId="8" fillId="0" borderId="0" xfId="0" applyNumberFormat="1" applyFont="1" applyAlignment="1">
      <alignment vertical="center" wrapText="1"/>
    </xf>
    <xf numFmtId="166" fontId="8" fillId="0" borderId="0" xfId="0" applyNumberFormat="1" applyFont="1" applyAlignment="1">
      <alignment vertical="center" wrapText="1"/>
    </xf>
    <xf numFmtId="0" fontId="7" fillId="0" borderId="8" xfId="0" applyFont="1" applyFill="1" applyBorder="1" applyAlignment="1">
      <alignment vertical="center" wrapText="1"/>
    </xf>
    <xf numFmtId="4" fontId="7" fillId="5" borderId="10" xfId="0" applyNumberFormat="1" applyFont="1" applyFill="1" applyBorder="1" applyAlignment="1">
      <alignment horizontal="right" shrinkToFit="1"/>
    </xf>
    <xf numFmtId="167" fontId="5" fillId="0" borderId="10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horizontal="center" vertical="center" wrapText="1"/>
    </xf>
    <xf numFmtId="167" fontId="5" fillId="0" borderId="13" xfId="0" applyNumberFormat="1" applyFont="1" applyBorder="1" applyAlignment="1">
      <alignment vertical="center" wrapText="1"/>
    </xf>
    <xf numFmtId="166" fontId="7" fillId="3" borderId="10" xfId="0" applyNumberFormat="1" applyFont="1" applyFill="1" applyBorder="1" applyAlignment="1">
      <alignment vertical="center" wrapText="1"/>
    </xf>
    <xf numFmtId="4" fontId="7" fillId="6" borderId="10" xfId="0" applyNumberFormat="1" applyFont="1" applyFill="1" applyBorder="1" applyAlignment="1">
      <alignment horizontal="right" shrinkToFit="1"/>
    </xf>
    <xf numFmtId="166" fontId="7" fillId="6" borderId="10" xfId="0" applyNumberFormat="1" applyFont="1" applyFill="1" applyBorder="1" applyAlignment="1">
      <alignment vertical="center" wrapText="1"/>
    </xf>
    <xf numFmtId="167" fontId="7" fillId="0" borderId="13" xfId="0" applyNumberFormat="1" applyFont="1" applyBorder="1" applyAlignment="1">
      <alignment horizontal="center" vertical="center" wrapText="1"/>
    </xf>
    <xf numFmtId="4" fontId="7" fillId="3" borderId="10" xfId="0" applyNumberFormat="1" applyFont="1" applyFill="1" applyBorder="1" applyAlignment="1">
      <alignment horizontal="right" vertical="center" shrinkToFit="1"/>
    </xf>
    <xf numFmtId="169" fontId="7" fillId="0" borderId="0" xfId="0" applyNumberFormat="1" applyFont="1" applyAlignment="1">
      <alignment vertical="center" wrapText="1"/>
    </xf>
    <xf numFmtId="167" fontId="7" fillId="0" borderId="0" xfId="0" applyNumberFormat="1" applyFont="1" applyAlignment="1">
      <alignment vertical="center" wrapText="1"/>
    </xf>
    <xf numFmtId="167" fontId="7" fillId="0" borderId="10" xfId="0" applyNumberFormat="1" applyFont="1" applyFill="1" applyBorder="1" applyAlignment="1">
      <alignment vertical="center" wrapText="1"/>
    </xf>
    <xf numFmtId="167" fontId="7" fillId="0" borderId="10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>
      <alignment vertical="center" wrapText="1"/>
    </xf>
    <xf numFmtId="0" fontId="18" fillId="7" borderId="8" xfId="0" applyFont="1" applyFill="1" applyBorder="1" applyAlignment="1">
      <alignment vertical="center" wrapText="1"/>
    </xf>
    <xf numFmtId="4" fontId="19" fillId="7" borderId="10" xfId="0" applyNumberFormat="1" applyFont="1" applyFill="1" applyBorder="1" applyAlignment="1">
      <alignment horizontal="right" shrinkToFit="1"/>
    </xf>
    <xf numFmtId="4" fontId="19" fillId="7" borderId="14" xfId="0" applyNumberFormat="1" applyFont="1" applyFill="1" applyBorder="1" applyAlignment="1">
      <alignment horizontal="right" shrinkToFit="1"/>
    </xf>
    <xf numFmtId="167" fontId="18" fillId="7" borderId="10" xfId="0" applyNumberFormat="1" applyFont="1" applyFill="1" applyBorder="1" applyAlignment="1">
      <alignment vertical="center" wrapText="1"/>
    </xf>
    <xf numFmtId="167" fontId="18" fillId="7" borderId="13" xfId="0" applyNumberFormat="1" applyFont="1" applyFill="1" applyBorder="1" applyAlignment="1">
      <alignment vertical="center" wrapText="1"/>
    </xf>
    <xf numFmtId="167" fontId="18" fillId="7" borderId="0" xfId="0" applyNumberFormat="1" applyFont="1" applyFill="1" applyAlignment="1">
      <alignment vertical="center" wrapText="1"/>
    </xf>
    <xf numFmtId="166" fontId="18" fillId="7" borderId="0" xfId="0" applyNumberFormat="1" applyFont="1" applyFill="1" applyAlignment="1">
      <alignment vertical="center" wrapText="1"/>
    </xf>
    <xf numFmtId="0" fontId="20" fillId="0" borderId="8" xfId="0" applyFont="1" applyFill="1" applyBorder="1" applyAlignment="1">
      <alignment vertical="center" wrapText="1"/>
    </xf>
    <xf numFmtId="4" fontId="20" fillId="6" borderId="10" xfId="0" applyNumberFormat="1" applyFont="1" applyFill="1" applyBorder="1" applyAlignment="1">
      <alignment horizontal="right" shrinkToFit="1"/>
    </xf>
    <xf numFmtId="4" fontId="20" fillId="5" borderId="10" xfId="0" applyNumberFormat="1" applyFont="1" applyFill="1" applyBorder="1" applyAlignment="1">
      <alignment horizontal="right" shrinkToFit="1"/>
    </xf>
    <xf numFmtId="4" fontId="20" fillId="5" borderId="14" xfId="0" applyNumberFormat="1" applyFont="1" applyFill="1" applyBorder="1" applyAlignment="1">
      <alignment horizontal="right" shrinkToFit="1"/>
    </xf>
    <xf numFmtId="167" fontId="20" fillId="0" borderId="10" xfId="0" applyNumberFormat="1" applyFont="1" applyBorder="1" applyAlignment="1">
      <alignment vertical="center" wrapText="1"/>
    </xf>
    <xf numFmtId="167" fontId="20" fillId="0" borderId="0" xfId="0" applyNumberFormat="1" applyFont="1" applyFill="1" applyAlignment="1">
      <alignment vertical="center" wrapText="1"/>
    </xf>
    <xf numFmtId="166" fontId="20" fillId="0" borderId="0" xfId="0" applyNumberFormat="1" applyFont="1" applyFill="1" applyAlignment="1">
      <alignment vertical="center" wrapText="1"/>
    </xf>
    <xf numFmtId="4" fontId="8" fillId="4" borderId="10" xfId="0" applyNumberFormat="1" applyFont="1" applyFill="1" applyBorder="1" applyAlignment="1">
      <alignment horizontal="right" vertical="center" shrinkToFit="1"/>
    </xf>
    <xf numFmtId="167" fontId="8" fillId="0" borderId="0" xfId="0" applyNumberFormat="1" applyFont="1" applyAlignment="1">
      <alignment vertical="center" wrapText="1"/>
    </xf>
    <xf numFmtId="4" fontId="20" fillId="3" borderId="10" xfId="0" applyNumberFormat="1" applyFont="1" applyFill="1" applyBorder="1" applyAlignment="1">
      <alignment horizontal="right" shrinkToFit="1"/>
    </xf>
    <xf numFmtId="4" fontId="21" fillId="4" borderId="10" xfId="0" applyNumberFormat="1" applyFont="1" applyFill="1" applyBorder="1" applyAlignment="1">
      <alignment horizontal="right" vertical="center" shrinkToFit="1"/>
    </xf>
    <xf numFmtId="4" fontId="21" fillId="3" borderId="10" xfId="0" applyNumberFormat="1" applyFont="1" applyFill="1" applyBorder="1" applyAlignment="1">
      <alignment horizontal="right" shrinkToFit="1"/>
    </xf>
    <xf numFmtId="167" fontId="20" fillId="0" borderId="10" xfId="0" applyNumberFormat="1" applyFont="1" applyBorder="1" applyAlignment="1">
      <alignment horizontal="center" vertical="center" wrapText="1"/>
    </xf>
    <xf numFmtId="167" fontId="20" fillId="0" borderId="13" xfId="0" applyNumberFormat="1" applyFont="1" applyBorder="1" applyAlignment="1">
      <alignment horizontal="center" vertical="center" wrapText="1"/>
    </xf>
    <xf numFmtId="167" fontId="20" fillId="0" borderId="0" xfId="0" applyNumberFormat="1" applyFont="1" applyAlignment="1">
      <alignment vertical="center" wrapText="1"/>
    </xf>
    <xf numFmtId="166" fontId="20" fillId="0" borderId="0" xfId="0" applyNumberFormat="1" applyFont="1" applyAlignment="1">
      <alignment vertical="center" wrapText="1"/>
    </xf>
    <xf numFmtId="166" fontId="21" fillId="0" borderId="0" xfId="0" applyNumberFormat="1" applyFont="1" applyAlignment="1">
      <alignment vertical="center" wrapText="1"/>
    </xf>
    <xf numFmtId="4" fontId="7" fillId="4" borderId="10" xfId="0" applyNumberFormat="1" applyFont="1" applyFill="1" applyBorder="1" applyAlignment="1">
      <alignment horizontal="right" vertical="center" shrinkToFit="1"/>
    </xf>
    <xf numFmtId="166" fontId="5" fillId="0" borderId="0" xfId="0" applyNumberFormat="1" applyFont="1" applyAlignment="1">
      <alignment vertical="center" wrapText="1"/>
    </xf>
    <xf numFmtId="0" fontId="8" fillId="8" borderId="15" xfId="0" applyFont="1" applyFill="1" applyBorder="1" applyAlignment="1">
      <alignment vertical="center" wrapText="1"/>
    </xf>
    <xf numFmtId="167" fontId="8" fillId="8" borderId="16" xfId="0" applyNumberFormat="1" applyFont="1" applyFill="1" applyBorder="1" applyAlignment="1">
      <alignment vertical="center" wrapText="1"/>
    </xf>
    <xf numFmtId="0" fontId="20" fillId="0" borderId="23" xfId="0" applyFont="1" applyBorder="1" applyAlignment="1">
      <alignment vertical="center" wrapText="1"/>
    </xf>
    <xf numFmtId="166" fontId="20" fillId="0" borderId="9" xfId="0" applyNumberFormat="1" applyFont="1" applyBorder="1" applyAlignment="1">
      <alignment vertical="center" shrinkToFit="1"/>
    </xf>
    <xf numFmtId="166" fontId="20" fillId="0" borderId="9" xfId="0" applyNumberFormat="1" applyFont="1" applyBorder="1" applyAlignment="1">
      <alignment vertical="center" wrapText="1"/>
    </xf>
    <xf numFmtId="166" fontId="20" fillId="0" borderId="24" xfId="0" applyNumberFormat="1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166" fontId="20" fillId="0" borderId="25" xfId="0" applyNumberFormat="1" applyFont="1" applyBorder="1" applyAlignment="1">
      <alignment vertical="center" shrinkToFit="1"/>
    </xf>
    <xf numFmtId="166" fontId="20" fillId="0" borderId="25" xfId="0" applyNumberFormat="1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166" fontId="20" fillId="0" borderId="0" xfId="0" applyNumberFormat="1" applyFont="1" applyBorder="1" applyAlignment="1">
      <alignment vertical="center" shrinkToFit="1"/>
    </xf>
    <xf numFmtId="167" fontId="20" fillId="0" borderId="0" xfId="0" applyNumberFormat="1" applyFont="1" applyBorder="1" applyAlignment="1">
      <alignment vertical="center" shrinkToFit="1"/>
    </xf>
    <xf numFmtId="166" fontId="20" fillId="0" borderId="0" xfId="0" applyNumberFormat="1" applyFont="1" applyBorder="1" applyAlignment="1">
      <alignment vertical="center" wrapText="1"/>
    </xf>
    <xf numFmtId="166" fontId="21" fillId="0" borderId="0" xfId="0" applyNumberFormat="1" applyFont="1" applyFill="1" applyBorder="1" applyAlignment="1">
      <alignment vertical="center" shrinkToFit="1"/>
    </xf>
    <xf numFmtId="171" fontId="21" fillId="0" borderId="0" xfId="0" applyNumberFormat="1" applyFont="1" applyFill="1" applyBorder="1" applyAlignment="1">
      <alignment vertical="center" shrinkToFit="1"/>
    </xf>
    <xf numFmtId="167" fontId="20" fillId="0" borderId="0" xfId="0" applyNumberFormat="1" applyFont="1" applyBorder="1" applyAlignment="1">
      <alignment vertical="center" wrapText="1"/>
    </xf>
    <xf numFmtId="0" fontId="8" fillId="0" borderId="23" xfId="0" applyFont="1" applyBorder="1" applyAlignment="1">
      <alignment horizontal="center" vertical="center" wrapText="1"/>
    </xf>
    <xf numFmtId="166" fontId="7" fillId="0" borderId="9" xfId="0" applyNumberFormat="1" applyFont="1" applyBorder="1" applyAlignment="1">
      <alignment vertical="center" shrinkToFit="1"/>
    </xf>
    <xf numFmtId="166" fontId="7" fillId="0" borderId="9" xfId="0" applyNumberFormat="1" applyFont="1" applyBorder="1" applyAlignment="1">
      <alignment vertical="center" wrapText="1"/>
    </xf>
    <xf numFmtId="167" fontId="11" fillId="0" borderId="9" xfId="0" applyNumberFormat="1" applyFont="1" applyBorder="1" applyAlignment="1">
      <alignment vertical="center" wrapText="1"/>
    </xf>
    <xf numFmtId="166" fontId="7" fillId="0" borderId="24" xfId="0" applyNumberFormat="1" applyFont="1" applyBorder="1" applyAlignment="1">
      <alignment vertical="center" wrapText="1"/>
    </xf>
    <xf numFmtId="0" fontId="8" fillId="9" borderId="8" xfId="0" applyFont="1" applyFill="1" applyBorder="1" applyAlignment="1">
      <alignment vertical="center" wrapText="1"/>
    </xf>
    <xf numFmtId="4" fontId="8" fillId="9" borderId="9" xfId="0" applyNumberFormat="1" applyFont="1" applyFill="1" applyBorder="1" applyAlignment="1">
      <alignment horizontal="right" shrinkToFit="1"/>
    </xf>
    <xf numFmtId="4" fontId="8" fillId="10" borderId="10" xfId="0" applyNumberFormat="1" applyFont="1" applyFill="1" applyBorder="1" applyAlignment="1">
      <alignment horizontal="right" shrinkToFit="1"/>
    </xf>
    <xf numFmtId="167" fontId="8" fillId="9" borderId="10" xfId="0" applyNumberFormat="1" applyFont="1" applyFill="1" applyBorder="1" applyAlignment="1">
      <alignment vertical="center" wrapText="1"/>
    </xf>
    <xf numFmtId="167" fontId="8" fillId="9" borderId="13" xfId="0" applyNumberFormat="1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4" fontId="8" fillId="3" borderId="9" xfId="0" applyNumberFormat="1" applyFont="1" applyFill="1" applyBorder="1" applyAlignment="1">
      <alignment horizontal="right" shrinkToFit="1"/>
    </xf>
    <xf numFmtId="4" fontId="8" fillId="4" borderId="9" xfId="0" applyNumberFormat="1" applyFont="1" applyFill="1" applyBorder="1" applyAlignment="1">
      <alignment horizontal="right" shrinkToFit="1"/>
    </xf>
    <xf numFmtId="0" fontId="7" fillId="0" borderId="8" xfId="0" applyFont="1" applyBorder="1" applyAlignment="1">
      <alignment vertical="center" wrapText="1"/>
    </xf>
    <xf numFmtId="4" fontId="7" fillId="3" borderId="10" xfId="0" applyNumberFormat="1" applyFont="1" applyFill="1" applyBorder="1" applyAlignment="1">
      <alignment vertical="center" shrinkToFit="1"/>
    </xf>
    <xf numFmtId="4" fontId="7" fillId="3" borderId="10" xfId="0" applyNumberFormat="1" applyFont="1" applyFill="1" applyBorder="1" applyAlignment="1">
      <alignment horizontal="center" vertical="center" shrinkToFit="1"/>
    </xf>
    <xf numFmtId="4" fontId="7" fillId="5" borderId="10" xfId="0" applyNumberFormat="1" applyFont="1" applyFill="1" applyBorder="1" applyAlignment="1">
      <alignment horizontal="center" vertical="center" shrinkToFit="1"/>
    </xf>
    <xf numFmtId="4" fontId="5" fillId="3" borderId="10" xfId="0" applyNumberFormat="1" applyFont="1" applyFill="1" applyBorder="1" applyAlignment="1">
      <alignment vertical="center" shrinkToFit="1"/>
    </xf>
    <xf numFmtId="4" fontId="7" fillId="5" borderId="10" xfId="0" applyNumberFormat="1" applyFont="1" applyFill="1" applyBorder="1" applyAlignment="1">
      <alignment vertical="center" shrinkToFit="1"/>
    </xf>
    <xf numFmtId="167" fontId="8" fillId="0" borderId="10" xfId="0" applyNumberFormat="1" applyFont="1" applyBorder="1" applyAlignment="1">
      <alignment horizontal="center" vertical="center" wrapText="1"/>
    </xf>
    <xf numFmtId="4" fontId="7" fillId="3" borderId="9" xfId="0" applyNumberFormat="1" applyFont="1" applyFill="1" applyBorder="1" applyAlignment="1">
      <alignment horizontal="right" shrinkToFit="1"/>
    </xf>
    <xf numFmtId="4" fontId="7" fillId="5" borderId="9" xfId="0" applyNumberFormat="1" applyFont="1" applyFill="1" applyBorder="1" applyAlignment="1">
      <alignment horizontal="right" shrinkToFit="1"/>
    </xf>
    <xf numFmtId="4" fontId="7" fillId="4" borderId="9" xfId="0" applyNumberFormat="1" applyFont="1" applyFill="1" applyBorder="1" applyAlignment="1">
      <alignment horizontal="right" shrinkToFit="1"/>
    </xf>
    <xf numFmtId="0" fontId="19" fillId="0" borderId="8" xfId="0" applyFont="1" applyBorder="1" applyAlignment="1">
      <alignment vertical="center" wrapText="1"/>
    </xf>
    <xf numFmtId="4" fontId="19" fillId="3" borderId="10" xfId="0" applyNumberFormat="1" applyFont="1" applyFill="1" applyBorder="1" applyAlignment="1">
      <alignment horizontal="right" shrinkToFit="1"/>
    </xf>
    <xf numFmtId="4" fontId="19" fillId="5" borderId="10" xfId="0" applyNumberFormat="1" applyFont="1" applyFill="1" applyBorder="1" applyAlignment="1">
      <alignment vertical="center" shrinkToFit="1"/>
    </xf>
    <xf numFmtId="167" fontId="19" fillId="0" borderId="10" xfId="0" applyNumberFormat="1" applyFont="1" applyBorder="1" applyAlignment="1">
      <alignment vertical="center" wrapText="1"/>
    </xf>
    <xf numFmtId="167" fontId="23" fillId="0" borderId="10" xfId="0" applyNumberFormat="1" applyFont="1" applyBorder="1" applyAlignment="1">
      <alignment vertical="center" wrapText="1"/>
    </xf>
    <xf numFmtId="167" fontId="19" fillId="0" borderId="13" xfId="0" applyNumberFormat="1" applyFont="1" applyBorder="1" applyAlignment="1">
      <alignment vertical="center" wrapText="1"/>
    </xf>
    <xf numFmtId="166" fontId="19" fillId="0" borderId="0" xfId="0" applyNumberFormat="1" applyFont="1" applyAlignment="1">
      <alignment vertical="center" wrapText="1"/>
    </xf>
    <xf numFmtId="166" fontId="19" fillId="3" borderId="10" xfId="0" applyNumberFormat="1" applyFont="1" applyFill="1" applyBorder="1" applyAlignment="1">
      <alignment vertical="center" shrinkToFit="1"/>
    </xf>
    <xf numFmtId="166" fontId="7" fillId="3" borderId="10" xfId="0" applyNumberFormat="1" applyFont="1" applyFill="1" applyBorder="1" applyAlignment="1">
      <alignment vertical="center" shrinkToFit="1"/>
    </xf>
    <xf numFmtId="4" fontId="19" fillId="3" borderId="9" xfId="0" applyNumberFormat="1" applyFont="1" applyFill="1" applyBorder="1" applyAlignment="1">
      <alignment horizontal="right" shrinkToFit="1"/>
    </xf>
    <xf numFmtId="4" fontId="23" fillId="3" borderId="9" xfId="0" applyNumberFormat="1" applyFont="1" applyFill="1" applyBorder="1" applyAlignment="1">
      <alignment horizontal="right" shrinkToFit="1"/>
    </xf>
    <xf numFmtId="166" fontId="7" fillId="3" borderId="10" xfId="0" applyNumberFormat="1" applyFont="1" applyFill="1" applyBorder="1" applyAlignment="1">
      <alignment shrinkToFit="1"/>
    </xf>
    <xf numFmtId="0" fontId="5" fillId="0" borderId="8" xfId="0" applyFont="1" applyBorder="1" applyAlignment="1">
      <alignment vertical="center" wrapText="1"/>
    </xf>
    <xf numFmtId="166" fontId="19" fillId="3" borderId="10" xfId="0" applyNumberFormat="1" applyFont="1" applyFill="1" applyBorder="1" applyAlignment="1">
      <alignment shrinkToFit="1"/>
    </xf>
    <xf numFmtId="166" fontId="5" fillId="3" borderId="10" xfId="0" applyNumberFormat="1" applyFont="1" applyFill="1" applyBorder="1" applyAlignment="1">
      <alignment shrinkToFit="1"/>
    </xf>
    <xf numFmtId="167" fontId="8" fillId="0" borderId="13" xfId="0" applyNumberFormat="1" applyFont="1" applyBorder="1" applyAlignment="1">
      <alignment horizontal="center" vertical="center" wrapText="1"/>
    </xf>
    <xf numFmtId="4" fontId="9" fillId="6" borderId="26" xfId="0" applyNumberFormat="1" applyFont="1" applyFill="1" applyBorder="1" applyAlignment="1">
      <alignment horizontal="right" shrinkToFit="1"/>
    </xf>
    <xf numFmtId="166" fontId="9" fillId="6" borderId="26" xfId="0" applyNumberFormat="1" applyFont="1" applyFill="1" applyBorder="1" applyAlignment="1">
      <alignment vertical="center" shrinkToFit="1"/>
    </xf>
    <xf numFmtId="166" fontId="7" fillId="3" borderId="9" xfId="0" applyNumberFormat="1" applyFont="1" applyFill="1" applyBorder="1" applyAlignment="1">
      <alignment shrinkToFit="1"/>
    </xf>
    <xf numFmtId="166" fontId="8" fillId="3" borderId="10" xfId="0" applyNumberFormat="1" applyFont="1" applyFill="1" applyBorder="1" applyAlignment="1">
      <alignment vertical="center" shrinkToFit="1"/>
    </xf>
    <xf numFmtId="4" fontId="8" fillId="4" borderId="10" xfId="0" applyNumberFormat="1" applyFont="1" applyFill="1" applyBorder="1" applyAlignment="1">
      <alignment horizontal="right" shrinkToFit="1"/>
    </xf>
    <xf numFmtId="4" fontId="7" fillId="4" borderId="10" xfId="0" applyNumberFormat="1" applyFont="1" applyFill="1" applyBorder="1" applyAlignment="1">
      <alignment horizontal="right" shrinkToFit="1"/>
    </xf>
    <xf numFmtId="0" fontId="8" fillId="8" borderId="8" xfId="0" applyFont="1" applyFill="1" applyBorder="1" applyAlignment="1">
      <alignment vertical="center" wrapText="1"/>
    </xf>
    <xf numFmtId="166" fontId="8" fillId="8" borderId="10" xfId="0" applyNumberFormat="1" applyFont="1" applyFill="1" applyBorder="1" applyAlignment="1">
      <alignment vertical="center" shrinkToFit="1"/>
    </xf>
    <xf numFmtId="167" fontId="8" fillId="8" borderId="10" xfId="0" applyNumberFormat="1" applyFont="1" applyFill="1" applyBorder="1" applyAlignment="1">
      <alignment vertical="center" wrapText="1"/>
    </xf>
    <xf numFmtId="167" fontId="8" fillId="8" borderId="13" xfId="0" applyNumberFormat="1" applyFont="1" applyFill="1" applyBorder="1" applyAlignment="1">
      <alignment vertical="center" wrapText="1"/>
    </xf>
    <xf numFmtId="0" fontId="21" fillId="0" borderId="8" xfId="0" applyFont="1" applyFill="1" applyBorder="1" applyAlignment="1">
      <alignment vertical="center" wrapText="1"/>
    </xf>
    <xf numFmtId="166" fontId="21" fillId="0" borderId="10" xfId="0" applyNumberFormat="1" applyFont="1" applyFill="1" applyBorder="1" applyAlignment="1">
      <alignment vertical="center" shrinkToFit="1"/>
    </xf>
    <xf numFmtId="167" fontId="20" fillId="0" borderId="10" xfId="0" applyNumberFormat="1" applyFont="1" applyFill="1" applyBorder="1" applyAlignment="1">
      <alignment vertical="center" wrapText="1"/>
    </xf>
    <xf numFmtId="167" fontId="21" fillId="0" borderId="10" xfId="0" applyNumberFormat="1" applyFont="1" applyFill="1" applyBorder="1" applyAlignment="1">
      <alignment vertical="center" wrapText="1"/>
    </xf>
    <xf numFmtId="167" fontId="21" fillId="0" borderId="13" xfId="0" applyNumberFormat="1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166" fontId="7" fillId="0" borderId="10" xfId="0" applyNumberFormat="1" applyFont="1" applyFill="1" applyBorder="1" applyAlignment="1">
      <alignment vertical="center" shrinkToFit="1"/>
    </xf>
    <xf numFmtId="4" fontId="8" fillId="0" borderId="10" xfId="0" applyNumberFormat="1" applyFont="1" applyFill="1" applyBorder="1" applyAlignment="1">
      <alignment vertical="center" shrinkToFit="1"/>
    </xf>
    <xf numFmtId="4" fontId="8" fillId="0" borderId="12" xfId="0" applyNumberFormat="1" applyFont="1" applyFill="1" applyBorder="1" applyAlignment="1">
      <alignment vertical="center" shrinkToFit="1"/>
    </xf>
    <xf numFmtId="167" fontId="7" fillId="0" borderId="10" xfId="0" applyNumberFormat="1" applyFont="1" applyFill="1" applyBorder="1" applyAlignment="1">
      <alignment horizontal="center" vertical="center" wrapText="1"/>
    </xf>
    <xf numFmtId="167" fontId="7" fillId="0" borderId="13" xfId="0" applyNumberFormat="1" applyFont="1" applyFill="1" applyBorder="1" applyAlignment="1">
      <alignment vertical="center" wrapText="1"/>
    </xf>
    <xf numFmtId="0" fontId="20" fillId="0" borderId="27" xfId="0" applyFont="1" applyFill="1" applyBorder="1" applyAlignment="1">
      <alignment vertical="center" wrapText="1"/>
    </xf>
    <xf numFmtId="166" fontId="20" fillId="0" borderId="22" xfId="0" applyNumberFormat="1" applyFont="1" applyFill="1" applyBorder="1" applyAlignment="1">
      <alignment vertical="center" shrinkToFit="1"/>
    </xf>
    <xf numFmtId="167" fontId="20" fillId="0" borderId="22" xfId="0" applyNumberFormat="1" applyFont="1" applyFill="1" applyBorder="1" applyAlignment="1">
      <alignment vertical="center" wrapText="1"/>
    </xf>
    <xf numFmtId="167" fontId="20" fillId="0" borderId="28" xfId="0" applyNumberFormat="1" applyFont="1" applyFill="1" applyBorder="1" applyAlignment="1">
      <alignment vertical="center" wrapText="1"/>
    </xf>
    <xf numFmtId="166" fontId="8" fillId="8" borderId="16" xfId="0" applyNumberFormat="1" applyFont="1" applyFill="1" applyBorder="1" applyAlignment="1">
      <alignment vertical="center" shrinkToFit="1"/>
    </xf>
    <xf numFmtId="167" fontId="8" fillId="8" borderId="16" xfId="0" applyNumberFormat="1" applyFont="1" applyFill="1" applyBorder="1" applyAlignment="1">
      <alignment horizontal="center" vertical="center" wrapText="1"/>
    </xf>
    <xf numFmtId="167" fontId="8" fillId="8" borderId="19" xfId="0" applyNumberFormat="1" applyFont="1" applyFill="1" applyBorder="1" applyAlignment="1">
      <alignment horizontal="center" vertical="center" wrapText="1"/>
    </xf>
    <xf numFmtId="0" fontId="22" fillId="3" borderId="23" xfId="0" applyFont="1" applyFill="1" applyBorder="1" applyAlignment="1">
      <alignment vertical="center" wrapText="1"/>
    </xf>
    <xf numFmtId="166" fontId="8" fillId="3" borderId="9" xfId="0" applyNumberFormat="1" applyFont="1" applyFill="1" applyBorder="1" applyAlignment="1">
      <alignment vertical="center" shrinkToFit="1"/>
    </xf>
    <xf numFmtId="166" fontId="8" fillId="10" borderId="9" xfId="0" applyNumberFormat="1" applyFont="1" applyFill="1" applyBorder="1" applyAlignment="1">
      <alignment vertical="center" shrinkToFit="1"/>
    </xf>
    <xf numFmtId="167" fontId="8" fillId="3" borderId="9" xfId="0" applyNumberFormat="1" applyFont="1" applyFill="1" applyBorder="1" applyAlignment="1">
      <alignment vertical="center" wrapText="1"/>
    </xf>
    <xf numFmtId="167" fontId="8" fillId="3" borderId="24" xfId="0" applyNumberFormat="1" applyFont="1" applyFill="1" applyBorder="1" applyAlignment="1">
      <alignment vertical="center" wrapText="1"/>
    </xf>
    <xf numFmtId="0" fontId="22" fillId="3" borderId="27" xfId="0" applyFont="1" applyFill="1" applyBorder="1" applyAlignment="1">
      <alignment vertical="center" wrapText="1"/>
    </xf>
    <xf numFmtId="166" fontId="8" fillId="3" borderId="22" xfId="0" applyNumberFormat="1" applyFont="1" applyFill="1" applyBorder="1" applyAlignment="1">
      <alignment vertical="center" shrinkToFit="1"/>
    </xf>
    <xf numFmtId="167" fontId="8" fillId="3" borderId="22" xfId="0" applyNumberFormat="1" applyFont="1" applyFill="1" applyBorder="1" applyAlignment="1">
      <alignment vertical="center" wrapText="1"/>
    </xf>
    <xf numFmtId="167" fontId="8" fillId="3" borderId="28" xfId="0" applyNumberFormat="1" applyFont="1" applyFill="1" applyBorder="1" applyAlignment="1">
      <alignment vertical="center" wrapText="1"/>
    </xf>
    <xf numFmtId="166" fontId="8" fillId="0" borderId="0" xfId="0" applyNumberFormat="1" applyFont="1" applyFill="1" applyBorder="1" applyAlignment="1">
      <alignment vertical="center" shrinkToFit="1"/>
    </xf>
    <xf numFmtId="166" fontId="8" fillId="10" borderId="0" xfId="0" applyNumberFormat="1" applyFont="1" applyFill="1" applyBorder="1" applyAlignment="1">
      <alignment vertical="center" shrinkToFit="1"/>
    </xf>
    <xf numFmtId="166" fontId="7" fillId="10" borderId="0" xfId="0" applyNumberFormat="1" applyFont="1" applyFill="1" applyBorder="1" applyAlignment="1">
      <alignment vertical="center" shrinkToFit="1"/>
    </xf>
    <xf numFmtId="0" fontId="7" fillId="0" borderId="15" xfId="0" applyFont="1" applyFill="1" applyBorder="1" applyAlignment="1">
      <alignment vertical="center" wrapText="1"/>
    </xf>
    <xf numFmtId="166" fontId="8" fillId="0" borderId="29" xfId="0" applyNumberFormat="1" applyFont="1" applyFill="1" applyBorder="1" applyAlignment="1">
      <alignment vertical="center" shrinkToFit="1"/>
    </xf>
    <xf numFmtId="166" fontId="7" fillId="10" borderId="29" xfId="0" applyNumberFormat="1" applyFont="1" applyFill="1" applyBorder="1" applyAlignment="1">
      <alignment vertical="center" shrinkToFit="1"/>
    </xf>
    <xf numFmtId="167" fontId="7" fillId="0" borderId="16" xfId="0" applyNumberFormat="1" applyFont="1" applyBorder="1" applyAlignment="1">
      <alignment vertical="center" wrapText="1"/>
    </xf>
    <xf numFmtId="167" fontId="7" fillId="0" borderId="19" xfId="0" applyNumberFormat="1" applyFont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167" fontId="7" fillId="0" borderId="9" xfId="0" applyNumberFormat="1" applyFont="1" applyBorder="1" applyAlignment="1">
      <alignment vertical="center" wrapText="1"/>
    </xf>
    <xf numFmtId="167" fontId="7" fillId="0" borderId="24" xfId="0" applyNumberFormat="1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167" fontId="8" fillId="0" borderId="25" xfId="0" applyNumberFormat="1" applyFont="1" applyFill="1" applyBorder="1" applyAlignment="1">
      <alignment vertical="center" wrapText="1"/>
    </xf>
    <xf numFmtId="166" fontId="8" fillId="0" borderId="0" xfId="0" applyNumberFormat="1" applyFont="1" applyFill="1" applyBorder="1" applyAlignment="1">
      <alignment vertical="center" wrapText="1"/>
    </xf>
    <xf numFmtId="166" fontId="8" fillId="4" borderId="10" xfId="0" applyNumberFormat="1" applyFont="1" applyFill="1" applyBorder="1" applyAlignment="1">
      <alignment vertical="center" shrinkToFit="1"/>
    </xf>
    <xf numFmtId="166" fontId="8" fillId="0" borderId="10" xfId="0" applyNumberFormat="1" applyFont="1" applyFill="1" applyBorder="1" applyAlignment="1">
      <alignment vertical="center" shrinkToFit="1"/>
    </xf>
    <xf numFmtId="166" fontId="7" fillId="4" borderId="10" xfId="0" applyNumberFormat="1" applyFont="1" applyFill="1" applyBorder="1" applyAlignment="1">
      <alignment vertical="center" shrinkToFit="1"/>
    </xf>
    <xf numFmtId="166" fontId="7" fillId="0" borderId="10" xfId="0" applyNumberFormat="1" applyFont="1" applyBorder="1" applyAlignment="1">
      <alignment vertical="center" shrinkToFit="1"/>
    </xf>
    <xf numFmtId="166" fontId="7" fillId="11" borderId="10" xfId="0" applyNumberFormat="1" applyFont="1" applyFill="1" applyBorder="1" applyAlignment="1">
      <alignment vertical="center" shrinkToFit="1"/>
    </xf>
    <xf numFmtId="166" fontId="8" fillId="0" borderId="10" xfId="0" applyNumberFormat="1" applyFont="1" applyBorder="1" applyAlignment="1">
      <alignment vertical="center" shrinkToFit="1"/>
    </xf>
    <xf numFmtId="166" fontId="8" fillId="10" borderId="10" xfId="0" applyNumberFormat="1" applyFont="1" applyFill="1" applyBorder="1" applyAlignment="1">
      <alignment vertical="center" shrinkToFit="1"/>
    </xf>
    <xf numFmtId="167" fontId="7" fillId="0" borderId="10" xfId="0" applyNumberFormat="1" applyFont="1" applyBorder="1" applyAlignment="1">
      <alignment vertical="center" shrinkToFit="1"/>
    </xf>
    <xf numFmtId="166" fontId="7" fillId="4" borderId="16" xfId="0" applyNumberFormat="1" applyFont="1" applyFill="1" applyBorder="1" applyAlignment="1">
      <alignment vertical="center" shrinkToFit="1"/>
    </xf>
    <xf numFmtId="166" fontId="7" fillId="0" borderId="16" xfId="0" applyNumberFormat="1" applyFont="1" applyBorder="1" applyAlignment="1">
      <alignment vertical="center" shrinkToFit="1"/>
    </xf>
    <xf numFmtId="0" fontId="5" fillId="0" borderId="0" xfId="0" applyFont="1" applyAlignment="1">
      <alignment vertical="center" wrapText="1"/>
    </xf>
    <xf numFmtId="167" fontId="5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167" fontId="6" fillId="0" borderId="0" xfId="0" applyNumberFormat="1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167" fontId="16" fillId="0" borderId="0" xfId="0" applyNumberFormat="1" applyFont="1" applyAlignment="1">
      <alignment vertical="center" wrapText="1"/>
    </xf>
    <xf numFmtId="167" fontId="5" fillId="0" borderId="29" xfId="0" applyNumberFormat="1" applyFont="1" applyBorder="1" applyAlignment="1">
      <alignment vertical="center" wrapText="1"/>
    </xf>
    <xf numFmtId="167" fontId="7" fillId="0" borderId="29" xfId="0" applyNumberFormat="1" applyFont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shrinkToFit="1"/>
    </xf>
    <xf numFmtId="167" fontId="7" fillId="0" borderId="0" xfId="0" applyNumberFormat="1" applyFont="1" applyBorder="1" applyAlignment="1">
      <alignment vertical="center" wrapText="1"/>
    </xf>
    <xf numFmtId="167" fontId="8" fillId="0" borderId="0" xfId="0" applyNumberFormat="1" applyFont="1" applyBorder="1" applyAlignment="1">
      <alignment vertical="center" wrapText="1"/>
    </xf>
    <xf numFmtId="167" fontId="5" fillId="0" borderId="0" xfId="0" applyNumberFormat="1" applyFont="1" applyBorder="1" applyAlignment="1">
      <alignment vertical="center" wrapText="1"/>
    </xf>
    <xf numFmtId="167" fontId="20" fillId="0" borderId="0" xfId="0" applyNumberFormat="1" applyFont="1" applyBorder="1" applyAlignment="1">
      <alignment horizontal="center" vertical="center" wrapText="1"/>
    </xf>
    <xf numFmtId="167" fontId="7" fillId="0" borderId="0" xfId="0" applyNumberFormat="1" applyFont="1" applyBorder="1" applyAlignment="1">
      <alignment horizontal="center" vertical="center" wrapText="1"/>
    </xf>
    <xf numFmtId="167" fontId="8" fillId="8" borderId="0" xfId="0" applyNumberFormat="1" applyFont="1" applyFill="1" applyBorder="1" applyAlignment="1">
      <alignment vertical="center" wrapText="1"/>
    </xf>
    <xf numFmtId="166" fontId="7" fillId="0" borderId="0" xfId="0" applyNumberFormat="1" applyFont="1" applyBorder="1" applyAlignment="1">
      <alignment vertical="center" wrapText="1"/>
    </xf>
    <xf numFmtId="167" fontId="8" fillId="9" borderId="0" xfId="0" applyNumberFormat="1" applyFont="1" applyFill="1" applyBorder="1" applyAlignment="1">
      <alignment vertical="center" wrapText="1"/>
    </xf>
    <xf numFmtId="167" fontId="19" fillId="0" borderId="0" xfId="0" applyNumberFormat="1" applyFont="1" applyBorder="1" applyAlignment="1">
      <alignment vertical="center" wrapText="1"/>
    </xf>
    <xf numFmtId="167" fontId="8" fillId="0" borderId="0" xfId="0" applyNumberFormat="1" applyFont="1" applyBorder="1" applyAlignment="1">
      <alignment horizontal="center" vertical="center" wrapText="1"/>
    </xf>
    <xf numFmtId="167" fontId="21" fillId="0" borderId="0" xfId="0" applyNumberFormat="1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167" fontId="20" fillId="0" borderId="0" xfId="0" applyNumberFormat="1" applyFont="1" applyFill="1" applyBorder="1" applyAlignment="1">
      <alignment vertical="center" wrapText="1"/>
    </xf>
    <xf numFmtId="167" fontId="8" fillId="8" borderId="0" xfId="0" applyNumberFormat="1" applyFont="1" applyFill="1" applyBorder="1" applyAlignment="1">
      <alignment horizontal="center" vertical="center" wrapText="1"/>
    </xf>
    <xf numFmtId="167" fontId="8" fillId="3" borderId="0" xfId="0" applyNumberFormat="1" applyFont="1" applyFill="1" applyBorder="1" applyAlignment="1">
      <alignment vertical="center" wrapText="1"/>
    </xf>
    <xf numFmtId="0" fontId="5" fillId="0" borderId="0" xfId="0" applyFont="1"/>
    <xf numFmtId="0" fontId="5" fillId="0" borderId="0" xfId="0" applyFont="1" applyFill="1" applyAlignment="1">
      <alignment vertical="center" wrapText="1"/>
    </xf>
    <xf numFmtId="0" fontId="27" fillId="0" borderId="8" xfId="0" applyFont="1" applyFill="1" applyBorder="1" applyAlignment="1">
      <alignment horizontal="center" vertical="center" wrapText="1"/>
    </xf>
    <xf numFmtId="49" fontId="13" fillId="0" borderId="13" xfId="0" applyNumberFormat="1" applyFont="1" applyFill="1" applyBorder="1" applyAlignment="1">
      <alignment horizontal="center" vertical="center" wrapText="1"/>
    </xf>
    <xf numFmtId="0" fontId="25" fillId="0" borderId="0" xfId="0" applyFont="1"/>
    <xf numFmtId="0" fontId="5" fillId="0" borderId="8" xfId="0" applyFont="1" applyFill="1" applyBorder="1"/>
    <xf numFmtId="167" fontId="5" fillId="0" borderId="10" xfId="0" applyNumberFormat="1" applyFont="1" applyFill="1" applyBorder="1" applyAlignment="1">
      <alignment vertical="center" wrapText="1"/>
    </xf>
    <xf numFmtId="167" fontId="6" fillId="0" borderId="10" xfId="0" applyNumberFormat="1" applyFont="1" applyFill="1" applyBorder="1" applyAlignment="1">
      <alignment vertical="center" wrapText="1"/>
    </xf>
    <xf numFmtId="167" fontId="5" fillId="0" borderId="13" xfId="0" applyNumberFormat="1" applyFont="1" applyFill="1" applyBorder="1" applyAlignment="1">
      <alignment vertical="center" wrapText="1"/>
    </xf>
    <xf numFmtId="49" fontId="13" fillId="0" borderId="8" xfId="0" applyNumberFormat="1" applyFont="1" applyFill="1" applyBorder="1" applyAlignment="1">
      <alignment horizontal="center" vertical="center" wrapText="1"/>
    </xf>
    <xf numFmtId="167" fontId="6" fillId="0" borderId="13" xfId="0" applyNumberFormat="1" applyFont="1" applyFill="1" applyBorder="1" applyAlignment="1">
      <alignment vertical="center" wrapText="1"/>
    </xf>
    <xf numFmtId="167" fontId="5" fillId="0" borderId="0" xfId="0" applyNumberFormat="1" applyFont="1" applyFill="1" applyAlignment="1">
      <alignment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67" fontId="6" fillId="0" borderId="10" xfId="0" applyNumberFormat="1" applyFont="1" applyBorder="1" applyAlignment="1">
      <alignment vertical="center" wrapText="1"/>
    </xf>
    <xf numFmtId="0" fontId="6" fillId="6" borderId="8" xfId="0" applyFont="1" applyFill="1" applyBorder="1" applyAlignment="1">
      <alignment vertical="center" wrapText="1"/>
    </xf>
    <xf numFmtId="167" fontId="6" fillId="6" borderId="10" xfId="0" applyNumberFormat="1" applyFont="1" applyFill="1" applyBorder="1" applyAlignment="1">
      <alignment vertical="center" wrapText="1"/>
    </xf>
    <xf numFmtId="0" fontId="6" fillId="6" borderId="15" xfId="0" applyFont="1" applyFill="1" applyBorder="1" applyAlignment="1">
      <alignment vertical="center" wrapText="1"/>
    </xf>
    <xf numFmtId="167" fontId="6" fillId="6" borderId="16" xfId="0" applyNumberFormat="1" applyFont="1" applyFill="1" applyBorder="1" applyAlignment="1">
      <alignment vertical="center" wrapText="1"/>
    </xf>
    <xf numFmtId="167" fontId="6" fillId="6" borderId="19" xfId="0" applyNumberFormat="1" applyFont="1" applyFill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167" fontId="6" fillId="0" borderId="0" xfId="0" applyNumberFormat="1" applyFont="1" applyFill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0" fillId="0" borderId="13" xfId="0" applyFont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 indent="1"/>
    </xf>
    <xf numFmtId="0" fontId="19" fillId="0" borderId="8" xfId="0" applyFont="1" applyFill="1" applyBorder="1" applyAlignment="1">
      <alignment horizontal="left" vertical="center" wrapText="1" indent="1"/>
    </xf>
    <xf numFmtId="166" fontId="7" fillId="0" borderId="0" xfId="0" applyNumberFormat="1" applyFont="1" applyFill="1" applyAlignment="1">
      <alignment vertical="center" wrapText="1"/>
    </xf>
    <xf numFmtId="167" fontId="19" fillId="0" borderId="10" xfId="0" applyNumberFormat="1" applyFont="1" applyFill="1" applyBorder="1" applyAlignment="1">
      <alignment vertical="center" wrapText="1"/>
    </xf>
    <xf numFmtId="166" fontId="9" fillId="0" borderId="10" xfId="0" applyNumberFormat="1" applyFont="1" applyFill="1" applyBorder="1" applyAlignment="1">
      <alignment horizontal="right" shrinkToFit="1"/>
    </xf>
    <xf numFmtId="166" fontId="7" fillId="0" borderId="16" xfId="0" applyNumberFormat="1" applyFont="1" applyFill="1" applyBorder="1" applyAlignment="1">
      <alignment vertical="center" shrinkToFit="1"/>
    </xf>
    <xf numFmtId="4" fontId="7" fillId="0" borderId="0" xfId="0" applyNumberFormat="1" applyFont="1" applyAlignment="1">
      <alignment horizontal="left" vertical="center" wrapText="1"/>
    </xf>
    <xf numFmtId="167" fontId="8" fillId="6" borderId="10" xfId="0" applyNumberFormat="1" applyFont="1" applyFill="1" applyBorder="1" applyAlignment="1">
      <alignment vertical="center" wrapText="1"/>
    </xf>
    <xf numFmtId="167" fontId="8" fillId="6" borderId="13" xfId="0" applyNumberFormat="1" applyFont="1" applyFill="1" applyBorder="1" applyAlignment="1">
      <alignment vertical="center" wrapText="1"/>
    </xf>
    <xf numFmtId="167" fontId="19" fillId="0" borderId="13" xfId="0" applyNumberFormat="1" applyFont="1" applyBorder="1" applyAlignment="1">
      <alignment horizontal="center" vertical="center" wrapText="1"/>
    </xf>
    <xf numFmtId="167" fontId="23" fillId="0" borderId="13" xfId="0" applyNumberFormat="1" applyFont="1" applyBorder="1" applyAlignment="1">
      <alignment horizontal="center" vertical="center" wrapText="1"/>
    </xf>
    <xf numFmtId="167" fontId="19" fillId="0" borderId="10" xfId="0" applyNumberFormat="1" applyFont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167" fontId="8" fillId="8" borderId="10" xfId="0" applyNumberFormat="1" applyFont="1" applyFill="1" applyBorder="1" applyAlignment="1">
      <alignment vertical="center" shrinkToFit="1"/>
    </xf>
    <xf numFmtId="0" fontId="8" fillId="6" borderId="8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 indent="1"/>
    </xf>
    <xf numFmtId="0" fontId="8" fillId="0" borderId="8" xfId="0" applyFont="1" applyBorder="1" applyAlignment="1">
      <alignment horizontal="left" vertical="center" wrapText="1"/>
    </xf>
    <xf numFmtId="167" fontId="8" fillId="8" borderId="13" xfId="0" applyNumberFormat="1" applyFont="1" applyFill="1" applyBorder="1" applyAlignment="1">
      <alignment vertical="center" shrinkToFit="1"/>
    </xf>
    <xf numFmtId="0" fontId="6" fillId="8" borderId="15" xfId="0" applyFont="1" applyFill="1" applyBorder="1"/>
    <xf numFmtId="167" fontId="6" fillId="8" borderId="16" xfId="0" applyNumberFormat="1" applyFont="1" applyFill="1" applyBorder="1" applyAlignment="1">
      <alignment vertical="center" wrapText="1"/>
    </xf>
    <xf numFmtId="167" fontId="6" fillId="8" borderId="19" xfId="0" applyNumberFormat="1" applyFont="1" applyFill="1" applyBorder="1" applyAlignment="1">
      <alignment vertical="center" wrapText="1"/>
    </xf>
    <xf numFmtId="0" fontId="6" fillId="0" borderId="0" xfId="0" applyFont="1" applyFill="1" applyBorder="1"/>
    <xf numFmtId="167" fontId="6" fillId="0" borderId="0" xfId="0" applyNumberFormat="1" applyFont="1" applyFill="1" applyBorder="1" applyAlignment="1">
      <alignment vertical="center" wrapText="1"/>
    </xf>
    <xf numFmtId="167" fontId="6" fillId="0" borderId="13" xfId="0" applyNumberFormat="1" applyFont="1" applyBorder="1" applyAlignment="1">
      <alignment vertical="center" wrapText="1"/>
    </xf>
    <xf numFmtId="0" fontId="6" fillId="8" borderId="15" xfId="0" applyFont="1" applyFill="1" applyBorder="1" applyAlignment="1">
      <alignment vertical="center" wrapText="1"/>
    </xf>
    <xf numFmtId="167" fontId="6" fillId="8" borderId="0" xfId="0" applyNumberFormat="1" applyFont="1" applyFill="1" applyAlignment="1">
      <alignment vertical="center" wrapText="1"/>
    </xf>
    <xf numFmtId="0" fontId="8" fillId="8" borderId="27" xfId="0" applyFont="1" applyFill="1" applyBorder="1" applyAlignment="1">
      <alignment vertical="center" wrapText="1"/>
    </xf>
    <xf numFmtId="4" fontId="8" fillId="8" borderId="22" xfId="0" applyNumberFormat="1" applyFont="1" applyFill="1" applyBorder="1" applyAlignment="1">
      <alignment horizontal="right" vertical="center" shrinkToFit="1"/>
    </xf>
    <xf numFmtId="167" fontId="8" fillId="8" borderId="22" xfId="0" applyNumberFormat="1" applyFont="1" applyFill="1" applyBorder="1" applyAlignment="1">
      <alignment vertical="center" wrapText="1"/>
    </xf>
    <xf numFmtId="167" fontId="8" fillId="8" borderId="28" xfId="0" applyNumberFormat="1" applyFont="1" applyFill="1" applyBorder="1" applyAlignment="1">
      <alignment vertical="center" wrapText="1"/>
    </xf>
    <xf numFmtId="0" fontId="8" fillId="8" borderId="10" xfId="0" applyFont="1" applyFill="1" applyBorder="1" applyAlignment="1">
      <alignment vertical="center" wrapText="1"/>
    </xf>
    <xf numFmtId="4" fontId="8" fillId="8" borderId="10" xfId="0" applyNumberFormat="1" applyFont="1" applyFill="1" applyBorder="1" applyAlignment="1">
      <alignment horizontal="right" vertical="center" shrinkToFit="1"/>
    </xf>
    <xf numFmtId="167" fontId="23" fillId="0" borderId="10" xfId="0" applyNumberFormat="1" applyFont="1" applyBorder="1" applyAlignment="1">
      <alignment horizontal="right" vertical="center" wrapText="1"/>
    </xf>
    <xf numFmtId="49" fontId="13" fillId="0" borderId="10" xfId="0" applyNumberFormat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49" fontId="27" fillId="0" borderId="10" xfId="0" applyNumberFormat="1" applyFont="1" applyFill="1" applyBorder="1" applyAlignment="1">
      <alignment horizontal="center" vertical="center" wrapText="1"/>
    </xf>
    <xf numFmtId="49" fontId="27" fillId="0" borderId="13" xfId="0" applyNumberFormat="1" applyFont="1" applyFill="1" applyBorder="1" applyAlignment="1">
      <alignment horizontal="center" vertical="center" wrapText="1"/>
    </xf>
    <xf numFmtId="49" fontId="27" fillId="0" borderId="0" xfId="0" applyNumberFormat="1" applyFont="1" applyFill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167" fontId="7" fillId="0" borderId="10" xfId="0" applyNumberFormat="1" applyFont="1" applyBorder="1" applyAlignment="1">
      <alignment horizontal="right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167" fontId="0" fillId="0" borderId="0" xfId="0" applyNumberFormat="1" applyFont="1" applyAlignment="1">
      <alignment vertical="center" wrapText="1"/>
    </xf>
    <xf numFmtId="0" fontId="27" fillId="12" borderId="10" xfId="0" applyFont="1" applyFill="1" applyBorder="1" applyAlignment="1">
      <alignment horizontal="center" vertical="center" wrapText="1"/>
    </xf>
    <xf numFmtId="0" fontId="27" fillId="12" borderId="0" xfId="0" applyFont="1" applyFill="1" applyAlignment="1">
      <alignment horizontal="center" vertical="center" wrapText="1"/>
    </xf>
    <xf numFmtId="0" fontId="0" fillId="0" borderId="8" xfId="0" applyFont="1" applyBorder="1" applyAlignment="1">
      <alignment vertical="center" wrapText="1"/>
    </xf>
    <xf numFmtId="167" fontId="0" fillId="0" borderId="10" xfId="0" applyNumberFormat="1" applyFont="1" applyBorder="1" applyAlignment="1">
      <alignment vertical="center" wrapText="1"/>
    </xf>
    <xf numFmtId="167" fontId="0" fillId="12" borderId="10" xfId="0" applyNumberFormat="1" applyFont="1" applyFill="1" applyBorder="1" applyAlignment="1">
      <alignment vertical="center" wrapText="1"/>
    </xf>
    <xf numFmtId="167" fontId="0" fillId="0" borderId="13" xfId="0" applyNumberFormat="1" applyFont="1" applyBorder="1" applyAlignment="1">
      <alignment vertical="center" wrapText="1"/>
    </xf>
    <xf numFmtId="167" fontId="0" fillId="12" borderId="8" xfId="0" applyNumberFormat="1" applyFont="1" applyFill="1" applyBorder="1" applyAlignment="1">
      <alignment vertical="center" wrapText="1"/>
    </xf>
    <xf numFmtId="167" fontId="0" fillId="12" borderId="13" xfId="0" applyNumberFormat="1" applyFont="1" applyFill="1" applyBorder="1" applyAlignment="1">
      <alignment vertical="center" wrapText="1"/>
    </xf>
    <xf numFmtId="167" fontId="6" fillId="12" borderId="10" xfId="0" applyNumberFormat="1" applyFont="1" applyFill="1" applyBorder="1" applyAlignment="1">
      <alignment vertical="center" wrapText="1"/>
    </xf>
    <xf numFmtId="167" fontId="6" fillId="6" borderId="13" xfId="0" applyNumberFormat="1" applyFont="1" applyFill="1" applyBorder="1" applyAlignment="1">
      <alignment vertical="center" wrapText="1"/>
    </xf>
    <xf numFmtId="167" fontId="6" fillId="6" borderId="0" xfId="0" applyNumberFormat="1" applyFont="1" applyFill="1" applyAlignment="1">
      <alignment vertical="center" wrapText="1"/>
    </xf>
    <xf numFmtId="167" fontId="6" fillId="12" borderId="16" xfId="0" applyNumberFormat="1" applyFont="1" applyFill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right" vertical="center" wrapText="1"/>
    </xf>
    <xf numFmtId="0" fontId="6" fillId="8" borderId="8" xfId="0" applyFont="1" applyFill="1" applyBorder="1" applyAlignment="1">
      <alignment vertical="center" wrapText="1"/>
    </xf>
    <xf numFmtId="167" fontId="6" fillId="8" borderId="10" xfId="0" applyNumberFormat="1" applyFont="1" applyFill="1" applyBorder="1" applyAlignment="1">
      <alignment vertical="center" wrapText="1"/>
    </xf>
    <xf numFmtId="167" fontId="6" fillId="8" borderId="13" xfId="0" applyNumberFormat="1" applyFont="1" applyFill="1" applyBorder="1" applyAlignment="1">
      <alignment vertical="center" wrapText="1"/>
    </xf>
    <xf numFmtId="167" fontId="0" fillId="12" borderId="0" xfId="0" applyNumberFormat="1" applyFont="1" applyFill="1" applyAlignment="1">
      <alignment vertical="center" wrapText="1"/>
    </xf>
    <xf numFmtId="167" fontId="0" fillId="12" borderId="14" xfId="0" applyNumberFormat="1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/>
    </xf>
    <xf numFmtId="167" fontId="0" fillId="0" borderId="0" xfId="0" applyNumberFormat="1" applyFont="1" applyFill="1" applyAlignment="1">
      <alignment vertical="center" wrapText="1"/>
    </xf>
    <xf numFmtId="0" fontId="0" fillId="0" borderId="8" xfId="0" applyBorder="1" applyAlignment="1">
      <alignment vertical="center" wrapText="1"/>
    </xf>
    <xf numFmtId="167" fontId="0" fillId="0" borderId="10" xfId="0" applyNumberFormat="1" applyBorder="1" applyAlignment="1">
      <alignment vertical="center" wrapText="1"/>
    </xf>
    <xf numFmtId="167" fontId="0" fillId="12" borderId="10" xfId="0" applyNumberFormat="1" applyFill="1" applyBorder="1" applyAlignment="1">
      <alignment vertical="center" wrapText="1"/>
    </xf>
    <xf numFmtId="167" fontId="0" fillId="0" borderId="13" xfId="0" applyNumberFormat="1" applyBorder="1" applyAlignment="1">
      <alignment vertical="center" wrapText="1"/>
    </xf>
    <xf numFmtId="167" fontId="0" fillId="0" borderId="8" xfId="0" applyNumberFormat="1" applyBorder="1" applyAlignment="1">
      <alignment vertical="center" wrapText="1"/>
    </xf>
    <xf numFmtId="167" fontId="0" fillId="0" borderId="0" xfId="0" applyNumberFormat="1" applyFill="1" applyAlignment="1">
      <alignment vertical="center" wrapText="1"/>
    </xf>
    <xf numFmtId="0" fontId="0" fillId="0" borderId="0" xfId="0" applyAlignment="1">
      <alignment vertical="center" wrapText="1"/>
    </xf>
    <xf numFmtId="167" fontId="0" fillId="0" borderId="0" xfId="0" applyNumberFormat="1" applyAlignment="1">
      <alignment vertical="center" wrapText="1"/>
    </xf>
    <xf numFmtId="167" fontId="0" fillId="12" borderId="8" xfId="0" applyNumberFormat="1" applyFill="1" applyBorder="1" applyAlignment="1">
      <alignment vertical="center" wrapText="1"/>
    </xf>
    <xf numFmtId="167" fontId="0" fillId="12" borderId="13" xfId="0" applyNumberFormat="1" applyFill="1" applyBorder="1" applyAlignment="1">
      <alignment vertical="center" wrapText="1"/>
    </xf>
    <xf numFmtId="167" fontId="6" fillId="12" borderId="19" xfId="0" applyNumberFormat="1" applyFont="1" applyFill="1" applyBorder="1" applyAlignment="1">
      <alignment vertical="center" wrapText="1"/>
    </xf>
    <xf numFmtId="0" fontId="4" fillId="0" borderId="0" xfId="1"/>
    <xf numFmtId="0" fontId="4" fillId="0" borderId="0" xfId="1" applyAlignment="1">
      <alignment horizontal="right"/>
    </xf>
    <xf numFmtId="0" fontId="4" fillId="2" borderId="0" xfId="1" applyFill="1"/>
    <xf numFmtId="0" fontId="3" fillId="0" borderId="0" xfId="1" applyFont="1"/>
    <xf numFmtId="0" fontId="3" fillId="0" borderId="0" xfId="1" applyFont="1" applyAlignment="1">
      <alignment horizontal="right"/>
    </xf>
    <xf numFmtId="0" fontId="3" fillId="2" borderId="0" xfId="1" applyFont="1" applyFill="1"/>
    <xf numFmtId="0" fontId="3" fillId="2" borderId="13" xfId="1" applyFont="1" applyFill="1" applyBorder="1"/>
    <xf numFmtId="0" fontId="3" fillId="0" borderId="8" xfId="1" applyFont="1" applyBorder="1" applyAlignment="1">
      <alignment horizontal="center" vertical="center"/>
    </xf>
    <xf numFmtId="0" fontId="3" fillId="2" borderId="10" xfId="1" applyFont="1" applyFill="1" applyBorder="1" applyAlignment="1">
      <alignment wrapText="1"/>
    </xf>
    <xf numFmtId="164" fontId="3" fillId="2" borderId="10" xfId="1" applyNumberFormat="1" applyFont="1" applyFill="1" applyBorder="1"/>
    <xf numFmtId="164" fontId="3" fillId="2" borderId="14" xfId="1" applyNumberFormat="1" applyFont="1" applyFill="1" applyBorder="1"/>
    <xf numFmtId="164" fontId="3" fillId="2" borderId="12" xfId="1" applyNumberFormat="1" applyFont="1" applyFill="1" applyBorder="1"/>
    <xf numFmtId="165" fontId="3" fillId="2" borderId="13" xfId="1" applyNumberFormat="1" applyFont="1" applyFill="1" applyBorder="1"/>
    <xf numFmtId="0" fontId="3" fillId="2" borderId="10" xfId="1" applyFont="1" applyFill="1" applyBorder="1" applyAlignment="1">
      <alignment vertical="top" wrapText="1"/>
    </xf>
    <xf numFmtId="0" fontId="7" fillId="2" borderId="10" xfId="1" applyNumberFormat="1" applyFont="1" applyFill="1" applyBorder="1" applyAlignment="1">
      <alignment wrapText="1"/>
    </xf>
    <xf numFmtId="0" fontId="3" fillId="0" borderId="8" xfId="1" applyFont="1" applyFill="1" applyBorder="1" applyAlignment="1">
      <alignment horizontal="center" vertical="center"/>
    </xf>
    <xf numFmtId="164" fontId="3" fillId="2" borderId="10" xfId="1" applyNumberFormat="1" applyFont="1" applyFill="1" applyBorder="1" applyAlignment="1">
      <alignment horizontal="right"/>
    </xf>
    <xf numFmtId="0" fontId="3" fillId="0" borderId="15" xfId="1" applyFont="1" applyBorder="1"/>
    <xf numFmtId="164" fontId="6" fillId="2" borderId="16" xfId="1" applyNumberFormat="1" applyFont="1" applyFill="1" applyBorder="1"/>
    <xf numFmtId="164" fontId="6" fillId="2" borderId="17" xfId="1" applyNumberFormat="1" applyFont="1" applyFill="1" applyBorder="1" applyAlignment="1">
      <alignment horizontal="center"/>
    </xf>
    <xf numFmtId="164" fontId="6" fillId="2" borderId="18" xfId="1" applyNumberFormat="1" applyFont="1" applyFill="1" applyBorder="1"/>
    <xf numFmtId="0" fontId="6" fillId="2" borderId="19" xfId="1" applyFont="1" applyFill="1" applyBorder="1" applyAlignment="1">
      <alignment horizontal="center"/>
    </xf>
    <xf numFmtId="0" fontId="3" fillId="2" borderId="10" xfId="1" applyFont="1" applyFill="1" applyBorder="1"/>
    <xf numFmtId="165" fontId="3" fillId="2" borderId="10" xfId="1" applyNumberFormat="1" applyFont="1" applyFill="1" applyBorder="1"/>
    <xf numFmtId="0" fontId="6" fillId="2" borderId="16" xfId="1" applyFont="1" applyFill="1" applyBorder="1" applyAlignment="1">
      <alignment horizontal="center"/>
    </xf>
    <xf numFmtId="0" fontId="2" fillId="0" borderId="0" xfId="1" applyFont="1"/>
    <xf numFmtId="49" fontId="2" fillId="0" borderId="0" xfId="1" applyNumberFormat="1" applyFont="1"/>
    <xf numFmtId="0" fontId="6" fillId="0" borderId="12" xfId="0" applyFont="1" applyBorder="1" applyAlignment="1">
      <alignment horizontal="center" vertical="center" wrapText="1"/>
    </xf>
    <xf numFmtId="0" fontId="3" fillId="0" borderId="13" xfId="1" applyFont="1" applyFill="1" applyBorder="1"/>
    <xf numFmtId="165" fontId="3" fillId="0" borderId="13" xfId="1" applyNumberFormat="1" applyFont="1" applyFill="1" applyBorder="1"/>
    <xf numFmtId="0" fontId="31" fillId="0" borderId="8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12" borderId="10" xfId="0" applyFont="1" applyFill="1" applyBorder="1" applyAlignment="1">
      <alignment horizontal="center" vertical="center" wrapText="1"/>
    </xf>
    <xf numFmtId="0" fontId="31" fillId="0" borderId="13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166" fontId="7" fillId="0" borderId="0" xfId="0" applyNumberFormat="1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49" fontId="13" fillId="0" borderId="22" xfId="0" applyNumberFormat="1" applyFont="1" applyFill="1" applyBorder="1" applyAlignment="1">
      <alignment horizontal="center" vertical="center" wrapText="1"/>
    </xf>
    <xf numFmtId="49" fontId="13" fillId="0" borderId="9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49" fontId="13" fillId="0" borderId="10" xfId="0" applyNumberFormat="1" applyFont="1" applyFill="1" applyBorder="1" applyAlignment="1">
      <alignment horizontal="center" vertical="center" wrapText="1"/>
    </xf>
    <xf numFmtId="49" fontId="12" fillId="0" borderId="13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24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7" fontId="6" fillId="0" borderId="0" xfId="0" applyNumberFormat="1" applyFont="1" applyFill="1" applyAlignment="1">
      <alignment horizontal="right" vertical="center" wrapText="1"/>
    </xf>
    <xf numFmtId="0" fontId="24" fillId="0" borderId="0" xfId="0" applyFont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2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0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20" xfId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 vertical="center" wrapText="1"/>
    </xf>
    <xf numFmtId="0" fontId="6" fillId="2" borderId="13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6" fillId="2" borderId="20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27" fillId="12" borderId="12" xfId="0" applyFont="1" applyFill="1" applyBorder="1" applyAlignment="1">
      <alignment horizontal="center" vertical="center" wrapText="1"/>
    </xf>
    <xf numFmtId="0" fontId="27" fillId="12" borderId="21" xfId="0" applyFont="1" applyFill="1" applyBorder="1" applyAlignment="1">
      <alignment horizontal="center" vertical="center" wrapText="1"/>
    </xf>
    <xf numFmtId="0" fontId="27" fillId="12" borderId="14" xfId="0" applyFont="1" applyFill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12" borderId="12" xfId="0" applyFont="1" applyFill="1" applyBorder="1" applyAlignment="1">
      <alignment horizontal="center" vertical="center" wrapText="1"/>
    </xf>
    <xf numFmtId="0" fontId="6" fillId="12" borderId="21" xfId="0" applyFont="1" applyFill="1" applyBorder="1" applyAlignment="1">
      <alignment horizontal="center" vertical="center" wrapText="1"/>
    </xf>
    <xf numFmtId="0" fontId="6" fillId="12" borderId="1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right" vertical="center" wrapText="1"/>
    </xf>
  </cellXfs>
  <cellStyles count="4">
    <cellStyle name="xl251" xfId="2"/>
    <cellStyle name="xl58" xfId="3"/>
    <cellStyle name="Обычный" xfId="0" builtinId="0"/>
    <cellStyle name="Обычный 2" xfId="1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0;&#1095;&#1077;&#1074;_&#1041;&#1059;,%20&#1040;&#105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"/>
      <sheetName val="Деб.кред_МО"/>
      <sheetName val="Обл."/>
      <sheetName val="Деб.кред._обл"/>
    </sheetNames>
    <sheetDataSet>
      <sheetData sheetId="0" refreshError="1"/>
      <sheetData sheetId="1" refreshError="1"/>
      <sheetData sheetId="2">
        <row r="27">
          <cell r="BI27">
            <v>99.515213265935046</v>
          </cell>
          <cell r="BK27">
            <v>98.222990201423627</v>
          </cell>
        </row>
      </sheetData>
      <sheetData sheetId="3">
        <row r="27">
          <cell r="BD27">
            <v>-103769.24789999999</v>
          </cell>
          <cell r="BE27">
            <v>2506.4391999999998</v>
          </cell>
          <cell r="BF27">
            <v>-36812.499799999991</v>
          </cell>
          <cell r="BG27">
            <v>229.2517</v>
          </cell>
          <cell r="BH27">
            <v>0</v>
          </cell>
          <cell r="BI27">
            <v>575.6259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L159"/>
  <sheetViews>
    <sheetView view="pageBreakPreview" zoomScale="60" zoomScaleNormal="115" workbookViewId="0">
      <selection activeCell="AB123" sqref="AB123:AB125"/>
    </sheetView>
  </sheetViews>
  <sheetFormatPr defaultColWidth="8.19921875" defaultRowHeight="13.2" x14ac:dyDescent="0.25"/>
  <cols>
    <col min="1" max="1" width="42" style="5" customWidth="1"/>
    <col min="2" max="3" width="10.69921875" style="6" hidden="1" customWidth="1"/>
    <col min="4" max="4" width="11.3984375" style="6" hidden="1" customWidth="1"/>
    <col min="5" max="5" width="15.3984375" style="6" hidden="1" customWidth="1"/>
    <col min="6" max="8" width="8.19921875" style="6" hidden="1" customWidth="1"/>
    <col min="9" max="9" width="9.8984375" style="6" hidden="1" customWidth="1"/>
    <col min="10" max="10" width="10" style="6" hidden="1" customWidth="1"/>
    <col min="11" max="11" width="11.8984375" style="6" hidden="1" customWidth="1"/>
    <col min="12" max="12" width="14.69921875" style="6" hidden="1" customWidth="1"/>
    <col min="13" max="13" width="9.19921875" style="6" hidden="1" customWidth="1"/>
    <col min="14" max="15" width="8.19921875" style="6" hidden="1" customWidth="1"/>
    <col min="16" max="16" width="8.3984375" style="4" customWidth="1"/>
    <col min="17" max="17" width="8.69921875" style="4" bestFit="1" customWidth="1"/>
    <col min="18" max="18" width="8.3984375" style="4" customWidth="1"/>
    <col min="19" max="20" width="7.69921875" style="4" customWidth="1"/>
    <col min="21" max="21" width="7.19921875" style="4" customWidth="1"/>
    <col min="22" max="22" width="9.09765625" style="4" bestFit="1" customWidth="1"/>
    <col min="23" max="23" width="8.19921875" style="4"/>
    <col min="24" max="24" width="8.5" style="4" customWidth="1"/>
    <col min="25" max="25" width="8" style="4" customWidth="1"/>
    <col min="26" max="26" width="7.59765625" style="4" customWidth="1"/>
    <col min="27" max="27" width="7.19921875" style="4" customWidth="1"/>
    <col min="28" max="28" width="8.5" style="4" customWidth="1"/>
    <col min="29" max="29" width="7.69921875" style="4" customWidth="1"/>
    <col min="30" max="30" width="8.3984375" style="4" customWidth="1"/>
    <col min="31" max="31" width="6.69921875" style="4" customWidth="1"/>
    <col min="32" max="32" width="6.8984375" style="4" customWidth="1"/>
    <col min="33" max="33" width="7.5" style="4" customWidth="1"/>
    <col min="34" max="34" width="6.3984375" style="4" hidden="1" customWidth="1"/>
    <col min="35" max="35" width="14.19921875" style="4" hidden="1" customWidth="1"/>
    <col min="36" max="36" width="14.3984375" style="4" hidden="1" customWidth="1"/>
    <col min="37" max="37" width="14.8984375" style="4" hidden="1" customWidth="1"/>
    <col min="38" max="38" width="0" style="4" hidden="1" customWidth="1"/>
    <col min="39" max="16384" width="8.19921875" style="4"/>
  </cols>
  <sheetData>
    <row r="1" spans="1:38" x14ac:dyDescent="0.25">
      <c r="AD1" s="373" t="s">
        <v>220</v>
      </c>
      <c r="AE1" s="373"/>
      <c r="AF1" s="373"/>
      <c r="AG1" s="373"/>
    </row>
    <row r="2" spans="1:38" ht="29.25" customHeight="1" x14ac:dyDescent="0.25">
      <c r="A2" s="374" t="s">
        <v>236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4"/>
      <c r="X2" s="374"/>
      <c r="Y2" s="374"/>
      <c r="Z2" s="374"/>
      <c r="AA2" s="374"/>
      <c r="AB2" s="374"/>
      <c r="AC2" s="374"/>
      <c r="AD2" s="374"/>
      <c r="AE2" s="374"/>
      <c r="AF2" s="374"/>
      <c r="AG2" s="374"/>
      <c r="AH2" s="196"/>
    </row>
    <row r="3" spans="1:38" ht="13.8" thickBot="1" x14ac:dyDescent="0.3">
      <c r="M3" s="7">
        <f>M27+N27+O27-L27</f>
        <v>0</v>
      </c>
      <c r="P3" s="201"/>
      <c r="Q3" s="201"/>
      <c r="R3" s="201"/>
      <c r="S3" s="45"/>
      <c r="T3" s="45"/>
      <c r="U3" s="45"/>
      <c r="V3" s="201"/>
      <c r="W3" s="201"/>
      <c r="X3" s="201"/>
      <c r="AB3" s="202"/>
      <c r="AC3" s="203"/>
      <c r="AD3" s="202"/>
      <c r="AJ3" s="45">
        <f>X3-R3</f>
        <v>0</v>
      </c>
    </row>
    <row r="4" spans="1:38" s="5" customFormat="1" ht="13.95" customHeight="1" thickTop="1" x14ac:dyDescent="0.25">
      <c r="A4" s="375" t="s">
        <v>36</v>
      </c>
      <c r="B4" s="377" t="s">
        <v>230</v>
      </c>
      <c r="C4" s="377"/>
      <c r="D4" s="377"/>
      <c r="E4" s="377"/>
      <c r="F4" s="377"/>
      <c r="G4" s="377"/>
      <c r="H4" s="377"/>
      <c r="I4" s="377" t="s">
        <v>231</v>
      </c>
      <c r="J4" s="377"/>
      <c r="K4" s="377"/>
      <c r="L4" s="377"/>
      <c r="M4" s="377"/>
      <c r="N4" s="377"/>
      <c r="O4" s="377"/>
      <c r="P4" s="377" t="s">
        <v>232</v>
      </c>
      <c r="Q4" s="377"/>
      <c r="R4" s="377"/>
      <c r="S4" s="377"/>
      <c r="T4" s="377"/>
      <c r="U4" s="377"/>
      <c r="V4" s="377" t="s">
        <v>233</v>
      </c>
      <c r="W4" s="377"/>
      <c r="X4" s="377"/>
      <c r="Y4" s="377"/>
      <c r="Z4" s="377"/>
      <c r="AA4" s="377"/>
      <c r="AB4" s="377" t="s">
        <v>37</v>
      </c>
      <c r="AC4" s="377"/>
      <c r="AD4" s="377"/>
      <c r="AE4" s="377"/>
      <c r="AF4" s="377"/>
      <c r="AG4" s="378"/>
      <c r="AH4" s="204"/>
    </row>
    <row r="5" spans="1:38" s="5" customFormat="1" x14ac:dyDescent="0.25">
      <c r="A5" s="376"/>
      <c r="B5" s="379" t="s">
        <v>38</v>
      </c>
      <c r="C5" s="380" t="s">
        <v>39</v>
      </c>
      <c r="D5" s="381"/>
      <c r="E5" s="381"/>
      <c r="F5" s="381"/>
      <c r="G5" s="381"/>
      <c r="H5" s="382"/>
      <c r="I5" s="379" t="s">
        <v>38</v>
      </c>
      <c r="J5" s="198"/>
      <c r="K5" s="383" t="s">
        <v>39</v>
      </c>
      <c r="L5" s="383"/>
      <c r="M5" s="383"/>
      <c r="N5" s="383"/>
      <c r="O5" s="383"/>
      <c r="P5" s="379" t="s">
        <v>38</v>
      </c>
      <c r="Q5" s="383" t="s">
        <v>40</v>
      </c>
      <c r="R5" s="383"/>
      <c r="S5" s="383"/>
      <c r="T5" s="383"/>
      <c r="U5" s="383"/>
      <c r="V5" s="379" t="s">
        <v>38</v>
      </c>
      <c r="W5" s="383" t="s">
        <v>40</v>
      </c>
      <c r="X5" s="383"/>
      <c r="Y5" s="383"/>
      <c r="Z5" s="383"/>
      <c r="AA5" s="383"/>
      <c r="AB5" s="388" t="s">
        <v>38</v>
      </c>
      <c r="AC5" s="383" t="s">
        <v>40</v>
      </c>
      <c r="AD5" s="383"/>
      <c r="AE5" s="383"/>
      <c r="AF5" s="383"/>
      <c r="AG5" s="384"/>
      <c r="AH5" s="204"/>
    </row>
    <row r="6" spans="1:38" s="5" customFormat="1" ht="13.2" customHeight="1" x14ac:dyDescent="0.25">
      <c r="A6" s="376"/>
      <c r="B6" s="379"/>
      <c r="C6" s="385" t="s">
        <v>41</v>
      </c>
      <c r="D6" s="379" t="s">
        <v>42</v>
      </c>
      <c r="E6" s="379" t="s">
        <v>43</v>
      </c>
      <c r="F6" s="387" t="s">
        <v>44</v>
      </c>
      <c r="G6" s="387"/>
      <c r="H6" s="387"/>
      <c r="I6" s="379"/>
      <c r="J6" s="385" t="s">
        <v>41</v>
      </c>
      <c r="K6" s="379" t="s">
        <v>42</v>
      </c>
      <c r="L6" s="379" t="s">
        <v>43</v>
      </c>
      <c r="M6" s="387" t="s">
        <v>44</v>
      </c>
      <c r="N6" s="387"/>
      <c r="O6" s="387"/>
      <c r="P6" s="379"/>
      <c r="Q6" s="379" t="s">
        <v>42</v>
      </c>
      <c r="R6" s="388" t="s">
        <v>43</v>
      </c>
      <c r="S6" s="387" t="s">
        <v>44</v>
      </c>
      <c r="T6" s="387"/>
      <c r="U6" s="387"/>
      <c r="V6" s="379"/>
      <c r="W6" s="379" t="s">
        <v>42</v>
      </c>
      <c r="X6" s="388" t="s">
        <v>43</v>
      </c>
      <c r="Y6" s="387" t="s">
        <v>44</v>
      </c>
      <c r="Z6" s="387"/>
      <c r="AA6" s="387"/>
      <c r="AB6" s="388"/>
      <c r="AC6" s="388" t="s">
        <v>42</v>
      </c>
      <c r="AD6" s="388" t="s">
        <v>43</v>
      </c>
      <c r="AE6" s="389" t="s">
        <v>44</v>
      </c>
      <c r="AF6" s="389"/>
      <c r="AG6" s="390"/>
      <c r="AH6" s="205"/>
    </row>
    <row r="7" spans="1:38" s="5" customFormat="1" ht="45.6" customHeight="1" x14ac:dyDescent="0.25">
      <c r="A7" s="376"/>
      <c r="B7" s="379"/>
      <c r="C7" s="386"/>
      <c r="D7" s="379"/>
      <c r="E7" s="379"/>
      <c r="F7" s="199" t="s">
        <v>45</v>
      </c>
      <c r="G7" s="199" t="s">
        <v>46</v>
      </c>
      <c r="H7" s="199" t="s">
        <v>47</v>
      </c>
      <c r="I7" s="379"/>
      <c r="J7" s="386"/>
      <c r="K7" s="379"/>
      <c r="L7" s="379"/>
      <c r="M7" s="199" t="s">
        <v>45</v>
      </c>
      <c r="N7" s="199" t="s">
        <v>46</v>
      </c>
      <c r="O7" s="199" t="s">
        <v>47</v>
      </c>
      <c r="P7" s="379"/>
      <c r="Q7" s="379"/>
      <c r="R7" s="388"/>
      <c r="S7" s="199" t="s">
        <v>45</v>
      </c>
      <c r="T7" s="199" t="s">
        <v>46</v>
      </c>
      <c r="U7" s="199" t="s">
        <v>47</v>
      </c>
      <c r="V7" s="379"/>
      <c r="W7" s="379"/>
      <c r="X7" s="388"/>
      <c r="Y7" s="199" t="s">
        <v>45</v>
      </c>
      <c r="Z7" s="199" t="s">
        <v>46</v>
      </c>
      <c r="AA7" s="199" t="s">
        <v>47</v>
      </c>
      <c r="AB7" s="388"/>
      <c r="AC7" s="388"/>
      <c r="AD7" s="388"/>
      <c r="AE7" s="8" t="s">
        <v>45</v>
      </c>
      <c r="AF7" s="8" t="s">
        <v>46</v>
      </c>
      <c r="AG7" s="9" t="s">
        <v>48</v>
      </c>
      <c r="AH7" s="206"/>
    </row>
    <row r="8" spans="1:38" s="15" customFormat="1" ht="10.199999999999999" x14ac:dyDescent="0.25">
      <c r="A8" s="10" t="s">
        <v>28</v>
      </c>
      <c r="B8" s="11"/>
      <c r="C8" s="11"/>
      <c r="D8" s="12"/>
      <c r="E8" s="11"/>
      <c r="F8" s="13"/>
      <c r="G8" s="13"/>
      <c r="H8" s="13"/>
      <c r="I8" s="11"/>
      <c r="J8" s="11"/>
      <c r="K8" s="11"/>
      <c r="L8" s="11"/>
      <c r="M8" s="13"/>
      <c r="N8" s="13"/>
      <c r="O8" s="13"/>
      <c r="P8" s="11" t="s">
        <v>49</v>
      </c>
      <c r="Q8" s="11" t="s">
        <v>50</v>
      </c>
      <c r="R8" s="11" t="s">
        <v>51</v>
      </c>
      <c r="S8" s="13">
        <v>4</v>
      </c>
      <c r="T8" s="13">
        <v>5</v>
      </c>
      <c r="U8" s="13">
        <v>6</v>
      </c>
      <c r="V8" s="11" t="s">
        <v>52</v>
      </c>
      <c r="W8" s="11" t="s">
        <v>53</v>
      </c>
      <c r="X8" s="11" t="s">
        <v>54</v>
      </c>
      <c r="Y8" s="13">
        <v>10</v>
      </c>
      <c r="Z8" s="13">
        <v>11</v>
      </c>
      <c r="AA8" s="13">
        <v>12</v>
      </c>
      <c r="AB8" s="11" t="s">
        <v>55</v>
      </c>
      <c r="AC8" s="11" t="s">
        <v>56</v>
      </c>
      <c r="AD8" s="11" t="s">
        <v>57</v>
      </c>
      <c r="AE8" s="13" t="s">
        <v>58</v>
      </c>
      <c r="AF8" s="13" t="s">
        <v>59</v>
      </c>
      <c r="AG8" s="14" t="s">
        <v>60</v>
      </c>
      <c r="AH8" s="207"/>
    </row>
    <row r="9" spans="1:38" s="5" customFormat="1" x14ac:dyDescent="0.25">
      <c r="A9" s="197" t="s">
        <v>61</v>
      </c>
      <c r="B9" s="185">
        <f>B12+B13+B14+B15+B16+B17+B18+B19+B20+B21+B22+B23+B24+B25+B26-B11+B28</f>
        <v>7.62939453125E-6</v>
      </c>
      <c r="C9" s="185">
        <f t="shared" ref="C9:D9" si="0">C12+C13+C14+C15+C16+C17+C18+C19+C20+C21+C22+C23+C24+C25+C26-C11+C28</f>
        <v>0</v>
      </c>
      <c r="D9" s="185">
        <f t="shared" si="0"/>
        <v>0</v>
      </c>
      <c r="E9" s="185">
        <f>E12+E13+E14+E15+E16+E17+E18+E19+E20+E21+E22+E23+E24+E25+E26-E11+E28</f>
        <v>1.9073486328125E-6</v>
      </c>
      <c r="F9" s="185">
        <f t="shared" ref="F9:O9" si="1">F12+F13+F14+F15+F16+F17+F18+F19+F20+F21+F22+F23+F24+F25+F26-F11+F28</f>
        <v>0</v>
      </c>
      <c r="G9" s="185">
        <f t="shared" si="1"/>
        <v>-4.76837158203125E-7</v>
      </c>
      <c r="H9" s="185">
        <f t="shared" si="1"/>
        <v>0</v>
      </c>
      <c r="I9" s="185">
        <f t="shared" si="1"/>
        <v>-7.62939453125E-6</v>
      </c>
      <c r="J9" s="185">
        <f t="shared" si="1"/>
        <v>0</v>
      </c>
      <c r="K9" s="185">
        <f t="shared" si="1"/>
        <v>7.62939453125E-6</v>
      </c>
      <c r="L9" s="185">
        <f t="shared" si="1"/>
        <v>1.3732933439314365E-6</v>
      </c>
      <c r="M9" s="185">
        <f t="shared" si="1"/>
        <v>0</v>
      </c>
      <c r="N9" s="185">
        <f t="shared" si="1"/>
        <v>-9.5367431640625E-7</v>
      </c>
      <c r="O9" s="185">
        <f t="shared" si="1"/>
        <v>-5.7218130677938461E-8</v>
      </c>
      <c r="P9" s="16"/>
      <c r="Q9" s="16"/>
      <c r="R9" s="17">
        <f>T117+U117</f>
        <v>2112.9707650800001</v>
      </c>
      <c r="S9" s="18"/>
      <c r="T9" s="18"/>
      <c r="U9" s="18"/>
      <c r="V9" s="18"/>
      <c r="W9" s="18"/>
      <c r="X9" s="17">
        <f>Z117+AA117</f>
        <v>1975.4167303199997</v>
      </c>
      <c r="Y9" s="16"/>
      <c r="Z9" s="16"/>
      <c r="AA9" s="16"/>
      <c r="AB9" s="16"/>
      <c r="AC9" s="16"/>
      <c r="AD9" s="16"/>
      <c r="AE9" s="16"/>
      <c r="AF9" s="16"/>
      <c r="AG9" s="19"/>
      <c r="AH9" s="208">
        <f>+AH17+AH14+AH18+AH19</f>
        <v>10.201020620000094</v>
      </c>
    </row>
    <row r="10" spans="1:38" hidden="1" x14ac:dyDescent="0.25">
      <c r="A10" s="20" t="s">
        <v>62</v>
      </c>
      <c r="B10" s="21">
        <v>76257640211.929993</v>
      </c>
      <c r="C10" s="21">
        <v>23370726956.439999</v>
      </c>
      <c r="D10" s="21">
        <v>64176873792.849998</v>
      </c>
      <c r="E10" s="22">
        <f>F10+G10+H10-E117</f>
        <v>33338522610.439995</v>
      </c>
      <c r="F10" s="21">
        <v>18903584014.810001</v>
      </c>
      <c r="G10" s="21">
        <v>14101294728.440001</v>
      </c>
      <c r="H10" s="21">
        <v>2446614632.27</v>
      </c>
      <c r="I10" s="21">
        <v>76277867758.130005</v>
      </c>
      <c r="J10" s="21">
        <v>22476809561.029999</v>
      </c>
      <c r="K10" s="21">
        <v>64037151832.720001</v>
      </c>
      <c r="L10" s="22">
        <f>+M10+N10+O10-L117</f>
        <v>32742108756.120003</v>
      </c>
      <c r="M10" s="23">
        <v>18477241213.52</v>
      </c>
      <c r="N10" s="23">
        <v>13957209201.379999</v>
      </c>
      <c r="O10" s="23">
        <v>2283075071.54</v>
      </c>
      <c r="P10" s="24">
        <f t="shared" ref="P10:P38" si="2">B10/1000000</f>
        <v>76257.640211929989</v>
      </c>
      <c r="Q10" s="24">
        <f t="shared" ref="Q10:V25" si="3">D10/1000000</f>
        <v>64176.873792849998</v>
      </c>
      <c r="R10" s="24">
        <f t="shared" si="3"/>
        <v>33338.522610439992</v>
      </c>
      <c r="S10" s="24">
        <f t="shared" si="3"/>
        <v>18903.58401481</v>
      </c>
      <c r="T10" s="24">
        <f t="shared" si="3"/>
        <v>14101.29472844</v>
      </c>
      <c r="U10" s="24">
        <f t="shared" si="3"/>
        <v>2446.6146322700001</v>
      </c>
      <c r="V10" s="24">
        <f t="shared" si="3"/>
        <v>76277.86775813</v>
      </c>
      <c r="W10" s="24">
        <f t="shared" ref="W10:AA38" si="4">K10/1000000</f>
        <v>64037.151832720003</v>
      </c>
      <c r="X10" s="24">
        <f t="shared" si="4"/>
        <v>32742.108756120004</v>
      </c>
      <c r="Y10" s="24">
        <f t="shared" si="4"/>
        <v>18477.241213519999</v>
      </c>
      <c r="Z10" s="24">
        <f t="shared" si="4"/>
        <v>13957.209201379999</v>
      </c>
      <c r="AA10" s="24">
        <f t="shared" si="4"/>
        <v>2283.07507154</v>
      </c>
      <c r="AB10" s="25">
        <f t="shared" ref="AB10:AG11" si="5">V10/P10%</f>
        <v>100.02652527162365</v>
      </c>
      <c r="AC10" s="25">
        <f t="shared" si="5"/>
        <v>99.782286122909341</v>
      </c>
      <c r="AD10" s="24">
        <f t="shared" si="5"/>
        <v>98.211036939791626</v>
      </c>
      <c r="AE10" s="24">
        <f t="shared" si="5"/>
        <v>97.74464566636685</v>
      </c>
      <c r="AF10" s="24">
        <f t="shared" si="5"/>
        <v>98.978210654874104</v>
      </c>
      <c r="AG10" s="26">
        <f t="shared" si="5"/>
        <v>93.315679609981487</v>
      </c>
      <c r="AH10" s="208"/>
    </row>
    <row r="11" spans="1:38" s="33" customFormat="1" x14ac:dyDescent="0.25">
      <c r="A11" s="27" t="s">
        <v>63</v>
      </c>
      <c r="B11" s="28">
        <v>58139206952.089996</v>
      </c>
      <c r="C11" s="28">
        <v>711466.67</v>
      </c>
      <c r="D11" s="28">
        <v>45194517730.07</v>
      </c>
      <c r="E11" s="29">
        <v>12945400688.689999</v>
      </c>
      <c r="F11" s="28">
        <v>9390803316.2399998</v>
      </c>
      <c r="G11" s="28">
        <v>2579383666.3099999</v>
      </c>
      <c r="H11" s="28">
        <v>975213706.13999987</v>
      </c>
      <c r="I11" s="28">
        <v>58493944975.230003</v>
      </c>
      <c r="J11" s="28">
        <v>342595.61</v>
      </c>
      <c r="K11" s="28">
        <v>45400062653.550003</v>
      </c>
      <c r="L11" s="29">
        <v>13094224917.289999</v>
      </c>
      <c r="M11" s="28">
        <v>9538438739.5900002</v>
      </c>
      <c r="N11" s="28">
        <v>2609102484.46</v>
      </c>
      <c r="O11" s="28">
        <v>946683693.24000001</v>
      </c>
      <c r="P11" s="30">
        <f t="shared" si="2"/>
        <v>58139.206952089997</v>
      </c>
      <c r="Q11" s="30">
        <f t="shared" si="3"/>
        <v>45194.517730070002</v>
      </c>
      <c r="R11" s="30">
        <f t="shared" si="3"/>
        <v>12945.400688689999</v>
      </c>
      <c r="S11" s="30">
        <f t="shared" si="3"/>
        <v>9390.8033162400006</v>
      </c>
      <c r="T11" s="30">
        <f t="shared" si="3"/>
        <v>2579.3836663100001</v>
      </c>
      <c r="U11" s="30">
        <f t="shared" si="3"/>
        <v>975.21370613999989</v>
      </c>
      <c r="V11" s="30">
        <f t="shared" si="3"/>
        <v>58493.944975230006</v>
      </c>
      <c r="W11" s="30">
        <f t="shared" si="4"/>
        <v>45400.062653550005</v>
      </c>
      <c r="X11" s="30">
        <f t="shared" si="4"/>
        <v>13094.224917289999</v>
      </c>
      <c r="Y11" s="30">
        <f t="shared" si="4"/>
        <v>9538.4387395899994</v>
      </c>
      <c r="Z11" s="30">
        <f t="shared" si="4"/>
        <v>2609.1024844600001</v>
      </c>
      <c r="AA11" s="30">
        <f t="shared" si="4"/>
        <v>946.68369324000003</v>
      </c>
      <c r="AB11" s="30">
        <f t="shared" si="5"/>
        <v>100.61015284132156</v>
      </c>
      <c r="AC11" s="30">
        <f>W11/Q11%</f>
        <v>100.45480056830708</v>
      </c>
      <c r="AD11" s="30">
        <f t="shared" si="5"/>
        <v>101.14963014416406</v>
      </c>
      <c r="AE11" s="30">
        <f t="shared" si="5"/>
        <v>101.57212773368052</v>
      </c>
      <c r="AF11" s="30">
        <f t="shared" si="5"/>
        <v>101.15216741650981</v>
      </c>
      <c r="AG11" s="31">
        <f t="shared" si="5"/>
        <v>97.074486061837177</v>
      </c>
      <c r="AH11" s="209">
        <f>+X11-R11</f>
        <v>148.82422860000042</v>
      </c>
      <c r="AI11" s="32">
        <f>V11-W11-X11</f>
        <v>-0.3425956099981704</v>
      </c>
      <c r="AL11" s="33">
        <f>+V11-P11</f>
        <v>354.73802314000932</v>
      </c>
    </row>
    <row r="12" spans="1:38" x14ac:dyDescent="0.25">
      <c r="A12" s="34" t="s">
        <v>29</v>
      </c>
      <c r="B12" s="21">
        <v>13067549500</v>
      </c>
      <c r="C12" s="21"/>
      <c r="D12" s="21">
        <v>13067549500</v>
      </c>
      <c r="E12" s="35">
        <v>0</v>
      </c>
      <c r="F12" s="21"/>
      <c r="G12" s="21"/>
      <c r="H12" s="21">
        <v>0</v>
      </c>
      <c r="I12" s="21">
        <v>11885041492.66</v>
      </c>
      <c r="J12" s="21"/>
      <c r="K12" s="21">
        <v>11885041492.66</v>
      </c>
      <c r="L12" s="35">
        <v>0</v>
      </c>
      <c r="M12" s="21"/>
      <c r="N12" s="21"/>
      <c r="O12" s="21">
        <v>0</v>
      </c>
      <c r="P12" s="24">
        <f t="shared" si="2"/>
        <v>13067.549499999999</v>
      </c>
      <c r="Q12" s="24">
        <f t="shared" si="3"/>
        <v>13067.549499999999</v>
      </c>
      <c r="R12" s="24">
        <f t="shared" si="3"/>
        <v>0</v>
      </c>
      <c r="S12" s="24">
        <f t="shared" si="3"/>
        <v>0</v>
      </c>
      <c r="T12" s="24">
        <f t="shared" si="3"/>
        <v>0</v>
      </c>
      <c r="U12" s="24">
        <f t="shared" si="3"/>
        <v>0</v>
      </c>
      <c r="V12" s="24">
        <f t="shared" si="3"/>
        <v>11885.041492660001</v>
      </c>
      <c r="W12" s="24">
        <f t="shared" si="4"/>
        <v>11885.041492660001</v>
      </c>
      <c r="X12" s="24">
        <f t="shared" si="4"/>
        <v>0</v>
      </c>
      <c r="Y12" s="24">
        <f t="shared" si="4"/>
        <v>0</v>
      </c>
      <c r="Z12" s="24">
        <f t="shared" si="4"/>
        <v>0</v>
      </c>
      <c r="AA12" s="24">
        <f t="shared" si="4"/>
        <v>0</v>
      </c>
      <c r="AB12" s="24">
        <f>V12/P12%</f>
        <v>90.950805219142282</v>
      </c>
      <c r="AC12" s="24">
        <f>W12/Q12%</f>
        <v>90.950805219142282</v>
      </c>
      <c r="AD12" s="36" t="s">
        <v>64</v>
      </c>
      <c r="AE12" s="36" t="s">
        <v>64</v>
      </c>
      <c r="AF12" s="36" t="s">
        <v>64</v>
      </c>
      <c r="AG12" s="37" t="s">
        <v>64</v>
      </c>
      <c r="AH12" s="209">
        <f t="shared" ref="AH12:AH28" si="6">+X12-R12</f>
        <v>0</v>
      </c>
      <c r="AI12" s="4">
        <f t="shared" ref="AI12:AI37" si="7">V12-W12-X12</f>
        <v>0</v>
      </c>
      <c r="AJ12" s="45">
        <f>V12-P12</f>
        <v>-1182.5080073399986</v>
      </c>
    </row>
    <row r="13" spans="1:38" x14ac:dyDescent="0.25">
      <c r="A13" s="34" t="s">
        <v>65</v>
      </c>
      <c r="B13" s="21">
        <v>23988664009.16</v>
      </c>
      <c r="C13" s="21"/>
      <c r="D13" s="21">
        <v>15996747400</v>
      </c>
      <c r="E13" s="35">
        <v>7991916609.1599998</v>
      </c>
      <c r="F13" s="21">
        <v>6104749700</v>
      </c>
      <c r="G13" s="21">
        <v>1554716560</v>
      </c>
      <c r="H13" s="21">
        <v>332450349.15999997</v>
      </c>
      <c r="I13" s="21">
        <v>24466047472.689999</v>
      </c>
      <c r="J13" s="21"/>
      <c r="K13" s="21">
        <v>16336986517.549999</v>
      </c>
      <c r="L13" s="35">
        <v>8129060955.1399994</v>
      </c>
      <c r="M13" s="21">
        <v>6213343017.1499996</v>
      </c>
      <c r="N13" s="21">
        <v>1581624228.99</v>
      </c>
      <c r="O13" s="21">
        <v>334093709</v>
      </c>
      <c r="P13" s="24">
        <f t="shared" si="2"/>
        <v>23988.664009159998</v>
      </c>
      <c r="Q13" s="24">
        <f t="shared" si="3"/>
        <v>15996.7474</v>
      </c>
      <c r="R13" s="24">
        <f t="shared" si="3"/>
        <v>7991.91660916</v>
      </c>
      <c r="S13" s="24">
        <f t="shared" si="3"/>
        <v>6104.7497000000003</v>
      </c>
      <c r="T13" s="24">
        <f t="shared" si="3"/>
        <v>1554.7165600000001</v>
      </c>
      <c r="U13" s="24">
        <f t="shared" si="3"/>
        <v>332.45034915999997</v>
      </c>
      <c r="V13" s="24">
        <f t="shared" si="3"/>
        <v>24466.047472689999</v>
      </c>
      <c r="W13" s="24">
        <f t="shared" si="4"/>
        <v>16336.98651755</v>
      </c>
      <c r="X13" s="24">
        <f t="shared" si="4"/>
        <v>8129.0609551399994</v>
      </c>
      <c r="Y13" s="24">
        <f t="shared" si="4"/>
        <v>6213.3430171499995</v>
      </c>
      <c r="Z13" s="24">
        <f t="shared" si="4"/>
        <v>1581.6242289900001</v>
      </c>
      <c r="AA13" s="24">
        <f t="shared" si="4"/>
        <v>334.09370899999999</v>
      </c>
      <c r="AB13" s="25">
        <f>V13/P13%</f>
        <v>101.99003772510096</v>
      </c>
      <c r="AC13" s="25">
        <f>W13/Q13%</f>
        <v>102.12692686233201</v>
      </c>
      <c r="AD13" s="25">
        <f t="shared" ref="AD13:AG14" si="8">X13/R13%</f>
        <v>101.71603825073463</v>
      </c>
      <c r="AE13" s="25">
        <f t="shared" si="8"/>
        <v>101.77883324438346</v>
      </c>
      <c r="AF13" s="25">
        <f t="shared" si="8"/>
        <v>101.73071218782155</v>
      </c>
      <c r="AG13" s="38">
        <f t="shared" si="8"/>
        <v>100.49431737525687</v>
      </c>
      <c r="AH13" s="209">
        <f t="shared" si="6"/>
        <v>137.14434597999934</v>
      </c>
      <c r="AI13" s="4">
        <f t="shared" si="7"/>
        <v>0</v>
      </c>
    </row>
    <row r="14" spans="1:38" x14ac:dyDescent="0.25">
      <c r="A14" s="34" t="s">
        <v>66</v>
      </c>
      <c r="B14" s="21">
        <v>4054359785.7600002</v>
      </c>
      <c r="C14" s="21"/>
      <c r="D14" s="21">
        <v>3732066800</v>
      </c>
      <c r="E14" s="35">
        <v>322292985.75999999</v>
      </c>
      <c r="F14" s="21">
        <v>39308100</v>
      </c>
      <c r="G14" s="21">
        <v>235219758</v>
      </c>
      <c r="H14" s="21">
        <v>47765127.759999998</v>
      </c>
      <c r="I14" s="21">
        <v>4925182315.1599998</v>
      </c>
      <c r="J14" s="21"/>
      <c r="K14" s="21">
        <v>4568833568.9499998</v>
      </c>
      <c r="L14" s="35">
        <v>356348746.21000004</v>
      </c>
      <c r="M14" s="21">
        <v>43465638.590000004</v>
      </c>
      <c r="N14" s="21">
        <v>259582956.63</v>
      </c>
      <c r="O14" s="21">
        <v>53300150.990000002</v>
      </c>
      <c r="P14" s="24">
        <f t="shared" si="2"/>
        <v>4054.3597857600002</v>
      </c>
      <c r="Q14" s="24">
        <f t="shared" si="3"/>
        <v>3732.0668000000001</v>
      </c>
      <c r="R14" s="24">
        <f t="shared" si="3"/>
        <v>322.29298575999997</v>
      </c>
      <c r="S14" s="24">
        <f t="shared" si="3"/>
        <v>39.308100000000003</v>
      </c>
      <c r="T14" s="24">
        <f t="shared" si="3"/>
        <v>235.21975800000001</v>
      </c>
      <c r="U14" s="24">
        <f t="shared" si="3"/>
        <v>47.765127759999999</v>
      </c>
      <c r="V14" s="24">
        <f t="shared" si="3"/>
        <v>4925.1823151600001</v>
      </c>
      <c r="W14" s="24">
        <f t="shared" si="4"/>
        <v>4568.83356895</v>
      </c>
      <c r="X14" s="24">
        <f t="shared" si="4"/>
        <v>356.34874621000006</v>
      </c>
      <c r="Y14" s="24">
        <f t="shared" si="4"/>
        <v>43.465638590000005</v>
      </c>
      <c r="Z14" s="24">
        <f t="shared" si="4"/>
        <v>259.58295663000001</v>
      </c>
      <c r="AA14" s="24">
        <f t="shared" si="4"/>
        <v>53.300150989999999</v>
      </c>
      <c r="AB14" s="25">
        <f t="shared" ref="AB14:AG38" si="9">V14/P14%</f>
        <v>121.47866927001797</v>
      </c>
      <c r="AC14" s="25">
        <f t="shared" si="9"/>
        <v>122.42100192177696</v>
      </c>
      <c r="AD14" s="25">
        <f t="shared" si="8"/>
        <v>110.56670853996189</v>
      </c>
      <c r="AE14" s="25">
        <f t="shared" si="8"/>
        <v>110.5767986496422</v>
      </c>
      <c r="AF14" s="25">
        <f t="shared" si="8"/>
        <v>110.35763272488359</v>
      </c>
      <c r="AG14" s="38">
        <f t="shared" si="8"/>
        <v>111.58800047141338</v>
      </c>
      <c r="AH14" s="209">
        <f t="shared" si="6"/>
        <v>34.055760450000093</v>
      </c>
      <c r="AI14" s="4">
        <f t="shared" si="7"/>
        <v>0</v>
      </c>
    </row>
    <row r="15" spans="1:38" x14ac:dyDescent="0.25">
      <c r="A15" s="34" t="s">
        <v>30</v>
      </c>
      <c r="B15" s="21">
        <v>3561959532.7399998</v>
      </c>
      <c r="C15" s="21"/>
      <c r="D15" s="21">
        <v>2396759000</v>
      </c>
      <c r="E15" s="35">
        <v>1165200532.74</v>
      </c>
      <c r="F15" s="21">
        <v>817648060</v>
      </c>
      <c r="G15" s="21">
        <v>339036789</v>
      </c>
      <c r="H15" s="21">
        <v>8515683.7400000002</v>
      </c>
      <c r="I15" s="21">
        <v>3512676492.5700002</v>
      </c>
      <c r="J15" s="21"/>
      <c r="K15" s="21">
        <v>2368291868.3000002</v>
      </c>
      <c r="L15" s="35">
        <v>1144384624.27</v>
      </c>
      <c r="M15" s="21">
        <v>810784803.65999997</v>
      </c>
      <c r="N15" s="21">
        <v>322670863.52999997</v>
      </c>
      <c r="O15" s="21">
        <v>10928957.08</v>
      </c>
      <c r="P15" s="24">
        <f t="shared" si="2"/>
        <v>3561.9595327399998</v>
      </c>
      <c r="Q15" s="24">
        <f t="shared" si="3"/>
        <v>2396.759</v>
      </c>
      <c r="R15" s="24">
        <f t="shared" si="3"/>
        <v>1165.20053274</v>
      </c>
      <c r="S15" s="24">
        <f t="shared" si="3"/>
        <v>817.64805999999999</v>
      </c>
      <c r="T15" s="24">
        <f t="shared" si="3"/>
        <v>339.036789</v>
      </c>
      <c r="U15" s="24">
        <f t="shared" si="3"/>
        <v>8.5156837400000001</v>
      </c>
      <c r="V15" s="24">
        <f t="shared" si="3"/>
        <v>3512.6764925700004</v>
      </c>
      <c r="W15" s="24">
        <f t="shared" si="4"/>
        <v>2368.2918683000003</v>
      </c>
      <c r="X15" s="24">
        <f t="shared" si="4"/>
        <v>1144.3846242699999</v>
      </c>
      <c r="Y15" s="24">
        <f t="shared" si="4"/>
        <v>810.78480365999997</v>
      </c>
      <c r="Z15" s="24">
        <f t="shared" si="4"/>
        <v>322.67086352999996</v>
      </c>
      <c r="AA15" s="24">
        <f t="shared" si="4"/>
        <v>10.92895708</v>
      </c>
      <c r="AB15" s="25">
        <f t="shared" si="9"/>
        <v>98.616406511162992</v>
      </c>
      <c r="AC15" s="25">
        <f t="shared" si="9"/>
        <v>98.812265576138444</v>
      </c>
      <c r="AD15" s="25">
        <f t="shared" si="9"/>
        <v>98.213534247100725</v>
      </c>
      <c r="AE15" s="25">
        <f t="shared" si="9"/>
        <v>99.160609964634418</v>
      </c>
      <c r="AF15" s="25">
        <f t="shared" si="9"/>
        <v>95.172817227808267</v>
      </c>
      <c r="AG15" s="26">
        <f t="shared" si="9"/>
        <v>128.33916117227716</v>
      </c>
      <c r="AH15" s="209">
        <f t="shared" si="6"/>
        <v>-20.815908470000068</v>
      </c>
      <c r="AI15" s="4">
        <f t="shared" si="7"/>
        <v>0</v>
      </c>
    </row>
    <row r="16" spans="1:38" x14ac:dyDescent="0.25">
      <c r="A16" s="34" t="s">
        <v>31</v>
      </c>
      <c r="B16" s="21">
        <v>8085399763.3500004</v>
      </c>
      <c r="C16" s="21"/>
      <c r="D16" s="21">
        <v>7200543000</v>
      </c>
      <c r="E16" s="35">
        <v>884856763.35000002</v>
      </c>
      <c r="F16" s="21">
        <v>597359504</v>
      </c>
      <c r="G16" s="21"/>
      <c r="H16" s="21">
        <v>287497259.35000002</v>
      </c>
      <c r="I16" s="21">
        <v>7472066568.1300001</v>
      </c>
      <c r="J16" s="21"/>
      <c r="K16" s="21">
        <v>6637085636.4099998</v>
      </c>
      <c r="L16" s="35">
        <v>834980931.72000003</v>
      </c>
      <c r="M16" s="21">
        <v>567544039.50999999</v>
      </c>
      <c r="N16" s="21"/>
      <c r="O16" s="21">
        <v>267436892.21000001</v>
      </c>
      <c r="P16" s="24">
        <f t="shared" si="2"/>
        <v>8085.3997633500003</v>
      </c>
      <c r="Q16" s="24">
        <f t="shared" si="3"/>
        <v>7200.5429999999997</v>
      </c>
      <c r="R16" s="24">
        <f t="shared" si="3"/>
        <v>884.85676335000005</v>
      </c>
      <c r="S16" s="24">
        <f t="shared" si="3"/>
        <v>597.35950400000002</v>
      </c>
      <c r="T16" s="24">
        <f t="shared" si="3"/>
        <v>0</v>
      </c>
      <c r="U16" s="24">
        <f t="shared" si="3"/>
        <v>287.49725935000004</v>
      </c>
      <c r="V16" s="24">
        <f t="shared" si="3"/>
        <v>7472.0665681299997</v>
      </c>
      <c r="W16" s="24">
        <f t="shared" si="4"/>
        <v>6637.08563641</v>
      </c>
      <c r="X16" s="24">
        <f t="shared" si="4"/>
        <v>834.98093172000006</v>
      </c>
      <c r="Y16" s="24">
        <f t="shared" si="4"/>
        <v>567.54403950999995</v>
      </c>
      <c r="Z16" s="24">
        <f t="shared" si="4"/>
        <v>0</v>
      </c>
      <c r="AA16" s="24">
        <f t="shared" si="4"/>
        <v>267.43689221</v>
      </c>
      <c r="AB16" s="25">
        <f t="shared" si="9"/>
        <v>92.414312054177515</v>
      </c>
      <c r="AC16" s="25">
        <f t="shared" si="9"/>
        <v>92.174793434467389</v>
      </c>
      <c r="AD16" s="25">
        <f t="shared" si="9"/>
        <v>94.363400530366761</v>
      </c>
      <c r="AE16" s="25">
        <f t="shared" si="9"/>
        <v>95.008790470336251</v>
      </c>
      <c r="AF16" s="36" t="s">
        <v>64</v>
      </c>
      <c r="AG16" s="26">
        <f t="shared" si="9"/>
        <v>93.022414479583446</v>
      </c>
      <c r="AH16" s="209">
        <f t="shared" si="6"/>
        <v>-49.875831629999993</v>
      </c>
      <c r="AI16" s="4">
        <f t="shared" si="7"/>
        <v>0</v>
      </c>
    </row>
    <row r="17" spans="1:38" ht="26.4" x14ac:dyDescent="0.25">
      <c r="A17" s="34" t="s">
        <v>32</v>
      </c>
      <c r="B17" s="21">
        <v>1765850300</v>
      </c>
      <c r="C17" s="21"/>
      <c r="D17" s="21">
        <v>1765850300</v>
      </c>
      <c r="E17" s="35">
        <v>0</v>
      </c>
      <c r="F17" s="39"/>
      <c r="G17" s="39"/>
      <c r="H17" s="39">
        <v>0</v>
      </c>
      <c r="I17" s="40">
        <v>2243488115.5100002</v>
      </c>
      <c r="J17" s="40"/>
      <c r="K17" s="40">
        <v>2243488115.5100002</v>
      </c>
      <c r="L17" s="35">
        <v>0</v>
      </c>
      <c r="M17" s="41"/>
      <c r="N17" s="41"/>
      <c r="O17" s="41">
        <v>0</v>
      </c>
      <c r="P17" s="24">
        <f t="shared" si="2"/>
        <v>1765.8503000000001</v>
      </c>
      <c r="Q17" s="24">
        <f t="shared" si="3"/>
        <v>1765.8503000000001</v>
      </c>
      <c r="R17" s="24">
        <f t="shared" si="3"/>
        <v>0</v>
      </c>
      <c r="S17" s="24">
        <f t="shared" si="3"/>
        <v>0</v>
      </c>
      <c r="T17" s="24">
        <f t="shared" si="3"/>
        <v>0</v>
      </c>
      <c r="U17" s="24">
        <f t="shared" si="3"/>
        <v>0</v>
      </c>
      <c r="V17" s="24">
        <f t="shared" si="3"/>
        <v>2243.4881155100002</v>
      </c>
      <c r="W17" s="24">
        <f t="shared" si="4"/>
        <v>2243.4881155100002</v>
      </c>
      <c r="X17" s="24">
        <f t="shared" si="4"/>
        <v>0</v>
      </c>
      <c r="Y17" s="24">
        <f t="shared" si="4"/>
        <v>0</v>
      </c>
      <c r="Z17" s="24">
        <f t="shared" si="4"/>
        <v>0</v>
      </c>
      <c r="AA17" s="24">
        <f t="shared" si="4"/>
        <v>0</v>
      </c>
      <c r="AB17" s="25">
        <f t="shared" si="9"/>
        <v>127.04860177048984</v>
      </c>
      <c r="AC17" s="25">
        <f t="shared" si="9"/>
        <v>127.04860177048984</v>
      </c>
      <c r="AD17" s="36" t="s">
        <v>64</v>
      </c>
      <c r="AE17" s="36" t="s">
        <v>64</v>
      </c>
      <c r="AF17" s="36" t="s">
        <v>64</v>
      </c>
      <c r="AG17" s="42" t="s">
        <v>64</v>
      </c>
      <c r="AH17" s="209">
        <f t="shared" si="6"/>
        <v>0</v>
      </c>
      <c r="AI17" s="4">
        <f t="shared" si="7"/>
        <v>0</v>
      </c>
    </row>
    <row r="18" spans="1:38" x14ac:dyDescent="0.25">
      <c r="A18" s="34" t="s">
        <v>33</v>
      </c>
      <c r="B18" s="21">
        <v>345752631.51999998</v>
      </c>
      <c r="C18" s="21"/>
      <c r="D18" s="21">
        <v>130238000</v>
      </c>
      <c r="E18" s="35">
        <v>215514631.52000001</v>
      </c>
      <c r="F18" s="21">
        <v>168465500</v>
      </c>
      <c r="G18" s="21">
        <v>43246651</v>
      </c>
      <c r="H18" s="21">
        <v>3802480.52</v>
      </c>
      <c r="I18" s="21">
        <v>343704234.93000001</v>
      </c>
      <c r="J18" s="21"/>
      <c r="K18" s="40">
        <v>152228466.16999999</v>
      </c>
      <c r="L18" s="35">
        <v>191475768.76000002</v>
      </c>
      <c r="M18" s="21">
        <v>142802639.33000001</v>
      </c>
      <c r="N18" s="21">
        <v>45757938.149999999</v>
      </c>
      <c r="O18" s="21">
        <v>2915191.2800000003</v>
      </c>
      <c r="P18" s="24">
        <f t="shared" si="2"/>
        <v>345.75263151999997</v>
      </c>
      <c r="Q18" s="24">
        <f t="shared" si="3"/>
        <v>130.238</v>
      </c>
      <c r="R18" s="24">
        <f t="shared" si="3"/>
        <v>215.51463152000002</v>
      </c>
      <c r="S18" s="24">
        <f t="shared" si="3"/>
        <v>168.46549999999999</v>
      </c>
      <c r="T18" s="24">
        <f t="shared" si="3"/>
        <v>43.246651</v>
      </c>
      <c r="U18" s="24">
        <f t="shared" si="3"/>
        <v>3.80248052</v>
      </c>
      <c r="V18" s="24">
        <f t="shared" si="3"/>
        <v>343.70423492999998</v>
      </c>
      <c r="W18" s="24">
        <f t="shared" si="4"/>
        <v>152.22846616999999</v>
      </c>
      <c r="X18" s="24">
        <f t="shared" si="4"/>
        <v>191.47576876000002</v>
      </c>
      <c r="Y18" s="24">
        <f t="shared" si="4"/>
        <v>142.80263933000001</v>
      </c>
      <c r="Z18" s="24">
        <f t="shared" si="4"/>
        <v>45.757938150000001</v>
      </c>
      <c r="AA18" s="24">
        <f t="shared" si="4"/>
        <v>2.9151912800000002</v>
      </c>
      <c r="AB18" s="25">
        <f t="shared" si="9"/>
        <v>99.407554302336095</v>
      </c>
      <c r="AC18" s="24">
        <f t="shared" si="9"/>
        <v>116.88483097866981</v>
      </c>
      <c r="AD18" s="25">
        <f t="shared" si="9"/>
        <v>88.845832605212635</v>
      </c>
      <c r="AE18" s="25">
        <f t="shared" si="9"/>
        <v>84.766696641152052</v>
      </c>
      <c r="AF18" s="25">
        <f t="shared" si="9"/>
        <v>105.80689392572849</v>
      </c>
      <c r="AG18" s="38">
        <f t="shared" si="9"/>
        <v>76.665515172711537</v>
      </c>
      <c r="AH18" s="209">
        <f t="shared" si="6"/>
        <v>-24.038862760000001</v>
      </c>
      <c r="AI18" s="4">
        <f t="shared" si="7"/>
        <v>0</v>
      </c>
    </row>
    <row r="19" spans="1:38" ht="26.4" x14ac:dyDescent="0.25">
      <c r="A19" s="34" t="s">
        <v>67</v>
      </c>
      <c r="B19" s="21">
        <v>1025.6400000000001</v>
      </c>
      <c r="C19" s="21"/>
      <c r="D19" s="21"/>
      <c r="E19" s="35">
        <v>1025.6400000000001</v>
      </c>
      <c r="F19" s="21">
        <v>1000</v>
      </c>
      <c r="G19" s="21"/>
      <c r="H19" s="21">
        <v>25.64</v>
      </c>
      <c r="I19" s="43">
        <v>231766.55</v>
      </c>
      <c r="J19" s="43"/>
      <c r="K19" s="43">
        <v>46617.98</v>
      </c>
      <c r="L19" s="35">
        <v>185148.57</v>
      </c>
      <c r="M19" s="43">
        <v>27227.09</v>
      </c>
      <c r="N19" s="43">
        <v>150576.66</v>
      </c>
      <c r="O19" s="43">
        <v>7344.82</v>
      </c>
      <c r="P19" s="24">
        <f t="shared" si="2"/>
        <v>1.0256400000000002E-3</v>
      </c>
      <c r="Q19" s="24">
        <f t="shared" si="3"/>
        <v>0</v>
      </c>
      <c r="R19" s="24">
        <f t="shared" si="3"/>
        <v>1.0256400000000002E-3</v>
      </c>
      <c r="S19" s="24">
        <f t="shared" si="3"/>
        <v>1E-3</v>
      </c>
      <c r="T19" s="24">
        <f t="shared" si="3"/>
        <v>0</v>
      </c>
      <c r="U19" s="24">
        <f t="shared" si="3"/>
        <v>2.5640000000000002E-5</v>
      </c>
      <c r="V19" s="24">
        <f t="shared" si="3"/>
        <v>0.23176654999999999</v>
      </c>
      <c r="W19" s="24">
        <f t="shared" si="4"/>
        <v>4.6617980000000003E-2</v>
      </c>
      <c r="X19" s="24">
        <f t="shared" si="4"/>
        <v>0.18514857000000001</v>
      </c>
      <c r="Y19" s="24">
        <f t="shared" si="4"/>
        <v>2.7227089999999999E-2</v>
      </c>
      <c r="Z19" s="24">
        <f t="shared" si="4"/>
        <v>0.15057666</v>
      </c>
      <c r="AA19" s="24">
        <f t="shared" si="4"/>
        <v>7.3448199999999993E-3</v>
      </c>
      <c r="AB19" s="25"/>
      <c r="AC19" s="24"/>
      <c r="AD19" s="25"/>
      <c r="AE19" s="25"/>
      <c r="AF19" s="25"/>
      <c r="AG19" s="38"/>
      <c r="AH19" s="209">
        <f t="shared" si="6"/>
        <v>0.18412293000000002</v>
      </c>
      <c r="AI19" s="44">
        <f t="shared" si="7"/>
        <v>0</v>
      </c>
      <c r="AJ19" s="4">
        <f>SUM(V12:V18)/SUM(P12:P18)*100</f>
        <v>99.961128100180048</v>
      </c>
      <c r="AK19" s="4">
        <f>SUM(X12:X18)/SUM(R12:R18)*100</f>
        <v>100.72278906144851</v>
      </c>
    </row>
    <row r="20" spans="1:38" ht="39.6" x14ac:dyDescent="0.25">
      <c r="A20" s="34" t="s">
        <v>223</v>
      </c>
      <c r="B20" s="43">
        <v>1185451527.9200001</v>
      </c>
      <c r="C20" s="43">
        <v>711466.67</v>
      </c>
      <c r="D20" s="43">
        <v>30470500</v>
      </c>
      <c r="E20" s="35">
        <v>1155692494.5900002</v>
      </c>
      <c r="F20" s="43">
        <v>775801761.32000005</v>
      </c>
      <c r="G20" s="43">
        <v>204683250</v>
      </c>
      <c r="H20" s="43">
        <v>175207483.26999998</v>
      </c>
      <c r="I20" s="21">
        <v>1212141041.03</v>
      </c>
      <c r="J20" s="21">
        <v>711466.67</v>
      </c>
      <c r="K20" s="21">
        <v>45824369.659999996</v>
      </c>
      <c r="L20" s="35">
        <v>1167028138.04</v>
      </c>
      <c r="M20" s="21">
        <v>808090174.77999997</v>
      </c>
      <c r="N20" s="21">
        <v>192856501.03999999</v>
      </c>
      <c r="O20" s="21">
        <v>166081462.22</v>
      </c>
      <c r="P20" s="24">
        <f t="shared" si="2"/>
        <v>1185.45152792</v>
      </c>
      <c r="Q20" s="24">
        <f t="shared" si="3"/>
        <v>30.470500000000001</v>
      </c>
      <c r="R20" s="24">
        <f t="shared" si="3"/>
        <v>1155.6924945900003</v>
      </c>
      <c r="S20" s="24">
        <f t="shared" si="3"/>
        <v>775.80176132000008</v>
      </c>
      <c r="T20" s="24">
        <f t="shared" si="3"/>
        <v>204.68324999999999</v>
      </c>
      <c r="U20" s="24">
        <f t="shared" si="3"/>
        <v>175.20748326999998</v>
      </c>
      <c r="V20" s="24">
        <f t="shared" si="3"/>
        <v>1212.14104103</v>
      </c>
      <c r="W20" s="24">
        <f t="shared" si="4"/>
        <v>45.824369659999995</v>
      </c>
      <c r="X20" s="24">
        <f t="shared" si="4"/>
        <v>1167.0281380399999</v>
      </c>
      <c r="Y20" s="24">
        <f t="shared" si="4"/>
        <v>808.09017477999998</v>
      </c>
      <c r="Z20" s="24">
        <f t="shared" si="4"/>
        <v>192.85650103999998</v>
      </c>
      <c r="AA20" s="24">
        <f t="shared" si="4"/>
        <v>166.08146221999999</v>
      </c>
      <c r="AB20" s="25">
        <f t="shared" si="9"/>
        <v>102.25142171412354</v>
      </c>
      <c r="AC20" s="25">
        <f t="shared" si="9"/>
        <v>150.38929344776093</v>
      </c>
      <c r="AD20" s="25">
        <f t="shared" si="9"/>
        <v>100.98085290880263</v>
      </c>
      <c r="AE20" s="25">
        <f t="shared" si="9"/>
        <v>104.16194124193045</v>
      </c>
      <c r="AF20" s="25">
        <f t="shared" si="9"/>
        <v>94.221926337401811</v>
      </c>
      <c r="AG20" s="38">
        <f t="shared" si="9"/>
        <v>94.791306353087379</v>
      </c>
      <c r="AH20" s="209">
        <f t="shared" si="6"/>
        <v>11.335643449999679</v>
      </c>
      <c r="AI20" s="4">
        <f t="shared" si="7"/>
        <v>-0.71146666999993613</v>
      </c>
    </row>
    <row r="21" spans="1:38" x14ac:dyDescent="0.25">
      <c r="A21" s="34" t="s">
        <v>224</v>
      </c>
      <c r="B21" s="21">
        <v>611199123.67999995</v>
      </c>
      <c r="C21" s="21"/>
      <c r="D21" s="21">
        <v>424187400</v>
      </c>
      <c r="E21" s="35">
        <v>187011723.68000001</v>
      </c>
      <c r="F21" s="21">
        <v>126282500</v>
      </c>
      <c r="G21" s="21">
        <v>60729223.68</v>
      </c>
      <c r="H21" s="21">
        <v>0</v>
      </c>
      <c r="I21" s="21">
        <v>904554028.88999999</v>
      </c>
      <c r="J21" s="21"/>
      <c r="K21" s="21">
        <v>678288848.25</v>
      </c>
      <c r="L21" s="35">
        <v>226265180.63999999</v>
      </c>
      <c r="M21" s="21">
        <v>160813949.56999999</v>
      </c>
      <c r="N21" s="21">
        <v>65451231.07</v>
      </c>
      <c r="O21" s="21">
        <v>0</v>
      </c>
      <c r="P21" s="24">
        <f t="shared" si="2"/>
        <v>611.19912367999996</v>
      </c>
      <c r="Q21" s="24">
        <f t="shared" si="3"/>
        <v>424.18740000000003</v>
      </c>
      <c r="R21" s="24">
        <f t="shared" si="3"/>
        <v>187.01172368000002</v>
      </c>
      <c r="S21" s="24">
        <f t="shared" si="3"/>
        <v>126.2825</v>
      </c>
      <c r="T21" s="24">
        <f t="shared" si="3"/>
        <v>60.729223679999997</v>
      </c>
      <c r="U21" s="24">
        <f t="shared" si="3"/>
        <v>0</v>
      </c>
      <c r="V21" s="24">
        <f t="shared" si="3"/>
        <v>904.55402889000004</v>
      </c>
      <c r="W21" s="24">
        <f t="shared" si="4"/>
        <v>678.28884825</v>
      </c>
      <c r="X21" s="24">
        <f t="shared" si="4"/>
        <v>226.26518063999998</v>
      </c>
      <c r="Y21" s="24">
        <f t="shared" si="4"/>
        <v>160.81394957000001</v>
      </c>
      <c r="Z21" s="24">
        <f t="shared" si="4"/>
        <v>65.451231070000006</v>
      </c>
      <c r="AA21" s="24">
        <f t="shared" si="4"/>
        <v>0</v>
      </c>
      <c r="AB21" s="25">
        <f t="shared" si="9"/>
        <v>147.9966174433832</v>
      </c>
      <c r="AC21" s="25">
        <f t="shared" si="9"/>
        <v>159.9031108066859</v>
      </c>
      <c r="AD21" s="25">
        <f t="shared" si="9"/>
        <v>120.98983752867144</v>
      </c>
      <c r="AE21" s="24">
        <f t="shared" si="9"/>
        <v>127.34460401876744</v>
      </c>
      <c r="AF21" s="25">
        <f t="shared" si="9"/>
        <v>107.77551087246174</v>
      </c>
      <c r="AG21" s="37" t="s">
        <v>64</v>
      </c>
      <c r="AH21" s="209">
        <f t="shared" si="6"/>
        <v>39.253456959999966</v>
      </c>
      <c r="AI21" s="45">
        <f t="shared" si="7"/>
        <v>0</v>
      </c>
    </row>
    <row r="22" spans="1:38" ht="26.4" x14ac:dyDescent="0.25">
      <c r="A22" s="34" t="s">
        <v>68</v>
      </c>
      <c r="B22" s="21">
        <v>223816022.22999999</v>
      </c>
      <c r="C22" s="21"/>
      <c r="D22" s="21">
        <v>86350200.340000004</v>
      </c>
      <c r="E22" s="35">
        <v>137465821.89000002</v>
      </c>
      <c r="F22" s="21">
        <v>80395262.530000001</v>
      </c>
      <c r="G22" s="21">
        <v>18119157.93</v>
      </c>
      <c r="H22" s="21">
        <v>38951401.43</v>
      </c>
      <c r="I22" s="21">
        <v>250445208.66999999</v>
      </c>
      <c r="J22" s="21"/>
      <c r="K22" s="21">
        <v>106348551.98</v>
      </c>
      <c r="L22" s="35">
        <v>144096656.69</v>
      </c>
      <c r="M22" s="21">
        <v>88222682.739999995</v>
      </c>
      <c r="N22" s="21">
        <v>18683174.41</v>
      </c>
      <c r="O22" s="21">
        <v>37190799.539999999</v>
      </c>
      <c r="P22" s="24">
        <f t="shared" si="2"/>
        <v>223.81602222999999</v>
      </c>
      <c r="Q22" s="24">
        <f t="shared" si="3"/>
        <v>86.350200340000001</v>
      </c>
      <c r="R22" s="24">
        <f t="shared" si="3"/>
        <v>137.46582189000003</v>
      </c>
      <c r="S22" s="24">
        <f t="shared" si="3"/>
        <v>80.395262529999997</v>
      </c>
      <c r="T22" s="24">
        <f t="shared" si="3"/>
        <v>18.11915793</v>
      </c>
      <c r="U22" s="24">
        <f t="shared" si="3"/>
        <v>38.951401429999997</v>
      </c>
      <c r="V22" s="24">
        <f t="shared" si="3"/>
        <v>250.44520867</v>
      </c>
      <c r="W22" s="24">
        <f t="shared" si="4"/>
        <v>106.34855198000001</v>
      </c>
      <c r="X22" s="24">
        <f t="shared" si="4"/>
        <v>144.09665669</v>
      </c>
      <c r="Y22" s="24">
        <f t="shared" si="4"/>
        <v>88.222682739999996</v>
      </c>
      <c r="Z22" s="24">
        <f t="shared" si="4"/>
        <v>18.683174409999999</v>
      </c>
      <c r="AA22" s="24">
        <f t="shared" si="4"/>
        <v>37.19079954</v>
      </c>
      <c r="AB22" s="25">
        <f t="shared" si="9"/>
        <v>111.89780167419607</v>
      </c>
      <c r="AC22" s="25">
        <f t="shared" si="9"/>
        <v>123.15958916280148</v>
      </c>
      <c r="AD22" s="24">
        <f t="shared" si="9"/>
        <v>104.82362430808871</v>
      </c>
      <c r="AE22" s="25">
        <f t="shared" si="9"/>
        <v>109.73617096788402</v>
      </c>
      <c r="AF22" s="24">
        <f t="shared" si="9"/>
        <v>103.11281838912699</v>
      </c>
      <c r="AG22" s="38">
        <f t="shared" si="9"/>
        <v>95.480003734489514</v>
      </c>
      <c r="AH22" s="209">
        <f t="shared" si="6"/>
        <v>6.6308347999999739</v>
      </c>
      <c r="AI22" s="4">
        <f t="shared" si="7"/>
        <v>0</v>
      </c>
    </row>
    <row r="23" spans="1:38" x14ac:dyDescent="0.25">
      <c r="A23" s="34" t="s">
        <v>69</v>
      </c>
      <c r="B23" s="21">
        <v>687150820.19000006</v>
      </c>
      <c r="C23" s="21"/>
      <c r="D23" s="21">
        <v>1200000</v>
      </c>
      <c r="E23" s="35">
        <v>685950820.18999994</v>
      </c>
      <c r="F23" s="21">
        <v>546488513.63999999</v>
      </c>
      <c r="G23" s="21">
        <v>82099518.180000007</v>
      </c>
      <c r="H23" s="21">
        <v>57362788.370000005</v>
      </c>
      <c r="I23" s="21">
        <v>688732148.90999997</v>
      </c>
      <c r="J23" s="21"/>
      <c r="K23" s="21">
        <v>1499824.72</v>
      </c>
      <c r="L23" s="35">
        <v>687232324.18999994</v>
      </c>
      <c r="M23" s="21">
        <v>557531997.38</v>
      </c>
      <c r="N23" s="21">
        <v>81275353.540000007</v>
      </c>
      <c r="O23" s="21">
        <v>48424973.270000003</v>
      </c>
      <c r="P23" s="24">
        <f t="shared" si="2"/>
        <v>687.1508201900001</v>
      </c>
      <c r="Q23" s="24">
        <f t="shared" si="3"/>
        <v>1.2</v>
      </c>
      <c r="R23" s="24">
        <f t="shared" si="3"/>
        <v>685.95082018999994</v>
      </c>
      <c r="S23" s="24">
        <f t="shared" si="3"/>
        <v>546.48851363999995</v>
      </c>
      <c r="T23" s="24">
        <f t="shared" si="3"/>
        <v>82.099518180000004</v>
      </c>
      <c r="U23" s="24">
        <f t="shared" si="3"/>
        <v>57.362788370000004</v>
      </c>
      <c r="V23" s="24">
        <f t="shared" si="3"/>
        <v>688.73214890999998</v>
      </c>
      <c r="W23" s="24">
        <f t="shared" si="4"/>
        <v>1.4998247199999999</v>
      </c>
      <c r="X23" s="24">
        <f t="shared" si="4"/>
        <v>687.23232418999999</v>
      </c>
      <c r="Y23" s="24">
        <f t="shared" si="4"/>
        <v>557.53199738000001</v>
      </c>
      <c r="Z23" s="24">
        <f t="shared" si="4"/>
        <v>81.275353540000012</v>
      </c>
      <c r="AA23" s="24">
        <f t="shared" si="4"/>
        <v>48.424973270000002</v>
      </c>
      <c r="AB23" s="25">
        <f t="shared" si="9"/>
        <v>100.23012833187954</v>
      </c>
      <c r="AC23" s="25">
        <f t="shared" si="9"/>
        <v>124.98539333333332</v>
      </c>
      <c r="AD23" s="25">
        <f>X23/R23%</f>
        <v>100.1868215566307</v>
      </c>
      <c r="AE23" s="25">
        <f>Y23/S23%</f>
        <v>102.02080802512072</v>
      </c>
      <c r="AF23" s="25">
        <f>Z23/T23%</f>
        <v>98.996139492325582</v>
      </c>
      <c r="AG23" s="38">
        <f>AA23/U23%</f>
        <v>84.418792471611496</v>
      </c>
      <c r="AH23" s="209">
        <f t="shared" si="6"/>
        <v>1.2815040000000408</v>
      </c>
      <c r="AI23" s="4">
        <f t="shared" si="7"/>
        <v>0</v>
      </c>
    </row>
    <row r="24" spans="1:38" x14ac:dyDescent="0.25">
      <c r="A24" s="34" t="s">
        <v>34</v>
      </c>
      <c r="B24" s="21">
        <v>844720</v>
      </c>
      <c r="C24" s="21"/>
      <c r="D24" s="21">
        <v>780000</v>
      </c>
      <c r="E24" s="35">
        <v>64720</v>
      </c>
      <c r="F24" s="21"/>
      <c r="G24" s="21"/>
      <c r="H24" s="21">
        <v>64720</v>
      </c>
      <c r="I24" s="21">
        <v>892981.07</v>
      </c>
      <c r="J24" s="21"/>
      <c r="K24" s="21">
        <v>820753.8</v>
      </c>
      <c r="L24" s="35">
        <v>72227.27</v>
      </c>
      <c r="M24" s="21"/>
      <c r="N24" s="21"/>
      <c r="O24" s="21">
        <v>72227.27</v>
      </c>
      <c r="P24" s="24">
        <f t="shared" si="2"/>
        <v>0.84472000000000003</v>
      </c>
      <c r="Q24" s="24">
        <f t="shared" si="3"/>
        <v>0.78</v>
      </c>
      <c r="R24" s="24">
        <f t="shared" si="3"/>
        <v>6.472E-2</v>
      </c>
      <c r="S24" s="24">
        <f t="shared" si="3"/>
        <v>0</v>
      </c>
      <c r="T24" s="24">
        <f t="shared" si="3"/>
        <v>0</v>
      </c>
      <c r="U24" s="24">
        <f t="shared" si="3"/>
        <v>6.472E-2</v>
      </c>
      <c r="V24" s="24">
        <f t="shared" si="3"/>
        <v>0.89298106999999993</v>
      </c>
      <c r="W24" s="24">
        <f t="shared" si="4"/>
        <v>0.82075380000000009</v>
      </c>
      <c r="X24" s="24">
        <f t="shared" si="4"/>
        <v>7.222727000000001E-2</v>
      </c>
      <c r="Y24" s="24">
        <f t="shared" si="4"/>
        <v>0</v>
      </c>
      <c r="Z24" s="24">
        <f t="shared" si="4"/>
        <v>0</v>
      </c>
      <c r="AA24" s="24">
        <f t="shared" si="4"/>
        <v>7.222727000000001E-2</v>
      </c>
      <c r="AB24" s="24">
        <f t="shared" si="9"/>
        <v>105.71326238280139</v>
      </c>
      <c r="AC24" s="24">
        <f t="shared" si="9"/>
        <v>105.22484615384616</v>
      </c>
      <c r="AD24" s="24">
        <f>X24/R24%</f>
        <v>111.59961372064278</v>
      </c>
      <c r="AE24" s="36" t="s">
        <v>64</v>
      </c>
      <c r="AF24" s="36" t="s">
        <v>64</v>
      </c>
      <c r="AG24" s="26">
        <f>AA24/U24%</f>
        <v>111.59961372064278</v>
      </c>
      <c r="AH24" s="209">
        <f t="shared" si="6"/>
        <v>7.5072700000000103E-3</v>
      </c>
      <c r="AI24" s="4">
        <f t="shared" si="7"/>
        <v>-1.6653345369377348E-16</v>
      </c>
    </row>
    <row r="25" spans="1:38" x14ac:dyDescent="0.25">
      <c r="A25" s="34" t="s">
        <v>225</v>
      </c>
      <c r="B25" s="21">
        <v>540318884.58000004</v>
      </c>
      <c r="C25" s="21"/>
      <c r="D25" s="21">
        <v>361775629.73000002</v>
      </c>
      <c r="E25" s="35">
        <v>178543254.84999999</v>
      </c>
      <c r="F25" s="21">
        <v>122417923.27</v>
      </c>
      <c r="G25" s="21">
        <v>41085058.520000003</v>
      </c>
      <c r="H25" s="21">
        <v>15040273.060000001</v>
      </c>
      <c r="I25" s="21">
        <v>564454244.62</v>
      </c>
      <c r="J25" s="21"/>
      <c r="K25" s="21">
        <v>376012530.10000002</v>
      </c>
      <c r="L25" s="35">
        <v>188441714.52000001</v>
      </c>
      <c r="M25" s="21">
        <v>130240588.18000001</v>
      </c>
      <c r="N25" s="21">
        <v>40333425.719999999</v>
      </c>
      <c r="O25" s="21">
        <v>17867700.620000001</v>
      </c>
      <c r="P25" s="24">
        <f t="shared" si="2"/>
        <v>540.31888458000003</v>
      </c>
      <c r="Q25" s="24">
        <f t="shared" si="3"/>
        <v>361.77562972999999</v>
      </c>
      <c r="R25" s="24">
        <f t="shared" si="3"/>
        <v>178.54325484999998</v>
      </c>
      <c r="S25" s="24">
        <f t="shared" si="3"/>
        <v>122.41792327</v>
      </c>
      <c r="T25" s="24">
        <f t="shared" si="3"/>
        <v>41.085058520000004</v>
      </c>
      <c r="U25" s="24">
        <f t="shared" si="3"/>
        <v>15.040273060000001</v>
      </c>
      <c r="V25" s="24">
        <f t="shared" si="3"/>
        <v>564.45424462000005</v>
      </c>
      <c r="W25" s="24">
        <f t="shared" si="4"/>
        <v>376.01253010000005</v>
      </c>
      <c r="X25" s="24">
        <f t="shared" si="4"/>
        <v>188.44171452</v>
      </c>
      <c r="Y25" s="24">
        <f t="shared" si="4"/>
        <v>130.24058818</v>
      </c>
      <c r="Z25" s="24">
        <f t="shared" si="4"/>
        <v>40.333425720000001</v>
      </c>
      <c r="AA25" s="24">
        <f t="shared" si="4"/>
        <v>17.867700620000001</v>
      </c>
      <c r="AB25" s="24">
        <f t="shared" si="9"/>
        <v>104.46687330922386</v>
      </c>
      <c r="AC25" s="24">
        <f t="shared" si="9"/>
        <v>103.93528452445106</v>
      </c>
      <c r="AD25" s="24">
        <f t="shared" si="9"/>
        <v>105.54401210973556</v>
      </c>
      <c r="AE25" s="24">
        <f t="shared" si="9"/>
        <v>106.39013038372383</v>
      </c>
      <c r="AF25" s="24">
        <f t="shared" si="9"/>
        <v>98.170544652786333</v>
      </c>
      <c r="AG25" s="26">
        <f t="shared" si="9"/>
        <v>118.79904406469599</v>
      </c>
      <c r="AH25" s="209">
        <f t="shared" si="6"/>
        <v>9.8984596700000225</v>
      </c>
      <c r="AI25" s="4">
        <f t="shared" si="7"/>
        <v>0</v>
      </c>
    </row>
    <row r="26" spans="1:38" x14ac:dyDescent="0.25">
      <c r="A26" s="34" t="s">
        <v>35</v>
      </c>
      <c r="B26" s="21">
        <v>20889305.32</v>
      </c>
      <c r="C26" s="21"/>
      <c r="D26" s="21"/>
      <c r="E26" s="35">
        <v>20889305.32</v>
      </c>
      <c r="F26" s="21">
        <v>11885491.48</v>
      </c>
      <c r="G26" s="21">
        <v>447700</v>
      </c>
      <c r="H26" s="21">
        <v>8556113.8399999999</v>
      </c>
      <c r="I26" s="28">
        <v>24286863.84</v>
      </c>
      <c r="J26" s="28"/>
      <c r="K26" s="28">
        <v>-734508.49</v>
      </c>
      <c r="L26" s="35">
        <v>25021372.329999998</v>
      </c>
      <c r="M26" s="21">
        <v>15571981.609999999</v>
      </c>
      <c r="N26" s="21">
        <v>716234.72</v>
      </c>
      <c r="O26" s="21">
        <v>8733156</v>
      </c>
      <c r="P26" s="24">
        <f t="shared" si="2"/>
        <v>20.889305320000002</v>
      </c>
      <c r="Q26" s="24">
        <f t="shared" ref="Q26:V38" si="10">D26/1000000</f>
        <v>0</v>
      </c>
      <c r="R26" s="24">
        <f t="shared" si="10"/>
        <v>20.889305320000002</v>
      </c>
      <c r="S26" s="24">
        <f t="shared" si="10"/>
        <v>11.885491480000001</v>
      </c>
      <c r="T26" s="24">
        <f t="shared" si="10"/>
        <v>0.44769999999999999</v>
      </c>
      <c r="U26" s="24">
        <f t="shared" si="10"/>
        <v>8.5561138400000001</v>
      </c>
      <c r="V26" s="24">
        <f t="shared" si="10"/>
        <v>24.286863839999999</v>
      </c>
      <c r="W26" s="24">
        <f t="shared" si="4"/>
        <v>-0.73450848999999996</v>
      </c>
      <c r="X26" s="46">
        <f t="shared" si="4"/>
        <v>25.021372329999998</v>
      </c>
      <c r="Y26" s="24">
        <f t="shared" si="4"/>
        <v>15.57198161</v>
      </c>
      <c r="Z26" s="24">
        <f t="shared" si="4"/>
        <v>0.71623471999999999</v>
      </c>
      <c r="AA26" s="24">
        <f t="shared" si="4"/>
        <v>8.7331559999999993</v>
      </c>
      <c r="AB26" s="24">
        <f t="shared" si="9"/>
        <v>116.26458356538588</v>
      </c>
      <c r="AC26" s="47" t="s">
        <v>64</v>
      </c>
      <c r="AD26" s="24">
        <f>X26/R26%</f>
        <v>119.78077751606149</v>
      </c>
      <c r="AE26" s="24">
        <f>Y26/S26%</f>
        <v>131.01672435004767</v>
      </c>
      <c r="AF26" s="47" t="s">
        <v>64</v>
      </c>
      <c r="AG26" s="26">
        <f>AA26/U26%</f>
        <v>102.06918892514408</v>
      </c>
      <c r="AH26" s="209">
        <f t="shared" si="6"/>
        <v>4.1320670099999965</v>
      </c>
      <c r="AI26" s="48">
        <f t="shared" si="7"/>
        <v>0</v>
      </c>
      <c r="AJ26" s="48">
        <f>AI26*1000</f>
        <v>0</v>
      </c>
    </row>
    <row r="27" spans="1:38" s="55" customFormat="1" hidden="1" x14ac:dyDescent="0.25">
      <c r="A27" s="49" t="s">
        <v>71</v>
      </c>
      <c r="B27" s="50">
        <v>-29764.29</v>
      </c>
      <c r="C27" s="50"/>
      <c r="D27" s="50"/>
      <c r="E27" s="50">
        <v>-29764.29</v>
      </c>
      <c r="F27" s="50">
        <v>-18722.66</v>
      </c>
      <c r="G27" s="50"/>
      <c r="H27" s="50">
        <v>-11041.63</v>
      </c>
      <c r="I27" s="50">
        <v>-932415.69</v>
      </c>
      <c r="J27" s="50"/>
      <c r="K27" s="50">
        <v>-744423.04</v>
      </c>
      <c r="L27" s="51">
        <v>-187992.65</v>
      </c>
      <c r="M27" s="50">
        <v>30456.79</v>
      </c>
      <c r="N27" s="50">
        <v>-200541.73</v>
      </c>
      <c r="O27" s="50">
        <v>-17907.71</v>
      </c>
      <c r="P27" s="52">
        <f t="shared" si="2"/>
        <v>-2.9764290000000002E-2</v>
      </c>
      <c r="Q27" s="52"/>
      <c r="R27" s="52">
        <f t="shared" si="10"/>
        <v>-2.9764290000000002E-2</v>
      </c>
      <c r="S27" s="52">
        <f t="shared" si="10"/>
        <v>-1.8722659999999999E-2</v>
      </c>
      <c r="T27" s="52"/>
      <c r="U27" s="52">
        <f>H27/1000000</f>
        <v>-1.1041629999999998E-2</v>
      </c>
      <c r="V27" s="52">
        <f t="shared" si="10"/>
        <v>-0.93241568999999991</v>
      </c>
      <c r="W27" s="52">
        <f t="shared" si="4"/>
        <v>-0.74442304000000004</v>
      </c>
      <c r="X27" s="52">
        <f t="shared" si="4"/>
        <v>-0.18799264999999998</v>
      </c>
      <c r="Y27" s="52">
        <f t="shared" si="4"/>
        <v>3.0456790000000001E-2</v>
      </c>
      <c r="Z27" s="52">
        <f t="shared" si="4"/>
        <v>-0.20054173</v>
      </c>
      <c r="AA27" s="52">
        <f t="shared" si="4"/>
        <v>-1.790771E-2</v>
      </c>
      <c r="AB27" s="52"/>
      <c r="AC27" s="52"/>
      <c r="AD27" s="52"/>
      <c r="AE27" s="52"/>
      <c r="AF27" s="52"/>
      <c r="AG27" s="53"/>
      <c r="AH27" s="209">
        <f t="shared" si="6"/>
        <v>-0.15822835999999998</v>
      </c>
      <c r="AI27" s="54">
        <f t="shared" si="7"/>
        <v>0</v>
      </c>
      <c r="AJ27" s="55">
        <f>AI27*1000</f>
        <v>0</v>
      </c>
    </row>
    <row r="28" spans="1:38" s="62" customFormat="1" ht="26.4" x14ac:dyDescent="0.25">
      <c r="A28" s="34" t="s">
        <v>72</v>
      </c>
      <c r="B28" s="57"/>
      <c r="C28" s="57"/>
      <c r="D28" s="57"/>
      <c r="E28" s="58">
        <f>F28+G28+H28</f>
        <v>0</v>
      </c>
      <c r="F28" s="57"/>
      <c r="G28" s="57"/>
      <c r="H28" s="57"/>
      <c r="I28" s="57"/>
      <c r="J28" s="57">
        <v>-368871.06</v>
      </c>
      <c r="K28" s="57"/>
      <c r="L28" s="59">
        <v>-368871.06</v>
      </c>
      <c r="M28" s="57"/>
      <c r="N28" s="57"/>
      <c r="O28" s="57">
        <v>-368871.06</v>
      </c>
      <c r="P28" s="24">
        <f t="shared" si="2"/>
        <v>0</v>
      </c>
      <c r="Q28" s="24">
        <f t="shared" ref="Q28:Q37" si="11">D28/1000000</f>
        <v>0</v>
      </c>
      <c r="R28" s="24">
        <f t="shared" si="10"/>
        <v>0</v>
      </c>
      <c r="S28" s="24">
        <f t="shared" si="10"/>
        <v>0</v>
      </c>
      <c r="T28" s="24">
        <f t="shared" si="10"/>
        <v>0</v>
      </c>
      <c r="U28" s="24">
        <f t="shared" si="10"/>
        <v>0</v>
      </c>
      <c r="V28" s="24">
        <f t="shared" si="10"/>
        <v>0</v>
      </c>
      <c r="W28" s="24">
        <f t="shared" si="4"/>
        <v>0</v>
      </c>
      <c r="X28" s="60">
        <f t="shared" si="4"/>
        <v>-0.36887105999999997</v>
      </c>
      <c r="Y28" s="24">
        <f t="shared" si="4"/>
        <v>0</v>
      </c>
      <c r="Z28" s="24">
        <f t="shared" si="4"/>
        <v>0</v>
      </c>
      <c r="AA28" s="60">
        <f t="shared" si="4"/>
        <v>-0.36887105999999997</v>
      </c>
      <c r="AB28" s="68" t="s">
        <v>64</v>
      </c>
      <c r="AC28" s="47" t="s">
        <v>64</v>
      </c>
      <c r="AD28" s="68" t="s">
        <v>64</v>
      </c>
      <c r="AE28" s="68" t="s">
        <v>64</v>
      </c>
      <c r="AF28" s="47" t="s">
        <v>64</v>
      </c>
      <c r="AG28" s="42" t="s">
        <v>64</v>
      </c>
      <c r="AH28" s="209">
        <f t="shared" si="6"/>
        <v>-0.36887105999999997</v>
      </c>
      <c r="AI28" s="61"/>
    </row>
    <row r="29" spans="1:38" s="33" customFormat="1" x14ac:dyDescent="0.25">
      <c r="A29" s="27" t="s">
        <v>73</v>
      </c>
      <c r="B29" s="28">
        <v>18118433259.84</v>
      </c>
      <c r="C29" s="28">
        <v>23370015489.77</v>
      </c>
      <c r="D29" s="28">
        <v>18982356062.779999</v>
      </c>
      <c r="E29" s="63">
        <f>F29+G29+H29-E117</f>
        <v>20393121921.75</v>
      </c>
      <c r="F29" s="28">
        <v>9512780698.5699997</v>
      </c>
      <c r="G29" s="28">
        <v>11521911062.129999</v>
      </c>
      <c r="H29" s="28">
        <v>1471400926.1300001</v>
      </c>
      <c r="I29" s="28">
        <v>17783922782.900002</v>
      </c>
      <c r="J29" s="28">
        <v>22476466965.419998</v>
      </c>
      <c r="K29" s="28">
        <v>18637089179.169998</v>
      </c>
      <c r="L29" s="63">
        <f>M29+N29+O29-L117</f>
        <v>19647883838.829998</v>
      </c>
      <c r="M29" s="28">
        <v>8938802473.9300003</v>
      </c>
      <c r="N29" s="28">
        <v>11348106716.92</v>
      </c>
      <c r="O29" s="28">
        <v>1336391378.3</v>
      </c>
      <c r="P29" s="30">
        <f t="shared" si="2"/>
        <v>18118.43325984</v>
      </c>
      <c r="Q29" s="30">
        <f t="shared" si="11"/>
        <v>18982.35606278</v>
      </c>
      <c r="R29" s="30">
        <f t="shared" si="10"/>
        <v>20393.12192175</v>
      </c>
      <c r="S29" s="30">
        <f t="shared" si="10"/>
        <v>9512.780698569999</v>
      </c>
      <c r="T29" s="30">
        <f t="shared" si="10"/>
        <v>11521.911062129999</v>
      </c>
      <c r="U29" s="30">
        <f t="shared" si="10"/>
        <v>1471.40092613</v>
      </c>
      <c r="V29" s="30">
        <f t="shared" si="10"/>
        <v>17783.922782900001</v>
      </c>
      <c r="W29" s="30">
        <f t="shared" si="4"/>
        <v>18637.089179169998</v>
      </c>
      <c r="X29" s="30">
        <f t="shared" si="4"/>
        <v>19647.883838829999</v>
      </c>
      <c r="Y29" s="30">
        <f t="shared" si="4"/>
        <v>8938.8024739299999</v>
      </c>
      <c r="Z29" s="30">
        <f t="shared" si="4"/>
        <v>11348.10671692</v>
      </c>
      <c r="AA29" s="30">
        <f t="shared" si="4"/>
        <v>1336.3913783</v>
      </c>
      <c r="AB29" s="30">
        <f t="shared" si="9"/>
        <v>98.153756055268587</v>
      </c>
      <c r="AC29" s="30">
        <f t="shared" si="9"/>
        <v>98.181116809377585</v>
      </c>
      <c r="AD29" s="30">
        <f t="shared" si="9"/>
        <v>96.345640035990868</v>
      </c>
      <c r="AE29" s="30">
        <f t="shared" si="9"/>
        <v>93.96624138800675</v>
      </c>
      <c r="AF29" s="30">
        <f t="shared" si="9"/>
        <v>98.49153196659141</v>
      </c>
      <c r="AG29" s="31">
        <f t="shared" si="9"/>
        <v>90.824421445411559</v>
      </c>
      <c r="AH29" s="209"/>
      <c r="AI29" s="64">
        <f>V29-W29-X29</f>
        <v>-20501.050235099996</v>
      </c>
      <c r="AJ29" s="33">
        <f>AI29*1000</f>
        <v>-20501050.235099997</v>
      </c>
      <c r="AL29" s="33">
        <f>+V29-P29</f>
        <v>-334.51047693999863</v>
      </c>
    </row>
    <row r="30" spans="1:38" s="72" customFormat="1" hidden="1" x14ac:dyDescent="0.25">
      <c r="A30" s="56" t="s">
        <v>74</v>
      </c>
      <c r="B30" s="65"/>
      <c r="C30" s="65"/>
      <c r="D30" s="65"/>
      <c r="E30" s="66"/>
      <c r="F30" s="65"/>
      <c r="G30" s="65"/>
      <c r="H30" s="65"/>
      <c r="I30" s="67"/>
      <c r="J30" s="67"/>
      <c r="K30" s="67"/>
      <c r="L30" s="66"/>
      <c r="M30" s="65"/>
      <c r="N30" s="65"/>
      <c r="O30" s="65"/>
      <c r="P30" s="60">
        <f>B30/1000000</f>
        <v>0</v>
      </c>
      <c r="Q30" s="60">
        <f t="shared" si="11"/>
        <v>0</v>
      </c>
      <c r="R30" s="60">
        <f>E30/1000000</f>
        <v>0</v>
      </c>
      <c r="S30" s="60">
        <f>F30/1000000</f>
        <v>0</v>
      </c>
      <c r="T30" s="60">
        <f>G30/1000000</f>
        <v>0</v>
      </c>
      <c r="U30" s="60">
        <f>H30/1000000</f>
        <v>0</v>
      </c>
      <c r="V30" s="60">
        <f>I30/1000000</f>
        <v>0</v>
      </c>
      <c r="W30" s="60">
        <f>K30/1000000</f>
        <v>0</v>
      </c>
      <c r="X30" s="60">
        <f>L30/1000000</f>
        <v>0</v>
      </c>
      <c r="Y30" s="60">
        <f>M30/1000000</f>
        <v>0</v>
      </c>
      <c r="Z30" s="60">
        <f>N30/1000000</f>
        <v>0</v>
      </c>
      <c r="AA30" s="60">
        <f>O30/1000000</f>
        <v>0</v>
      </c>
      <c r="AB30" s="68" t="s">
        <v>64</v>
      </c>
      <c r="AC30" s="68" t="s">
        <v>64</v>
      </c>
      <c r="AD30" s="68" t="s">
        <v>64</v>
      </c>
      <c r="AE30" s="68" t="s">
        <v>64</v>
      </c>
      <c r="AF30" s="68" t="s">
        <v>64</v>
      </c>
      <c r="AG30" s="69" t="s">
        <v>64</v>
      </c>
      <c r="AH30" s="211"/>
      <c r="AI30" s="70"/>
      <c r="AJ30" s="71"/>
    </row>
    <row r="31" spans="1:38" x14ac:dyDescent="0.25">
      <c r="A31" s="34" t="s">
        <v>75</v>
      </c>
      <c r="B31" s="21">
        <v>15801521495.24</v>
      </c>
      <c r="C31" s="21">
        <v>23370015489.77</v>
      </c>
      <c r="D31" s="21">
        <v>15800981509.52</v>
      </c>
      <c r="E31" s="73">
        <f>F31+G31+H31-G117-H117</f>
        <v>21257584710.41</v>
      </c>
      <c r="F31" s="43">
        <v>9738014349.8299999</v>
      </c>
      <c r="G31" s="43">
        <v>11626801321.92</v>
      </c>
      <c r="H31" s="43">
        <v>2005739803.74</v>
      </c>
      <c r="I31" s="28">
        <v>15423712713.08</v>
      </c>
      <c r="J31" s="28">
        <v>22476098094.360001</v>
      </c>
      <c r="K31" s="28">
        <v>15423712713.08</v>
      </c>
      <c r="L31" s="73">
        <f>M31+N31+O31-N117-O117</f>
        <v>20500681364.040001</v>
      </c>
      <c r="M31" s="21">
        <v>9153502676.4500008</v>
      </c>
      <c r="N31" s="21">
        <v>11452619566.190001</v>
      </c>
      <c r="O31" s="21">
        <v>1869975851.7199998</v>
      </c>
      <c r="P31" s="24">
        <f t="shared" si="2"/>
        <v>15801.52149524</v>
      </c>
      <c r="Q31" s="24">
        <f t="shared" si="11"/>
        <v>15800.981509520001</v>
      </c>
      <c r="R31" s="24">
        <f t="shared" si="10"/>
        <v>21257.584710409999</v>
      </c>
      <c r="S31" s="24">
        <f t="shared" si="10"/>
        <v>9738.0143498300004</v>
      </c>
      <c r="T31" s="24">
        <f t="shared" si="10"/>
        <v>11626.80132192</v>
      </c>
      <c r="U31" s="24">
        <f t="shared" si="10"/>
        <v>2005.7398037400001</v>
      </c>
      <c r="V31" s="24">
        <f t="shared" si="10"/>
        <v>15423.71271308</v>
      </c>
      <c r="W31" s="24">
        <f t="shared" si="4"/>
        <v>15423.71271308</v>
      </c>
      <c r="X31" s="24">
        <f t="shared" si="4"/>
        <v>20500.68136404</v>
      </c>
      <c r="Y31" s="24">
        <f t="shared" si="4"/>
        <v>9153.5026764499999</v>
      </c>
      <c r="Z31" s="24">
        <f t="shared" si="4"/>
        <v>11452.61956619</v>
      </c>
      <c r="AA31" s="24">
        <f t="shared" si="4"/>
        <v>1869.9758517199998</v>
      </c>
      <c r="AB31" s="24">
        <f t="shared" si="9"/>
        <v>97.609035419318246</v>
      </c>
      <c r="AC31" s="24">
        <f t="shared" si="9"/>
        <v>97.612371128890331</v>
      </c>
      <c r="AD31" s="24">
        <f t="shared" si="9"/>
        <v>96.439372785378865</v>
      </c>
      <c r="AE31" s="24">
        <f t="shared" si="9"/>
        <v>93.997629779728101</v>
      </c>
      <c r="AF31" s="24">
        <f t="shared" si="9"/>
        <v>98.501894451386079</v>
      </c>
      <c r="AG31" s="26">
        <f t="shared" si="9"/>
        <v>93.231228110104396</v>
      </c>
      <c r="AH31" s="208"/>
      <c r="AI31" s="45">
        <f>V31-W31-X31</f>
        <v>-20500.68136404</v>
      </c>
      <c r="AJ31" s="4">
        <f>AI31*1000</f>
        <v>-20500681.364039999</v>
      </c>
      <c r="AK31" s="6">
        <f>AJ31-J31</f>
        <v>-22496598775.724041</v>
      </c>
    </row>
    <row r="32" spans="1:38" ht="26.4" x14ac:dyDescent="0.25">
      <c r="A32" s="34" t="s">
        <v>76</v>
      </c>
      <c r="B32" s="21">
        <v>2323909977.1199999</v>
      </c>
      <c r="C32" s="21"/>
      <c r="D32" s="21">
        <v>2323909977.1199999</v>
      </c>
      <c r="E32" s="73">
        <f>F32+G32+H32</f>
        <v>0</v>
      </c>
      <c r="F32" s="43"/>
      <c r="G32" s="43"/>
      <c r="H32" s="43"/>
      <c r="I32" s="28">
        <v>2323906525.9200001</v>
      </c>
      <c r="J32" s="28"/>
      <c r="K32" s="28">
        <v>2323895895.9200001</v>
      </c>
      <c r="L32" s="73">
        <f>M32+N32+O32</f>
        <v>10630</v>
      </c>
      <c r="M32" s="21"/>
      <c r="N32" s="21"/>
      <c r="O32" s="21">
        <v>10630</v>
      </c>
      <c r="P32" s="24">
        <f>B32/1000000</f>
        <v>2323.9099771199999</v>
      </c>
      <c r="Q32" s="24">
        <f t="shared" si="11"/>
        <v>2323.9099771199999</v>
      </c>
      <c r="R32" s="24">
        <f t="shared" si="10"/>
        <v>0</v>
      </c>
      <c r="S32" s="24">
        <f t="shared" si="10"/>
        <v>0</v>
      </c>
      <c r="T32" s="24">
        <f t="shared" si="10"/>
        <v>0</v>
      </c>
      <c r="U32" s="24">
        <f t="shared" si="10"/>
        <v>0</v>
      </c>
      <c r="V32" s="24">
        <f t="shared" si="10"/>
        <v>2323.9065259200001</v>
      </c>
      <c r="W32" s="24">
        <f t="shared" si="4"/>
        <v>2323.8958959199999</v>
      </c>
      <c r="X32" s="24">
        <f t="shared" si="4"/>
        <v>1.0630000000000001E-2</v>
      </c>
      <c r="Y32" s="24">
        <f t="shared" si="4"/>
        <v>0</v>
      </c>
      <c r="Z32" s="24">
        <f t="shared" si="4"/>
        <v>0</v>
      </c>
      <c r="AA32" s="24">
        <f t="shared" si="4"/>
        <v>1.0630000000000001E-2</v>
      </c>
      <c r="AB32" s="24">
        <f>V32/P32%</f>
        <v>99.999851491665609</v>
      </c>
      <c r="AC32" s="24">
        <f>W32/Q32%</f>
        <v>99.999394072914242</v>
      </c>
      <c r="AD32" s="47" t="s">
        <v>64</v>
      </c>
      <c r="AE32" s="47" t="s">
        <v>64</v>
      </c>
      <c r="AF32" s="47" t="s">
        <v>64</v>
      </c>
      <c r="AG32" s="42" t="s">
        <v>64</v>
      </c>
      <c r="AH32" s="208"/>
      <c r="AI32" s="45">
        <f>V32-W32-X32</f>
        <v>2.1929680293908405E-13</v>
      </c>
      <c r="AJ32" s="4">
        <f t="shared" ref="AJ32:AJ38" si="12">AI32*1000</f>
        <v>2.1929680293908405E-10</v>
      </c>
    </row>
    <row r="33" spans="1:37" s="74" customFormat="1" ht="26.4" x14ac:dyDescent="0.25">
      <c r="A33" s="34" t="s">
        <v>77</v>
      </c>
      <c r="B33" s="21">
        <v>1991248</v>
      </c>
      <c r="C33" s="21"/>
      <c r="D33" s="21">
        <v>160000</v>
      </c>
      <c r="E33" s="73">
        <f>F33+G33+H33</f>
        <v>1831248</v>
      </c>
      <c r="F33" s="43"/>
      <c r="G33" s="43">
        <v>1831248</v>
      </c>
      <c r="H33" s="43">
        <v>0</v>
      </c>
      <c r="I33" s="21">
        <v>1965548.7</v>
      </c>
      <c r="J33" s="21"/>
      <c r="K33" s="21">
        <v>160000</v>
      </c>
      <c r="L33" s="73">
        <f>M33+N33+O33</f>
        <v>1805548.7</v>
      </c>
      <c r="M33" s="21"/>
      <c r="N33" s="21">
        <v>1805548.7</v>
      </c>
      <c r="O33" s="21">
        <v>0</v>
      </c>
      <c r="P33" s="25">
        <f>B33/1000000</f>
        <v>1.9912479999999999</v>
      </c>
      <c r="Q33" s="25">
        <f t="shared" si="11"/>
        <v>0.16</v>
      </c>
      <c r="R33" s="25">
        <f>E33/1000000</f>
        <v>1.831248</v>
      </c>
      <c r="S33" s="25">
        <f>F33/1000000</f>
        <v>0</v>
      </c>
      <c r="T33" s="25">
        <f>G33/1000000</f>
        <v>1.831248</v>
      </c>
      <c r="U33" s="25">
        <f>H33/1000000</f>
        <v>0</v>
      </c>
      <c r="V33" s="25">
        <f>I33/1000000</f>
        <v>1.9655487</v>
      </c>
      <c r="W33" s="25">
        <f t="shared" si="4"/>
        <v>0.16</v>
      </c>
      <c r="X33" s="25">
        <f t="shared" si="4"/>
        <v>1.8055486999999999</v>
      </c>
      <c r="Y33" s="25">
        <f t="shared" si="4"/>
        <v>0</v>
      </c>
      <c r="Z33" s="25">
        <f t="shared" si="4"/>
        <v>1.8055486999999999</v>
      </c>
      <c r="AA33" s="25">
        <f t="shared" si="4"/>
        <v>0</v>
      </c>
      <c r="AB33" s="25">
        <f>V33/P33%</f>
        <v>98.709387278731739</v>
      </c>
      <c r="AC33" s="47" t="s">
        <v>64</v>
      </c>
      <c r="AD33" s="25">
        <f>X33/R33%</f>
        <v>98.596623723275059</v>
      </c>
      <c r="AE33" s="47" t="s">
        <v>64</v>
      </c>
      <c r="AF33" s="24">
        <f>Z33/T33%</f>
        <v>98.596623723275059</v>
      </c>
      <c r="AG33" s="42" t="s">
        <v>64</v>
      </c>
      <c r="AH33" s="208"/>
      <c r="AI33" s="45">
        <f>V33-W33-X33</f>
        <v>0</v>
      </c>
      <c r="AJ33" s="4">
        <f t="shared" si="12"/>
        <v>0</v>
      </c>
    </row>
    <row r="34" spans="1:37" x14ac:dyDescent="0.25">
      <c r="A34" s="34" t="s">
        <v>78</v>
      </c>
      <c r="B34" s="21">
        <v>88083089.420000002</v>
      </c>
      <c r="C34" s="21"/>
      <c r="D34" s="21">
        <v>55862363</v>
      </c>
      <c r="E34" s="73">
        <f>F34+G34+H34</f>
        <v>32220726.419999998</v>
      </c>
      <c r="F34" s="21">
        <v>9288285.4000000004</v>
      </c>
      <c r="G34" s="21">
        <v>14471053.859999999</v>
      </c>
      <c r="H34" s="21">
        <v>8461387.1600000001</v>
      </c>
      <c r="I34" s="43">
        <v>84427815.609999999</v>
      </c>
      <c r="J34" s="43"/>
      <c r="K34" s="43">
        <v>40862363</v>
      </c>
      <c r="L34" s="73">
        <f>M34+N34+O34</f>
        <v>43565452.609999999</v>
      </c>
      <c r="M34" s="43">
        <v>19829237.399999999</v>
      </c>
      <c r="N34" s="43">
        <v>14531053.859999999</v>
      </c>
      <c r="O34" s="43">
        <v>9205161.3499999996</v>
      </c>
      <c r="P34" s="24">
        <f t="shared" si="2"/>
        <v>88.083089420000007</v>
      </c>
      <c r="Q34" s="24">
        <f t="shared" si="11"/>
        <v>55.862363000000002</v>
      </c>
      <c r="R34" s="24">
        <f t="shared" si="10"/>
        <v>32.220726419999998</v>
      </c>
      <c r="S34" s="24">
        <f t="shared" si="10"/>
        <v>9.2882854000000012</v>
      </c>
      <c r="T34" s="24">
        <f t="shared" si="10"/>
        <v>14.47105386</v>
      </c>
      <c r="U34" s="24">
        <f t="shared" si="10"/>
        <v>8.461387160000001</v>
      </c>
      <c r="V34" s="24">
        <f t="shared" si="10"/>
        <v>84.427815609999996</v>
      </c>
      <c r="W34" s="24">
        <f t="shared" si="4"/>
        <v>40.862363000000002</v>
      </c>
      <c r="X34" s="24">
        <f t="shared" si="4"/>
        <v>43.565452610000001</v>
      </c>
      <c r="Y34" s="24">
        <f t="shared" si="4"/>
        <v>19.8292374</v>
      </c>
      <c r="Z34" s="24">
        <f t="shared" si="4"/>
        <v>14.53105386</v>
      </c>
      <c r="AA34" s="24">
        <f t="shared" si="4"/>
        <v>9.2051613499999991</v>
      </c>
      <c r="AB34" s="24">
        <f t="shared" si="9"/>
        <v>95.850197995927644</v>
      </c>
      <c r="AC34" s="24">
        <f>W34/Q34%</f>
        <v>73.148289484281207</v>
      </c>
      <c r="AD34" s="24">
        <f>X34/R34%</f>
        <v>135.20940540607464</v>
      </c>
      <c r="AE34" s="24">
        <f>Y34/S34%</f>
        <v>213.48652141976598</v>
      </c>
      <c r="AF34" s="24">
        <f>Z34/T34%</f>
        <v>100.41462080495636</v>
      </c>
      <c r="AG34" s="26">
        <f>AA34/U34%</f>
        <v>108.79021578773849</v>
      </c>
      <c r="AH34" s="208"/>
      <c r="AI34" s="45">
        <f t="shared" si="7"/>
        <v>0</v>
      </c>
      <c r="AJ34" s="4">
        <f t="shared" si="12"/>
        <v>0</v>
      </c>
    </row>
    <row r="35" spans="1:37" ht="92.4" hidden="1" x14ac:dyDescent="0.25">
      <c r="A35" s="34" t="s">
        <v>79</v>
      </c>
      <c r="B35" s="21"/>
      <c r="C35" s="21"/>
      <c r="D35" s="21"/>
      <c r="E35" s="73"/>
      <c r="F35" s="21"/>
      <c r="G35" s="21"/>
      <c r="H35" s="21"/>
      <c r="I35" s="43"/>
      <c r="J35" s="43"/>
      <c r="K35" s="43"/>
      <c r="L35" s="73"/>
      <c r="M35" s="43"/>
      <c r="N35" s="43"/>
      <c r="O35" s="43"/>
      <c r="P35" s="24">
        <f t="shared" si="2"/>
        <v>0</v>
      </c>
      <c r="Q35" s="24">
        <f t="shared" si="11"/>
        <v>0</v>
      </c>
      <c r="R35" s="24">
        <f t="shared" si="10"/>
        <v>0</v>
      </c>
      <c r="S35" s="24">
        <f t="shared" si="10"/>
        <v>0</v>
      </c>
      <c r="T35" s="24">
        <f t="shared" si="10"/>
        <v>0</v>
      </c>
      <c r="U35" s="24">
        <f t="shared" si="10"/>
        <v>0</v>
      </c>
      <c r="V35" s="24">
        <f t="shared" si="10"/>
        <v>0</v>
      </c>
      <c r="W35" s="24">
        <f t="shared" si="4"/>
        <v>0</v>
      </c>
      <c r="X35" s="24">
        <f t="shared" si="4"/>
        <v>0</v>
      </c>
      <c r="Y35" s="24">
        <f t="shared" si="4"/>
        <v>0</v>
      </c>
      <c r="Z35" s="24">
        <f t="shared" si="4"/>
        <v>0</v>
      </c>
      <c r="AA35" s="24">
        <f t="shared" si="4"/>
        <v>0</v>
      </c>
      <c r="AB35" s="47" t="s">
        <v>64</v>
      </c>
      <c r="AC35" s="47" t="s">
        <v>64</v>
      </c>
      <c r="AD35" s="47" t="s">
        <v>64</v>
      </c>
      <c r="AE35" s="47" t="s">
        <v>64</v>
      </c>
      <c r="AF35" s="47" t="s">
        <v>64</v>
      </c>
      <c r="AG35" s="42" t="s">
        <v>64</v>
      </c>
      <c r="AH35" s="212"/>
      <c r="AI35" s="45"/>
      <c r="AK35" s="4">
        <f>(Q29-Q36-Q37)*1000</f>
        <v>18180913.849640001</v>
      </c>
    </row>
    <row r="36" spans="1:37" ht="26.4" x14ac:dyDescent="0.25">
      <c r="A36" s="34" t="s">
        <v>222</v>
      </c>
      <c r="B36" s="21">
        <v>46273768.079999998</v>
      </c>
      <c r="C36" s="21">
        <v>1464593299.1099999</v>
      </c>
      <c r="D36" s="21">
        <v>918559670.83000004</v>
      </c>
      <c r="E36" s="73">
        <f>F36+G36+H36+H37</f>
        <v>28215630.070000052</v>
      </c>
      <c r="F36" s="21">
        <v>5748192.1399999997</v>
      </c>
      <c r="G36" s="21">
        <v>565267702.70000005</v>
      </c>
      <c r="H36" s="21">
        <v>21291501.52</v>
      </c>
      <c r="I36" s="21">
        <v>67027637.280000001</v>
      </c>
      <c r="J36" s="21">
        <v>1491224302.54</v>
      </c>
      <c r="K36" s="21">
        <v>965575664.86000001</v>
      </c>
      <c r="L36" s="73">
        <f>M36+N36+O36+O37</f>
        <v>28584508.669999957</v>
      </c>
      <c r="M36" s="21">
        <v>5748199.6799999997</v>
      </c>
      <c r="N36" s="21">
        <v>565636573.75999999</v>
      </c>
      <c r="O36" s="21">
        <v>21291501.52</v>
      </c>
      <c r="P36" s="24">
        <f t="shared" si="2"/>
        <v>46.273768079999996</v>
      </c>
      <c r="Q36" s="24">
        <f t="shared" si="11"/>
        <v>918.55967083000007</v>
      </c>
      <c r="R36" s="24">
        <f t="shared" si="10"/>
        <v>28.215630070000053</v>
      </c>
      <c r="S36" s="24">
        <f t="shared" si="10"/>
        <v>5.7481921399999996</v>
      </c>
      <c r="T36" s="24">
        <f t="shared" si="10"/>
        <v>565.26770270000009</v>
      </c>
      <c r="U36" s="24">
        <f t="shared" si="10"/>
        <v>21.291501520000001</v>
      </c>
      <c r="V36" s="24">
        <f t="shared" si="10"/>
        <v>67.027637280000008</v>
      </c>
      <c r="W36" s="24">
        <f t="shared" si="4"/>
        <v>965.57566485999996</v>
      </c>
      <c r="X36" s="24">
        <f t="shared" si="4"/>
        <v>28.584508669999956</v>
      </c>
      <c r="Y36" s="24">
        <f t="shared" si="4"/>
        <v>5.7481996799999999</v>
      </c>
      <c r="Z36" s="24">
        <f t="shared" si="4"/>
        <v>565.63657376000003</v>
      </c>
      <c r="AA36" s="24">
        <f t="shared" si="4"/>
        <v>21.291501520000001</v>
      </c>
      <c r="AB36" s="24">
        <f t="shared" si="9"/>
        <v>144.8501819953799</v>
      </c>
      <c r="AC36" s="24">
        <f t="shared" si="9"/>
        <v>105.11844744800486</v>
      </c>
      <c r="AD36" s="24">
        <f>X36/R36%</f>
        <v>101.30735552984198</v>
      </c>
      <c r="AE36" s="24">
        <f>Y36/S36%</f>
        <v>100.00013117167653</v>
      </c>
      <c r="AF36" s="24">
        <f>Z36/T36%</f>
        <v>100.06525599432588</v>
      </c>
      <c r="AG36" s="26">
        <f>AA36/U36%</f>
        <v>100</v>
      </c>
      <c r="AH36" s="208"/>
      <c r="AI36" s="45">
        <f t="shared" si="7"/>
        <v>-927.13253624999993</v>
      </c>
      <c r="AJ36" s="4">
        <f t="shared" si="12"/>
        <v>-927132.53624999989</v>
      </c>
    </row>
    <row r="37" spans="1:37" x14ac:dyDescent="0.25">
      <c r="A37" s="34" t="s">
        <v>80</v>
      </c>
      <c r="B37" s="21">
        <v>-143346318.02000001</v>
      </c>
      <c r="C37" s="21">
        <v>-1464593299.1099999</v>
      </c>
      <c r="D37" s="21">
        <v>-117117457.69</v>
      </c>
      <c r="E37" s="73">
        <f>F37+G37</f>
        <v>-926730393.1500001</v>
      </c>
      <c r="F37" s="21">
        <v>-240270128.80000001</v>
      </c>
      <c r="G37" s="21">
        <v>-686460264.35000002</v>
      </c>
      <c r="H37" s="21">
        <v>-564091766.28999996</v>
      </c>
      <c r="I37" s="21">
        <v>-117117457.69</v>
      </c>
      <c r="J37" s="21">
        <v>-1490855431.48</v>
      </c>
      <c r="K37" s="21">
        <v>-117117457.69</v>
      </c>
      <c r="L37" s="73">
        <f>M37+N37</f>
        <v>-926763665.19000006</v>
      </c>
      <c r="M37" s="21">
        <v>-240277639.59999999</v>
      </c>
      <c r="N37" s="21">
        <v>-686486025.59000003</v>
      </c>
      <c r="O37" s="21">
        <v>-564091766.28999996</v>
      </c>
      <c r="P37" s="24">
        <f t="shared" si="2"/>
        <v>-143.34631802000001</v>
      </c>
      <c r="Q37" s="24">
        <f t="shared" si="11"/>
        <v>-117.11745768999999</v>
      </c>
      <c r="R37" s="24">
        <f t="shared" si="10"/>
        <v>-926.73039315000005</v>
      </c>
      <c r="S37" s="24">
        <f t="shared" si="10"/>
        <v>-240.27012880000001</v>
      </c>
      <c r="T37" s="24">
        <f t="shared" si="10"/>
        <v>-686.46026434999999</v>
      </c>
      <c r="U37" s="24">
        <f t="shared" si="10"/>
        <v>-564.09176629000001</v>
      </c>
      <c r="V37" s="24">
        <f t="shared" si="10"/>
        <v>-117.11745768999999</v>
      </c>
      <c r="W37" s="24">
        <f t="shared" si="4"/>
        <v>-117.11745768999999</v>
      </c>
      <c r="X37" s="24">
        <f t="shared" si="4"/>
        <v>-926.7636651900001</v>
      </c>
      <c r="Y37" s="24">
        <f t="shared" si="4"/>
        <v>-240.27763959999999</v>
      </c>
      <c r="Z37" s="24">
        <f t="shared" si="4"/>
        <v>-686.48602559000005</v>
      </c>
      <c r="AA37" s="24">
        <f t="shared" si="4"/>
        <v>-564.09176629000001</v>
      </c>
      <c r="AB37" s="24">
        <f t="shared" si="9"/>
        <v>81.702452708732636</v>
      </c>
      <c r="AC37" s="24">
        <f t="shared" si="9"/>
        <v>100</v>
      </c>
      <c r="AD37" s="24">
        <f t="shared" si="9"/>
        <v>100.0035902610129</v>
      </c>
      <c r="AE37" s="24">
        <f t="shared" si="9"/>
        <v>100.00312598159309</v>
      </c>
      <c r="AF37" s="24">
        <f t="shared" si="9"/>
        <v>100.00375276492143</v>
      </c>
      <c r="AG37" s="26">
        <f t="shared" si="9"/>
        <v>100</v>
      </c>
      <c r="AH37" s="208"/>
      <c r="AI37" s="45">
        <f t="shared" si="7"/>
        <v>926.7636651900001</v>
      </c>
      <c r="AJ37" s="4">
        <f t="shared" si="12"/>
        <v>926763.66519000009</v>
      </c>
    </row>
    <row r="38" spans="1:37" s="33" customFormat="1" x14ac:dyDescent="0.25">
      <c r="A38" s="281" t="s">
        <v>331</v>
      </c>
      <c r="B38" s="282">
        <f>B12+B13+B14+B15+B16+B17+B18+B19+B20+B21+B22+B23+B24+B25+B26+B28+B29</f>
        <v>76257640211.930008</v>
      </c>
      <c r="C38" s="282">
        <f t="shared" ref="C38:D38" si="13">C12+C13+C14+C15+C16+C17+C18+C19+C20+C21+C22+C23+C24+C25+C26+C29</f>
        <v>23370726956.439999</v>
      </c>
      <c r="D38" s="282">
        <f t="shared" si="13"/>
        <v>64176873792.849998</v>
      </c>
      <c r="E38" s="282">
        <f>E12+E13+E14+E15+E16+E17+E18+E19+E20+E21+E22+E23+E24+E25+E26+E28+E29</f>
        <v>33338522610.440002</v>
      </c>
      <c r="F38" s="282">
        <f t="shared" ref="F38:O38" si="14">F12+F13+F14+F15+F16+F17+F18+F19+F20+F21+F22+F23+F24+F25+F26+F28+F29</f>
        <v>18903584014.809998</v>
      </c>
      <c r="G38" s="282">
        <f t="shared" si="14"/>
        <v>14101294728.439999</v>
      </c>
      <c r="H38" s="282">
        <f t="shared" si="14"/>
        <v>2446614632.27</v>
      </c>
      <c r="I38" s="282">
        <f t="shared" si="14"/>
        <v>76277867758.130005</v>
      </c>
      <c r="J38" s="282">
        <f t="shared" si="14"/>
        <v>22476809561.029999</v>
      </c>
      <c r="K38" s="282">
        <f t="shared" si="14"/>
        <v>64037151832.720009</v>
      </c>
      <c r="L38" s="282">
        <f t="shared" si="14"/>
        <v>32742108756.119999</v>
      </c>
      <c r="M38" s="282">
        <f t="shared" si="14"/>
        <v>18477241213.52</v>
      </c>
      <c r="N38" s="282">
        <f t="shared" si="14"/>
        <v>13957209201.379999</v>
      </c>
      <c r="O38" s="282">
        <f t="shared" si="14"/>
        <v>2283075071.54</v>
      </c>
      <c r="P38" s="283">
        <f t="shared" si="2"/>
        <v>76257.640211930004</v>
      </c>
      <c r="Q38" s="283">
        <f>D38/1000000</f>
        <v>64176.873792849998</v>
      </c>
      <c r="R38" s="283">
        <f t="shared" si="10"/>
        <v>33338.522610439999</v>
      </c>
      <c r="S38" s="283">
        <f t="shared" si="10"/>
        <v>18903.584014809996</v>
      </c>
      <c r="T38" s="283">
        <f t="shared" si="10"/>
        <v>14101.294728439998</v>
      </c>
      <c r="U38" s="283">
        <f t="shared" si="10"/>
        <v>2446.6146322700001</v>
      </c>
      <c r="V38" s="283">
        <f t="shared" si="10"/>
        <v>76277.86775813</v>
      </c>
      <c r="W38" s="283">
        <f>K38/1000000</f>
        <v>64037.15183272001</v>
      </c>
      <c r="X38" s="283">
        <f t="shared" si="4"/>
        <v>32742.10875612</v>
      </c>
      <c r="Y38" s="283">
        <f t="shared" si="4"/>
        <v>18477.241213519999</v>
      </c>
      <c r="Z38" s="283">
        <f t="shared" si="4"/>
        <v>13957.209201379999</v>
      </c>
      <c r="AA38" s="283">
        <f t="shared" si="4"/>
        <v>2283.07507154</v>
      </c>
      <c r="AB38" s="283">
        <f t="shared" si="9"/>
        <v>100.02652527162364</v>
      </c>
      <c r="AC38" s="283">
        <f>W38/Q38%</f>
        <v>99.782286122909355</v>
      </c>
      <c r="AD38" s="283">
        <f t="shared" si="9"/>
        <v>98.211036939791597</v>
      </c>
      <c r="AE38" s="283">
        <f t="shared" si="9"/>
        <v>97.744645666366864</v>
      </c>
      <c r="AF38" s="283">
        <f t="shared" si="9"/>
        <v>98.978210654874104</v>
      </c>
      <c r="AG38" s="284">
        <f t="shared" si="9"/>
        <v>93.315679609981487</v>
      </c>
      <c r="AH38" s="213"/>
      <c r="AI38" s="45">
        <f>V38-W38-X38</f>
        <v>-20501.39283071001</v>
      </c>
      <c r="AJ38" s="4">
        <f t="shared" si="12"/>
        <v>-20501392.830710009</v>
      </c>
      <c r="AK38" s="33">
        <f>V38-P38</f>
        <v>20.227546199996141</v>
      </c>
    </row>
    <row r="39" spans="1:37" s="33" customFormat="1" x14ac:dyDescent="0.25">
      <c r="A39" s="285" t="s">
        <v>332</v>
      </c>
      <c r="B39" s="286">
        <f>+B12+B13+B14+B15+B16+B17+B18+B19</f>
        <v>54869536548.169998</v>
      </c>
      <c r="C39" s="286">
        <f t="shared" ref="C39:O39" si="15">+C12+C13+C14+C15+C16+C17+C18+C19</f>
        <v>0</v>
      </c>
      <c r="D39" s="286">
        <f t="shared" si="15"/>
        <v>44289754000</v>
      </c>
      <c r="E39" s="286">
        <f t="shared" si="15"/>
        <v>10579782548.17</v>
      </c>
      <c r="F39" s="286">
        <f t="shared" si="15"/>
        <v>7727531864</v>
      </c>
      <c r="G39" s="286">
        <f t="shared" si="15"/>
        <v>2172219758</v>
      </c>
      <c r="H39" s="286">
        <f t="shared" si="15"/>
        <v>680030926.16999996</v>
      </c>
      <c r="I39" s="286">
        <f t="shared" si="15"/>
        <v>54848438458.199997</v>
      </c>
      <c r="J39" s="286">
        <f t="shared" si="15"/>
        <v>0</v>
      </c>
      <c r="K39" s="286">
        <f t="shared" si="15"/>
        <v>44192002283.529999</v>
      </c>
      <c r="L39" s="286">
        <f t="shared" si="15"/>
        <v>10656436174.669998</v>
      </c>
      <c r="M39" s="286">
        <f t="shared" si="15"/>
        <v>7777967365.3299999</v>
      </c>
      <c r="N39" s="286">
        <f t="shared" si="15"/>
        <v>2209786563.9599996</v>
      </c>
      <c r="O39" s="286">
        <f t="shared" si="15"/>
        <v>668682245.38</v>
      </c>
      <c r="P39" s="138">
        <f t="shared" ref="P39:P45" si="16">B39/1000000</f>
        <v>54869.536548169999</v>
      </c>
      <c r="Q39" s="138">
        <f t="shared" ref="Q39:V40" si="17">+D39/1000000</f>
        <v>44289.754000000001</v>
      </c>
      <c r="R39" s="138">
        <f t="shared" si="17"/>
        <v>10579.78254817</v>
      </c>
      <c r="S39" s="138">
        <f t="shared" si="17"/>
        <v>7727.5318639999996</v>
      </c>
      <c r="T39" s="138">
        <f t="shared" si="17"/>
        <v>2172.2197580000002</v>
      </c>
      <c r="U39" s="138">
        <f t="shared" si="17"/>
        <v>680.03092616999993</v>
      </c>
      <c r="V39" s="138">
        <f t="shared" si="17"/>
        <v>54848.438458199998</v>
      </c>
      <c r="W39" s="138">
        <f t="shared" ref="W39:AA40" si="18">+K39/1000000</f>
        <v>44192.002283529997</v>
      </c>
      <c r="X39" s="138">
        <f t="shared" si="18"/>
        <v>10656.436174669998</v>
      </c>
      <c r="Y39" s="138">
        <f t="shared" si="18"/>
        <v>7777.9673653299997</v>
      </c>
      <c r="Z39" s="138">
        <f t="shared" si="18"/>
        <v>2209.7865639599995</v>
      </c>
      <c r="AA39" s="138">
        <f t="shared" si="18"/>
        <v>668.68224538000004</v>
      </c>
      <c r="AB39" s="283">
        <f t="shared" ref="AB39:AB40" si="19">V39/P39%</f>
        <v>99.961548627349018</v>
      </c>
      <c r="AC39" s="283">
        <f t="shared" ref="AC39" si="20">W39/Q39%</f>
        <v>99.77929045063108</v>
      </c>
      <c r="AD39" s="283">
        <f t="shared" ref="AD39:AD40" si="21">X39/R39%</f>
        <v>100.72452931949208</v>
      </c>
      <c r="AE39" s="283">
        <f t="shared" ref="AE39:AE40" si="22">Y39/S39%</f>
        <v>100.65267283548791</v>
      </c>
      <c r="AF39" s="283">
        <f t="shared" ref="AF39:AF40" si="23">Z39/T39%</f>
        <v>101.72942013908333</v>
      </c>
      <c r="AG39" s="284">
        <f t="shared" ref="AG39:AG40" si="24">AA39/U39%</f>
        <v>98.331152253042859</v>
      </c>
      <c r="AH39" s="213"/>
      <c r="AI39" s="45"/>
      <c r="AJ39" s="4"/>
      <c r="AK39" s="33">
        <f>V39-P39</f>
        <v>-21.098089970000728</v>
      </c>
    </row>
    <row r="40" spans="1:37" s="33" customFormat="1" ht="13.8" thickBot="1" x14ac:dyDescent="0.3">
      <c r="A40" s="285" t="s">
        <v>333</v>
      </c>
      <c r="B40" s="286">
        <f>+B20+B21+B22+B23+B24+B25+B26+B28</f>
        <v>3269670403.9200001</v>
      </c>
      <c r="C40" s="286">
        <f t="shared" ref="C40:O40" si="25">+C20+C21+C22+C23+C24+C25+C26+C28</f>
        <v>711466.67</v>
      </c>
      <c r="D40" s="286">
        <f t="shared" si="25"/>
        <v>904763730.07000005</v>
      </c>
      <c r="E40" s="286">
        <f t="shared" si="25"/>
        <v>2365618140.5200005</v>
      </c>
      <c r="F40" s="286">
        <f t="shared" si="25"/>
        <v>1663271452.24</v>
      </c>
      <c r="G40" s="286">
        <f t="shared" si="25"/>
        <v>407163908.31</v>
      </c>
      <c r="H40" s="286">
        <f t="shared" si="25"/>
        <v>295182779.96999997</v>
      </c>
      <c r="I40" s="286">
        <f t="shared" si="25"/>
        <v>3645506517.0300002</v>
      </c>
      <c r="J40" s="286">
        <f t="shared" si="25"/>
        <v>342595.61000000004</v>
      </c>
      <c r="K40" s="286">
        <f t="shared" si="25"/>
        <v>1208060370.02</v>
      </c>
      <c r="L40" s="286">
        <f t="shared" si="25"/>
        <v>2437788742.6199999</v>
      </c>
      <c r="M40" s="286">
        <f t="shared" si="25"/>
        <v>1760471374.2599998</v>
      </c>
      <c r="N40" s="286">
        <f t="shared" si="25"/>
        <v>399315920.5</v>
      </c>
      <c r="O40" s="286">
        <f t="shared" si="25"/>
        <v>278001447.86000001</v>
      </c>
      <c r="P40" s="138">
        <f t="shared" si="16"/>
        <v>3269.6704039199999</v>
      </c>
      <c r="Q40" s="138">
        <f t="shared" si="17"/>
        <v>904.76373007000007</v>
      </c>
      <c r="R40" s="138">
        <f t="shared" si="17"/>
        <v>2365.6181405200005</v>
      </c>
      <c r="S40" s="138">
        <f t="shared" si="17"/>
        <v>1663.2714522399999</v>
      </c>
      <c r="T40" s="138">
        <f t="shared" si="17"/>
        <v>407.16390831000001</v>
      </c>
      <c r="U40" s="138">
        <f t="shared" si="17"/>
        <v>295.18277996999996</v>
      </c>
      <c r="V40" s="138">
        <f t="shared" si="17"/>
        <v>3645.5065170300004</v>
      </c>
      <c r="W40" s="138">
        <f t="shared" si="18"/>
        <v>1208.0603700199999</v>
      </c>
      <c r="X40" s="138">
        <f t="shared" si="18"/>
        <v>2437.78874262</v>
      </c>
      <c r="Y40" s="138">
        <f t="shared" si="18"/>
        <v>1760.4713742599997</v>
      </c>
      <c r="Z40" s="138">
        <f t="shared" si="18"/>
        <v>399.3159205</v>
      </c>
      <c r="AA40" s="138">
        <f t="shared" si="18"/>
        <v>278.00144786000004</v>
      </c>
      <c r="AB40" s="283">
        <f t="shared" si="19"/>
        <v>111.49461770395607</v>
      </c>
      <c r="AC40" s="283">
        <f>W40/Q40%</f>
        <v>133.52219257579372</v>
      </c>
      <c r="AD40" s="283">
        <f t="shared" si="21"/>
        <v>103.05081369067179</v>
      </c>
      <c r="AE40" s="283">
        <f t="shared" si="22"/>
        <v>105.8439000975515</v>
      </c>
      <c r="AF40" s="283">
        <f t="shared" si="23"/>
        <v>98.072523706098025</v>
      </c>
      <c r="AG40" s="284">
        <f t="shared" si="24"/>
        <v>94.179426011318782</v>
      </c>
      <c r="AH40" s="213"/>
      <c r="AI40" s="45"/>
      <c r="AJ40" s="4"/>
    </row>
    <row r="41" spans="1:37" s="71" customFormat="1" ht="13.8" hidden="1" thickBot="1" x14ac:dyDescent="0.3">
      <c r="A41" s="77" t="s">
        <v>81</v>
      </c>
      <c r="B41" s="78">
        <f>B38-B10</f>
        <v>0</v>
      </c>
      <c r="C41" s="78">
        <f t="shared" ref="C41:O41" si="26">C38-C10</f>
        <v>0</v>
      </c>
      <c r="D41" s="78">
        <f t="shared" si="26"/>
        <v>0</v>
      </c>
      <c r="E41" s="78">
        <f>E38-E10</f>
        <v>0</v>
      </c>
      <c r="F41" s="78">
        <f t="shared" si="26"/>
        <v>0</v>
      </c>
      <c r="G41" s="78">
        <f t="shared" si="26"/>
        <v>0</v>
      </c>
      <c r="H41" s="78">
        <f t="shared" si="26"/>
        <v>0</v>
      </c>
      <c r="I41" s="78">
        <f t="shared" si="26"/>
        <v>0</v>
      </c>
      <c r="J41" s="78">
        <f t="shared" si="26"/>
        <v>0</v>
      </c>
      <c r="K41" s="78">
        <f t="shared" si="26"/>
        <v>0</v>
      </c>
      <c r="L41" s="78">
        <f>L38-L10</f>
        <v>0</v>
      </c>
      <c r="M41" s="78">
        <f t="shared" si="26"/>
        <v>0</v>
      </c>
      <c r="N41" s="78">
        <f t="shared" si="26"/>
        <v>0</v>
      </c>
      <c r="O41" s="78">
        <f t="shared" si="26"/>
        <v>0</v>
      </c>
      <c r="P41" s="138">
        <f t="shared" si="16"/>
        <v>0</v>
      </c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80"/>
      <c r="AH41" s="87"/>
    </row>
    <row r="42" spans="1:37" s="71" customFormat="1" ht="13.8" hidden="1" thickBot="1" x14ac:dyDescent="0.3">
      <c r="A42" s="81" t="s">
        <v>82</v>
      </c>
      <c r="B42" s="82">
        <f>B31+B32+B33+B34+B35+B36+B37</f>
        <v>18118433259.84</v>
      </c>
      <c r="C42" s="82">
        <f t="shared" ref="C42:AA42" si="27">C31+C32+C33+C34+C35+C36+C37</f>
        <v>23370015489.77</v>
      </c>
      <c r="D42" s="82">
        <f t="shared" si="27"/>
        <v>18982356062.780003</v>
      </c>
      <c r="E42" s="82">
        <f>E31+E32+E33+E34+E35+E36+E37</f>
        <v>20393121921.749996</v>
      </c>
      <c r="F42" s="82">
        <f t="shared" si="27"/>
        <v>9512780698.5699997</v>
      </c>
      <c r="G42" s="82">
        <f t="shared" si="27"/>
        <v>11521911062.130001</v>
      </c>
      <c r="H42" s="82">
        <f t="shared" si="27"/>
        <v>1471400926.1300001</v>
      </c>
      <c r="I42" s="82">
        <f t="shared" si="27"/>
        <v>17783922782.900002</v>
      </c>
      <c r="J42" s="82">
        <f t="shared" si="27"/>
        <v>22476466965.420002</v>
      </c>
      <c r="K42" s="82">
        <f t="shared" si="27"/>
        <v>18637089179.170002</v>
      </c>
      <c r="L42" s="82">
        <f t="shared" si="27"/>
        <v>19647883838.830002</v>
      </c>
      <c r="M42" s="82">
        <f t="shared" si="27"/>
        <v>8938802473.9300003</v>
      </c>
      <c r="N42" s="82">
        <f t="shared" si="27"/>
        <v>11348106716.920002</v>
      </c>
      <c r="O42" s="82">
        <f t="shared" si="27"/>
        <v>1336391378.2999997</v>
      </c>
      <c r="P42" s="138">
        <f t="shared" si="16"/>
        <v>18118.43325984</v>
      </c>
      <c r="Q42" s="82">
        <f t="shared" si="27"/>
        <v>18982.35606278</v>
      </c>
      <c r="R42" s="82">
        <f t="shared" si="27"/>
        <v>20393.12192175</v>
      </c>
      <c r="S42" s="82">
        <f t="shared" si="27"/>
        <v>9512.780698569999</v>
      </c>
      <c r="T42" s="82">
        <f t="shared" si="27"/>
        <v>11521.911062130001</v>
      </c>
      <c r="U42" s="82">
        <f t="shared" si="27"/>
        <v>1471.4009261300002</v>
      </c>
      <c r="V42" s="82">
        <f t="shared" si="27"/>
        <v>17783.922782899997</v>
      </c>
      <c r="W42" s="82">
        <f t="shared" si="27"/>
        <v>18637.089179169998</v>
      </c>
      <c r="X42" s="82">
        <f t="shared" si="27"/>
        <v>19647.883838829999</v>
      </c>
      <c r="Y42" s="82">
        <f t="shared" si="27"/>
        <v>8938.8024739299981</v>
      </c>
      <c r="Z42" s="82">
        <f t="shared" si="27"/>
        <v>11348.106716920001</v>
      </c>
      <c r="AA42" s="82">
        <f t="shared" si="27"/>
        <v>1336.3913782999998</v>
      </c>
      <c r="AB42" s="83"/>
      <c r="AC42" s="83"/>
      <c r="AD42" s="83"/>
      <c r="AE42" s="83"/>
      <c r="AF42" s="83"/>
      <c r="AG42" s="83"/>
      <c r="AH42" s="87"/>
    </row>
    <row r="43" spans="1:37" s="71" customFormat="1" ht="13.8" hidden="1" thickBot="1" x14ac:dyDescent="0.3">
      <c r="A43" s="84" t="s">
        <v>83</v>
      </c>
      <c r="B43" s="85">
        <f>B42-B29</f>
        <v>0</v>
      </c>
      <c r="C43" s="85">
        <f t="shared" ref="C43:AA43" si="28">C42-C29</f>
        <v>0</v>
      </c>
      <c r="D43" s="85">
        <f t="shared" si="28"/>
        <v>0</v>
      </c>
      <c r="E43" s="85">
        <f>E42-E29</f>
        <v>0</v>
      </c>
      <c r="F43" s="85">
        <f t="shared" si="28"/>
        <v>0</v>
      </c>
      <c r="G43" s="85">
        <f t="shared" si="28"/>
        <v>0</v>
      </c>
      <c r="H43" s="85">
        <f t="shared" si="28"/>
        <v>0</v>
      </c>
      <c r="I43" s="85">
        <f t="shared" si="28"/>
        <v>0</v>
      </c>
      <c r="J43" s="85">
        <f t="shared" si="28"/>
        <v>0</v>
      </c>
      <c r="K43" s="85">
        <f t="shared" si="28"/>
        <v>0</v>
      </c>
      <c r="L43" s="85">
        <f t="shared" si="28"/>
        <v>0</v>
      </c>
      <c r="M43" s="85">
        <f t="shared" si="28"/>
        <v>0</v>
      </c>
      <c r="N43" s="85">
        <f t="shared" si="28"/>
        <v>0</v>
      </c>
      <c r="O43" s="85">
        <f t="shared" si="28"/>
        <v>0</v>
      </c>
      <c r="P43" s="138">
        <f t="shared" si="16"/>
        <v>0</v>
      </c>
      <c r="Q43" s="86">
        <f t="shared" si="28"/>
        <v>0</v>
      </c>
      <c r="R43" s="86">
        <f t="shared" si="28"/>
        <v>0</v>
      </c>
      <c r="S43" s="86">
        <f t="shared" si="28"/>
        <v>0</v>
      </c>
      <c r="T43" s="86">
        <f t="shared" si="28"/>
        <v>0</v>
      </c>
      <c r="U43" s="86">
        <f t="shared" si="28"/>
        <v>0</v>
      </c>
      <c r="V43" s="86">
        <f t="shared" si="28"/>
        <v>0</v>
      </c>
      <c r="W43" s="86">
        <f t="shared" si="28"/>
        <v>0</v>
      </c>
      <c r="X43" s="86">
        <f t="shared" si="28"/>
        <v>0</v>
      </c>
      <c r="Y43" s="86">
        <f t="shared" si="28"/>
        <v>0</v>
      </c>
      <c r="Z43" s="86">
        <f t="shared" si="28"/>
        <v>0</v>
      </c>
      <c r="AA43" s="86">
        <f t="shared" si="28"/>
        <v>0</v>
      </c>
      <c r="AB43" s="87"/>
      <c r="AC43" s="87"/>
      <c r="AD43" s="87"/>
      <c r="AE43" s="87"/>
      <c r="AF43" s="87"/>
      <c r="AG43" s="87"/>
      <c r="AH43" s="87"/>
    </row>
    <row r="44" spans="1:37" s="71" customFormat="1" ht="13.8" hidden="1" thickBot="1" x14ac:dyDescent="0.3">
      <c r="A44" s="84"/>
      <c r="B44" s="87"/>
      <c r="C44" s="87"/>
      <c r="D44" s="85"/>
      <c r="E44" s="85"/>
      <c r="F44" s="87"/>
      <c r="G44" s="87"/>
      <c r="H44" s="87"/>
      <c r="I44" s="87"/>
      <c r="J44" s="87"/>
      <c r="K44" s="87"/>
      <c r="L44" s="85"/>
      <c r="M44" s="85"/>
      <c r="N44" s="85"/>
      <c r="O44" s="85"/>
      <c r="P44" s="138">
        <f t="shared" si="16"/>
        <v>0</v>
      </c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</row>
    <row r="45" spans="1:37" s="71" customFormat="1" ht="40.200000000000003" hidden="1" thickBot="1" x14ac:dyDescent="0.3">
      <c r="A45" s="84" t="s">
        <v>84</v>
      </c>
      <c r="B45" s="87"/>
      <c r="C45" s="87"/>
      <c r="D45" s="87"/>
      <c r="E45" s="88">
        <f>G117-H31</f>
        <v>200100</v>
      </c>
      <c r="F45" s="87"/>
      <c r="G45" s="87"/>
      <c r="H45" s="87"/>
      <c r="I45" s="87"/>
      <c r="J45" s="87"/>
      <c r="K45" s="87"/>
      <c r="L45" s="88">
        <f>N117-O31</f>
        <v>0</v>
      </c>
      <c r="M45" s="87"/>
      <c r="N45" s="87"/>
      <c r="O45" s="87"/>
      <c r="P45" s="138">
        <f t="shared" si="16"/>
        <v>0</v>
      </c>
      <c r="Q45" s="87"/>
      <c r="R45" s="89">
        <f>T117-U31</f>
        <v>0.20010000000002037</v>
      </c>
      <c r="S45" s="90"/>
      <c r="T45" s="90"/>
      <c r="U45" s="90"/>
      <c r="V45" s="90"/>
      <c r="W45" s="90"/>
      <c r="X45" s="89">
        <f>Z117-AA31</f>
        <v>0</v>
      </c>
      <c r="Y45" s="87"/>
      <c r="Z45" s="87"/>
      <c r="AA45" s="87"/>
      <c r="AB45" s="87"/>
      <c r="AC45" s="87"/>
      <c r="AD45" s="87"/>
      <c r="AE45" s="87"/>
      <c r="AF45" s="87"/>
      <c r="AG45" s="87"/>
      <c r="AH45" s="87"/>
    </row>
    <row r="46" spans="1:37" ht="13.5" customHeight="1" thickTop="1" x14ac:dyDescent="0.25">
      <c r="A46" s="375" t="s">
        <v>36</v>
      </c>
      <c r="B46" s="377" t="s">
        <v>230</v>
      </c>
      <c r="C46" s="377"/>
      <c r="D46" s="377"/>
      <c r="E46" s="377"/>
      <c r="F46" s="377"/>
      <c r="G46" s="377"/>
      <c r="H46" s="377"/>
      <c r="I46" s="377" t="s">
        <v>231</v>
      </c>
      <c r="J46" s="377"/>
      <c r="K46" s="377"/>
      <c r="L46" s="377"/>
      <c r="M46" s="377"/>
      <c r="N46" s="377"/>
      <c r="O46" s="377"/>
      <c r="P46" s="377" t="s">
        <v>232</v>
      </c>
      <c r="Q46" s="377"/>
      <c r="R46" s="377"/>
      <c r="S46" s="377"/>
      <c r="T46" s="377"/>
      <c r="U46" s="377"/>
      <c r="V46" s="377" t="s">
        <v>233</v>
      </c>
      <c r="W46" s="377"/>
      <c r="X46" s="377"/>
      <c r="Y46" s="377"/>
      <c r="Z46" s="377"/>
      <c r="AA46" s="377"/>
      <c r="AB46" s="377" t="s">
        <v>37</v>
      </c>
      <c r="AC46" s="377"/>
      <c r="AD46" s="377"/>
      <c r="AE46" s="377"/>
      <c r="AF46" s="377"/>
      <c r="AG46" s="378"/>
      <c r="AH46" s="204"/>
    </row>
    <row r="47" spans="1:37" x14ac:dyDescent="0.25">
      <c r="A47" s="376"/>
      <c r="B47" s="379" t="s">
        <v>38</v>
      </c>
      <c r="C47" s="380" t="s">
        <v>39</v>
      </c>
      <c r="D47" s="381"/>
      <c r="E47" s="381"/>
      <c r="F47" s="381"/>
      <c r="G47" s="381"/>
      <c r="H47" s="382"/>
      <c r="I47" s="379" t="s">
        <v>38</v>
      </c>
      <c r="J47" s="198"/>
      <c r="K47" s="383" t="s">
        <v>39</v>
      </c>
      <c r="L47" s="383"/>
      <c r="M47" s="383"/>
      <c r="N47" s="383"/>
      <c r="O47" s="383"/>
      <c r="P47" s="379" t="s">
        <v>38</v>
      </c>
      <c r="Q47" s="383" t="s">
        <v>40</v>
      </c>
      <c r="R47" s="383"/>
      <c r="S47" s="383"/>
      <c r="T47" s="383"/>
      <c r="U47" s="383"/>
      <c r="V47" s="379" t="s">
        <v>38</v>
      </c>
      <c r="W47" s="383" t="s">
        <v>40</v>
      </c>
      <c r="X47" s="383"/>
      <c r="Y47" s="383"/>
      <c r="Z47" s="383"/>
      <c r="AA47" s="383"/>
      <c r="AB47" s="379" t="s">
        <v>38</v>
      </c>
      <c r="AC47" s="383" t="s">
        <v>40</v>
      </c>
      <c r="AD47" s="383"/>
      <c r="AE47" s="383"/>
      <c r="AF47" s="383"/>
      <c r="AG47" s="384"/>
      <c r="AH47" s="204"/>
    </row>
    <row r="48" spans="1:37" x14ac:dyDescent="0.25">
      <c r="A48" s="376"/>
      <c r="B48" s="379"/>
      <c r="C48" s="385" t="s">
        <v>41</v>
      </c>
      <c r="D48" s="379" t="s">
        <v>42</v>
      </c>
      <c r="E48" s="379" t="s">
        <v>43</v>
      </c>
      <c r="F48" s="387" t="s">
        <v>44</v>
      </c>
      <c r="G48" s="387"/>
      <c r="H48" s="387"/>
      <c r="I48" s="379"/>
      <c r="J48" s="385" t="s">
        <v>41</v>
      </c>
      <c r="K48" s="379" t="s">
        <v>42</v>
      </c>
      <c r="L48" s="379" t="s">
        <v>43</v>
      </c>
      <c r="M48" s="387" t="s">
        <v>44</v>
      </c>
      <c r="N48" s="387"/>
      <c r="O48" s="387"/>
      <c r="P48" s="379"/>
      <c r="Q48" s="379" t="s">
        <v>42</v>
      </c>
      <c r="R48" s="379" t="s">
        <v>43</v>
      </c>
      <c r="S48" s="387" t="s">
        <v>44</v>
      </c>
      <c r="T48" s="387"/>
      <c r="U48" s="387"/>
      <c r="V48" s="379"/>
      <c r="W48" s="379" t="s">
        <v>42</v>
      </c>
      <c r="X48" s="379" t="s">
        <v>43</v>
      </c>
      <c r="Y48" s="387" t="s">
        <v>44</v>
      </c>
      <c r="Z48" s="387"/>
      <c r="AA48" s="387"/>
      <c r="AB48" s="379"/>
      <c r="AC48" s="388" t="s">
        <v>42</v>
      </c>
      <c r="AD48" s="388" t="s">
        <v>43</v>
      </c>
      <c r="AE48" s="389" t="s">
        <v>44</v>
      </c>
      <c r="AF48" s="389"/>
      <c r="AG48" s="390"/>
      <c r="AH48" s="205"/>
    </row>
    <row r="49" spans="1:34" ht="57.75" customHeight="1" x14ac:dyDescent="0.25">
      <c r="A49" s="376"/>
      <c r="B49" s="379"/>
      <c r="C49" s="386"/>
      <c r="D49" s="379"/>
      <c r="E49" s="379"/>
      <c r="F49" s="199" t="s">
        <v>45</v>
      </c>
      <c r="G49" s="199" t="s">
        <v>46</v>
      </c>
      <c r="H49" s="199" t="s">
        <v>47</v>
      </c>
      <c r="I49" s="379"/>
      <c r="J49" s="386"/>
      <c r="K49" s="379"/>
      <c r="L49" s="379"/>
      <c r="M49" s="199" t="s">
        <v>45</v>
      </c>
      <c r="N49" s="199" t="s">
        <v>46</v>
      </c>
      <c r="O49" s="199" t="s">
        <v>47</v>
      </c>
      <c r="P49" s="379"/>
      <c r="Q49" s="379"/>
      <c r="R49" s="379"/>
      <c r="S49" s="199" t="s">
        <v>45</v>
      </c>
      <c r="T49" s="199" t="s">
        <v>46</v>
      </c>
      <c r="U49" s="199" t="s">
        <v>47</v>
      </c>
      <c r="V49" s="379"/>
      <c r="W49" s="379"/>
      <c r="X49" s="379"/>
      <c r="Y49" s="199" t="s">
        <v>45</v>
      </c>
      <c r="Z49" s="199" t="s">
        <v>46</v>
      </c>
      <c r="AA49" s="199" t="s">
        <v>47</v>
      </c>
      <c r="AB49" s="379"/>
      <c r="AC49" s="388"/>
      <c r="AD49" s="388"/>
      <c r="AE49" s="8" t="s">
        <v>45</v>
      </c>
      <c r="AF49" s="8" t="s">
        <v>46</v>
      </c>
      <c r="AG49" s="9" t="s">
        <v>85</v>
      </c>
      <c r="AH49" s="206"/>
    </row>
    <row r="50" spans="1:34" x14ac:dyDescent="0.25">
      <c r="A50" s="10" t="s">
        <v>28</v>
      </c>
      <c r="B50" s="11"/>
      <c r="C50" s="11"/>
      <c r="D50" s="12"/>
      <c r="E50" s="11"/>
      <c r="F50" s="13"/>
      <c r="G50" s="13"/>
      <c r="H50" s="13"/>
      <c r="I50" s="11"/>
      <c r="J50" s="11"/>
      <c r="K50" s="11"/>
      <c r="L50" s="11"/>
      <c r="M50" s="13"/>
      <c r="N50" s="13"/>
      <c r="O50" s="13"/>
      <c r="P50" s="11" t="s">
        <v>49</v>
      </c>
      <c r="Q50" s="11" t="s">
        <v>50</v>
      </c>
      <c r="R50" s="11" t="s">
        <v>51</v>
      </c>
      <c r="S50" s="13">
        <v>4</v>
      </c>
      <c r="T50" s="13">
        <v>5</v>
      </c>
      <c r="U50" s="13">
        <v>6</v>
      </c>
      <c r="V50" s="11" t="s">
        <v>52</v>
      </c>
      <c r="W50" s="11" t="s">
        <v>53</v>
      </c>
      <c r="X50" s="11" t="s">
        <v>54</v>
      </c>
      <c r="Y50" s="13">
        <v>10</v>
      </c>
      <c r="Z50" s="13">
        <v>11</v>
      </c>
      <c r="AA50" s="13">
        <v>12</v>
      </c>
      <c r="AB50" s="11" t="s">
        <v>55</v>
      </c>
      <c r="AC50" s="11" t="s">
        <v>56</v>
      </c>
      <c r="AD50" s="11" t="s">
        <v>57</v>
      </c>
      <c r="AE50" s="13" t="s">
        <v>58</v>
      </c>
      <c r="AF50" s="13" t="s">
        <v>59</v>
      </c>
      <c r="AG50" s="14" t="s">
        <v>60</v>
      </c>
      <c r="AH50" s="207"/>
    </row>
    <row r="51" spans="1:34" x14ac:dyDescent="0.25">
      <c r="A51" s="91" t="s">
        <v>86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78"/>
      <c r="M51" s="92"/>
      <c r="N51" s="92"/>
      <c r="O51" s="92"/>
      <c r="P51" s="93"/>
      <c r="Q51" s="93"/>
      <c r="R51" s="93"/>
      <c r="S51" s="93"/>
      <c r="T51" s="93"/>
      <c r="U51" s="93"/>
      <c r="V51" s="93"/>
      <c r="W51" s="93"/>
      <c r="X51" s="94">
        <f>Y52+Z52+AA52-X52</f>
        <v>1975.4167303200084</v>
      </c>
      <c r="Y51" s="93"/>
      <c r="Z51" s="93"/>
      <c r="AA51" s="93"/>
      <c r="AB51" s="93"/>
      <c r="AC51" s="93"/>
      <c r="AD51" s="93"/>
      <c r="AE51" s="93"/>
      <c r="AF51" s="93"/>
      <c r="AG51" s="95"/>
      <c r="AH51" s="214"/>
    </row>
    <row r="52" spans="1:34" s="33" customFormat="1" hidden="1" x14ac:dyDescent="0.25">
      <c r="A52" s="96" t="s">
        <v>87</v>
      </c>
      <c r="B52" s="97">
        <v>85857294645.630005</v>
      </c>
      <c r="C52" s="97">
        <v>23370726956.439999</v>
      </c>
      <c r="D52" s="97">
        <v>71386328844.669998</v>
      </c>
      <c r="E52" s="98">
        <f>+F52+G52+H52-E117</f>
        <v>35728721992.32</v>
      </c>
      <c r="F52" s="97">
        <v>20031942725.369999</v>
      </c>
      <c r="G52" s="97">
        <v>14546165663.809999</v>
      </c>
      <c r="H52" s="97">
        <v>3263584368.2200003</v>
      </c>
      <c r="I52" s="97">
        <v>81717463054.679993</v>
      </c>
      <c r="J52" s="97">
        <v>22476809561.029999</v>
      </c>
      <c r="K52" s="97">
        <v>68059140593.82</v>
      </c>
      <c r="L52" s="98">
        <f>+M52+N52+O52-L117</f>
        <v>34159715291.57</v>
      </c>
      <c r="M52" s="97">
        <v>19064755924.77</v>
      </c>
      <c r="N52" s="97">
        <v>14168068317.68</v>
      </c>
      <c r="O52" s="97">
        <v>2902307779.4400001</v>
      </c>
      <c r="P52" s="99">
        <f>B52/1000000</f>
        <v>85857.294645629998</v>
      </c>
      <c r="Q52" s="99">
        <f t="shared" ref="Q52:V67" si="29">D52/1000000</f>
        <v>71386.328844670003</v>
      </c>
      <c r="R52" s="99">
        <f t="shared" si="29"/>
        <v>35728.721992320003</v>
      </c>
      <c r="S52" s="99">
        <f t="shared" si="29"/>
        <v>20031.942725369998</v>
      </c>
      <c r="T52" s="99">
        <f t="shared" si="29"/>
        <v>14546.165663809999</v>
      </c>
      <c r="U52" s="99">
        <f t="shared" si="29"/>
        <v>3263.5843682200002</v>
      </c>
      <c r="V52" s="99">
        <f t="shared" si="29"/>
        <v>81717.463054679989</v>
      </c>
      <c r="W52" s="99">
        <f t="shared" ref="W52:AA97" si="30">K52/1000000</f>
        <v>68059.140593820004</v>
      </c>
      <c r="X52" s="99">
        <f t="shared" si="30"/>
        <v>34159.715291569999</v>
      </c>
      <c r="Y52" s="99">
        <f t="shared" si="30"/>
        <v>19064.755924770001</v>
      </c>
      <c r="Z52" s="99">
        <f t="shared" si="30"/>
        <v>14168.068317680001</v>
      </c>
      <c r="AA52" s="99">
        <f t="shared" si="30"/>
        <v>2902.3077794400001</v>
      </c>
      <c r="AB52" s="99">
        <f t="shared" ref="AB52:AG67" si="31">V52/P52%</f>
        <v>95.178241280444638</v>
      </c>
      <c r="AC52" s="99">
        <f t="shared" si="31"/>
        <v>95.339180057725542</v>
      </c>
      <c r="AD52" s="99">
        <f t="shared" si="31"/>
        <v>95.608556328750666</v>
      </c>
      <c r="AE52" s="99">
        <f t="shared" si="31"/>
        <v>95.171777326544188</v>
      </c>
      <c r="AF52" s="99">
        <f t="shared" si="31"/>
        <v>97.400707823157262</v>
      </c>
      <c r="AG52" s="100">
        <f t="shared" si="31"/>
        <v>88.930067434504679</v>
      </c>
      <c r="AH52" s="215"/>
    </row>
    <row r="53" spans="1:34" s="33" customFormat="1" x14ac:dyDescent="0.25">
      <c r="A53" s="101" t="s">
        <v>88</v>
      </c>
      <c r="B53" s="102">
        <v>5791184193.5</v>
      </c>
      <c r="C53" s="102">
        <v>156994114.12</v>
      </c>
      <c r="D53" s="102">
        <v>2578471032.8699999</v>
      </c>
      <c r="E53" s="103">
        <f>F53+G53+H53-E54</f>
        <v>3317360122.1199999</v>
      </c>
      <c r="F53" s="28">
        <v>1529668203.01</v>
      </c>
      <c r="G53" s="28">
        <v>1154197920.05</v>
      </c>
      <c r="H53" s="28">
        <v>685841151.69000006</v>
      </c>
      <c r="I53" s="102">
        <v>5228873580.04</v>
      </c>
      <c r="J53" s="102">
        <v>152920871.59999999</v>
      </c>
      <c r="K53" s="102">
        <v>2137247688.1600001</v>
      </c>
      <c r="L53" s="103">
        <f>M53+N53+O53-L54</f>
        <v>3193111127.9099998</v>
      </c>
      <c r="M53" s="102">
        <v>1460449626.55</v>
      </c>
      <c r="N53" s="102">
        <v>1127557231.1199999</v>
      </c>
      <c r="O53" s="102">
        <v>656539905.80999994</v>
      </c>
      <c r="P53" s="30">
        <f>B53/1000000</f>
        <v>5791.1841935000002</v>
      </c>
      <c r="Q53" s="30">
        <f t="shared" si="29"/>
        <v>2578.4710328699998</v>
      </c>
      <c r="R53" s="30">
        <f t="shared" si="29"/>
        <v>3317.3601221199997</v>
      </c>
      <c r="S53" s="30">
        <f t="shared" si="29"/>
        <v>1529.6682030100001</v>
      </c>
      <c r="T53" s="30">
        <f t="shared" si="29"/>
        <v>1154.19792005</v>
      </c>
      <c r="U53" s="30">
        <f t="shared" si="29"/>
        <v>685.84115169000006</v>
      </c>
      <c r="V53" s="30">
        <f t="shared" si="29"/>
        <v>5228.87358004</v>
      </c>
      <c r="W53" s="30">
        <f t="shared" si="30"/>
        <v>2137.2476881600001</v>
      </c>
      <c r="X53" s="30">
        <f>L53/1000000</f>
        <v>3193.1111279100001</v>
      </c>
      <c r="Y53" s="30">
        <f>M53/1000000</f>
        <v>1460.4496265499999</v>
      </c>
      <c r="Z53" s="30">
        <f t="shared" si="30"/>
        <v>1127.5572311199999</v>
      </c>
      <c r="AA53" s="30">
        <f t="shared" si="30"/>
        <v>656.53990580999994</v>
      </c>
      <c r="AB53" s="30">
        <f t="shared" si="31"/>
        <v>90.290230898006399</v>
      </c>
      <c r="AC53" s="30">
        <f t="shared" si="31"/>
        <v>82.888179115245265</v>
      </c>
      <c r="AD53" s="30">
        <f>X53/R53%</f>
        <v>96.254582269150916</v>
      </c>
      <c r="AE53" s="30">
        <f>Y53/S53%</f>
        <v>95.474928724817872</v>
      </c>
      <c r="AF53" s="30">
        <f t="shared" si="31"/>
        <v>97.691843966514327</v>
      </c>
      <c r="AG53" s="31">
        <f>AA53/U53%</f>
        <v>95.727692074498876</v>
      </c>
      <c r="AH53" s="209"/>
    </row>
    <row r="54" spans="1:34" hidden="1" x14ac:dyDescent="0.25">
      <c r="A54" s="104" t="s">
        <v>89</v>
      </c>
      <c r="B54" s="105">
        <v>60943.53</v>
      </c>
      <c r="C54" s="106">
        <v>156994114.12</v>
      </c>
      <c r="D54" s="106">
        <v>104707905.02000001</v>
      </c>
      <c r="E54" s="107">
        <f>F54+G54+H54</f>
        <v>52347152.629999995</v>
      </c>
      <c r="F54" s="105">
        <v>0</v>
      </c>
      <c r="G54" s="106">
        <v>39549586.629999995</v>
      </c>
      <c r="H54" s="106">
        <v>12797566</v>
      </c>
      <c r="I54" s="21">
        <v>0</v>
      </c>
      <c r="J54" s="21">
        <v>152920871.59999999</v>
      </c>
      <c r="K54" s="21">
        <v>101485236.03</v>
      </c>
      <c r="L54" s="107">
        <f>M54+N54+O54</f>
        <v>51435635.57</v>
      </c>
      <c r="M54" s="21">
        <v>0</v>
      </c>
      <c r="N54" s="21">
        <v>38886469.57</v>
      </c>
      <c r="O54" s="21">
        <v>12549166</v>
      </c>
      <c r="P54" s="24">
        <f>B54/1000000</f>
        <v>6.0943529999999996E-2</v>
      </c>
      <c r="Q54" s="24">
        <f t="shared" si="29"/>
        <v>104.70790502000001</v>
      </c>
      <c r="R54" s="24">
        <f>E54/1000000</f>
        <v>52.347152629999997</v>
      </c>
      <c r="S54" s="24">
        <f>F54/1000000</f>
        <v>0</v>
      </c>
      <c r="T54" s="24">
        <f t="shared" si="29"/>
        <v>39.549586629999993</v>
      </c>
      <c r="U54" s="24">
        <f t="shared" si="29"/>
        <v>12.797566</v>
      </c>
      <c r="V54" s="24"/>
      <c r="W54" s="24">
        <f t="shared" si="30"/>
        <v>101.48523603</v>
      </c>
      <c r="X54" s="24"/>
      <c r="Y54" s="24"/>
      <c r="Z54" s="24">
        <f t="shared" si="30"/>
        <v>38.886469570000003</v>
      </c>
      <c r="AA54" s="24">
        <f t="shared" si="30"/>
        <v>12.549166</v>
      </c>
      <c r="AB54" s="24">
        <f t="shared" si="31"/>
        <v>0</v>
      </c>
      <c r="AC54" s="24">
        <f t="shared" si="31"/>
        <v>96.922229520890085</v>
      </c>
      <c r="AD54" s="24"/>
      <c r="AE54" s="24"/>
      <c r="AF54" s="24">
        <f t="shared" si="31"/>
        <v>98.323327456735058</v>
      </c>
      <c r="AG54" s="26">
        <f>AA54/U54%</f>
        <v>98.059005907842163</v>
      </c>
      <c r="AH54" s="208"/>
    </row>
    <row r="55" spans="1:34" s="33" customFormat="1" x14ac:dyDescent="0.25">
      <c r="A55" s="101" t="s">
        <v>90</v>
      </c>
      <c r="B55" s="102">
        <v>31272500</v>
      </c>
      <c r="C55" s="102">
        <v>56373400</v>
      </c>
      <c r="D55" s="102">
        <v>31272500</v>
      </c>
      <c r="E55" s="103">
        <f>F55+G55+H55-E56</f>
        <v>31272500</v>
      </c>
      <c r="F55" s="102">
        <v>6171600</v>
      </c>
      <c r="G55" s="102">
        <v>25100900</v>
      </c>
      <c r="H55" s="102">
        <v>25100900</v>
      </c>
      <c r="I55" s="102">
        <v>31205144.989999998</v>
      </c>
      <c r="J55" s="102">
        <v>56250501.530000001</v>
      </c>
      <c r="K55" s="102">
        <v>31210931.57</v>
      </c>
      <c r="L55" s="103">
        <f>M55+N55+O55-L56</f>
        <v>31205144.990000002</v>
      </c>
      <c r="M55" s="102">
        <v>6171361.6100000003</v>
      </c>
      <c r="N55" s="102">
        <v>25039569.960000001</v>
      </c>
      <c r="O55" s="102">
        <v>25033783.380000003</v>
      </c>
      <c r="P55" s="30">
        <f t="shared" ref="P55:P94" si="32">B55/1000000</f>
        <v>31.272500000000001</v>
      </c>
      <c r="Q55" s="30">
        <f t="shared" si="29"/>
        <v>31.272500000000001</v>
      </c>
      <c r="R55" s="30">
        <f>E55/1000000</f>
        <v>31.272500000000001</v>
      </c>
      <c r="S55" s="30">
        <f>F55/1000000</f>
        <v>6.1715999999999998</v>
      </c>
      <c r="T55" s="30">
        <f t="shared" si="29"/>
        <v>25.100899999999999</v>
      </c>
      <c r="U55" s="30">
        <f t="shared" si="29"/>
        <v>25.100899999999999</v>
      </c>
      <c r="V55" s="30">
        <f t="shared" si="29"/>
        <v>31.205144989999997</v>
      </c>
      <c r="W55" s="30">
        <f t="shared" si="30"/>
        <v>31.21093157</v>
      </c>
      <c r="X55" s="30">
        <f t="shared" si="30"/>
        <v>31.205144990000001</v>
      </c>
      <c r="Y55" s="30">
        <f>M55/1000000</f>
        <v>6.1713616099999999</v>
      </c>
      <c r="Z55" s="30">
        <f t="shared" si="30"/>
        <v>25.039569960000001</v>
      </c>
      <c r="AA55" s="30">
        <f t="shared" si="30"/>
        <v>25.033783380000003</v>
      </c>
      <c r="AB55" s="30">
        <f t="shared" si="31"/>
        <v>99.784619042289535</v>
      </c>
      <c r="AC55" s="30">
        <f t="shared" si="31"/>
        <v>99.803122775601551</v>
      </c>
      <c r="AD55" s="30">
        <f t="shared" si="31"/>
        <v>99.784619042289549</v>
      </c>
      <c r="AE55" s="30">
        <f>Y55/S55%</f>
        <v>99.996137306371125</v>
      </c>
      <c r="AF55" s="30">
        <f t="shared" si="31"/>
        <v>99.75566597213647</v>
      </c>
      <c r="AG55" s="31">
        <f>AA55/U55%</f>
        <v>99.732612695162345</v>
      </c>
      <c r="AH55" s="209"/>
    </row>
    <row r="56" spans="1:34" hidden="1" x14ac:dyDescent="0.25">
      <c r="A56" s="104" t="s">
        <v>89</v>
      </c>
      <c r="B56" s="108">
        <v>0</v>
      </c>
      <c r="C56" s="108">
        <v>56373400</v>
      </c>
      <c r="D56" s="108">
        <v>31272500</v>
      </c>
      <c r="E56" s="109">
        <f>F56+G56+H56</f>
        <v>25100900</v>
      </c>
      <c r="F56" s="108">
        <v>0</v>
      </c>
      <c r="G56" s="108">
        <v>25100900</v>
      </c>
      <c r="H56" s="108">
        <v>0</v>
      </c>
      <c r="I56" s="108">
        <v>0</v>
      </c>
      <c r="J56" s="108">
        <v>56250501.530000001</v>
      </c>
      <c r="K56" s="108">
        <v>31210931.57</v>
      </c>
      <c r="L56" s="109">
        <f>M56+N56+O56</f>
        <v>25039569.960000001</v>
      </c>
      <c r="M56" s="108">
        <v>0</v>
      </c>
      <c r="N56" s="108">
        <v>25039569.960000001</v>
      </c>
      <c r="O56" s="108">
        <v>0</v>
      </c>
      <c r="P56" s="24">
        <f t="shared" si="32"/>
        <v>0</v>
      </c>
      <c r="Q56" s="24">
        <f t="shared" si="29"/>
        <v>31.272500000000001</v>
      </c>
      <c r="R56" s="24"/>
      <c r="S56" s="24"/>
      <c r="T56" s="24">
        <f t="shared" si="29"/>
        <v>25.100899999999999</v>
      </c>
      <c r="U56" s="24">
        <f t="shared" si="29"/>
        <v>0</v>
      </c>
      <c r="V56" s="24">
        <f t="shared" si="29"/>
        <v>0</v>
      </c>
      <c r="W56" s="24">
        <f t="shared" si="30"/>
        <v>31.21093157</v>
      </c>
      <c r="X56" s="24"/>
      <c r="Y56" s="24"/>
      <c r="Z56" s="24">
        <f t="shared" si="30"/>
        <v>25.039569960000001</v>
      </c>
      <c r="AA56" s="24">
        <f t="shared" si="30"/>
        <v>0</v>
      </c>
      <c r="AB56" s="24"/>
      <c r="AC56" s="24">
        <f t="shared" si="31"/>
        <v>99.803122775601551</v>
      </c>
      <c r="AD56" s="24"/>
      <c r="AE56" s="24"/>
      <c r="AF56" s="24">
        <f t="shared" si="31"/>
        <v>99.75566597213647</v>
      </c>
      <c r="AG56" s="24"/>
      <c r="AH56" s="208"/>
    </row>
    <row r="57" spans="1:34" s="33" customFormat="1" ht="26.4" x14ac:dyDescent="0.25">
      <c r="A57" s="101" t="s">
        <v>91</v>
      </c>
      <c r="B57" s="102">
        <v>1261776283.4000001</v>
      </c>
      <c r="C57" s="102">
        <v>12065899.66</v>
      </c>
      <c r="D57" s="102">
        <v>1081519620.3</v>
      </c>
      <c r="E57" s="103">
        <f>F57+G57+H57-E58</f>
        <v>187018209.10000002</v>
      </c>
      <c r="F57" s="102">
        <v>145475159.52000001</v>
      </c>
      <c r="G57" s="102">
        <v>22001981.800000001</v>
      </c>
      <c r="H57" s="102">
        <v>24845421.439999998</v>
      </c>
      <c r="I57" s="102">
        <v>1247660773.1400001</v>
      </c>
      <c r="J57" s="102">
        <v>11882288.140000001</v>
      </c>
      <c r="K57" s="102">
        <v>1078622642.0699999</v>
      </c>
      <c r="L57" s="103">
        <f>M57+N57+O57-L58</f>
        <v>175999677.07000002</v>
      </c>
      <c r="M57" s="102">
        <v>139022651.91</v>
      </c>
      <c r="N57" s="102">
        <v>20416872.640000001</v>
      </c>
      <c r="O57" s="102">
        <v>21480894.66</v>
      </c>
      <c r="P57" s="30">
        <f t="shared" si="32"/>
        <v>1261.7762834</v>
      </c>
      <c r="Q57" s="30">
        <f t="shared" si="29"/>
        <v>1081.5196203</v>
      </c>
      <c r="R57" s="30">
        <f>E57/1000000</f>
        <v>187.01820910000004</v>
      </c>
      <c r="S57" s="30">
        <f>F57/1000000</f>
        <v>145.47515952000001</v>
      </c>
      <c r="T57" s="30">
        <f t="shared" si="29"/>
        <v>22.001981799999999</v>
      </c>
      <c r="U57" s="30">
        <f t="shared" si="29"/>
        <v>24.845421439999999</v>
      </c>
      <c r="V57" s="30">
        <f t="shared" si="29"/>
        <v>1247.6607731400002</v>
      </c>
      <c r="W57" s="30">
        <f t="shared" si="30"/>
        <v>1078.62264207</v>
      </c>
      <c r="X57" s="30">
        <f t="shared" si="30"/>
        <v>175.99967707000002</v>
      </c>
      <c r="Y57" s="30">
        <f>M57/1000000</f>
        <v>139.02265191000001</v>
      </c>
      <c r="Z57" s="30">
        <f t="shared" si="30"/>
        <v>20.416872640000001</v>
      </c>
      <c r="AA57" s="30">
        <f t="shared" si="30"/>
        <v>21.480894660000001</v>
      </c>
      <c r="AB57" s="30">
        <f t="shared" si="31"/>
        <v>98.881298495961261</v>
      </c>
      <c r="AC57" s="30">
        <f t="shared" si="31"/>
        <v>99.732138171548243</v>
      </c>
      <c r="AD57" s="30">
        <f t="shared" si="31"/>
        <v>94.108310584822078</v>
      </c>
      <c r="AE57" s="30">
        <f>Y57/S57%</f>
        <v>95.56452962052748</v>
      </c>
      <c r="AF57" s="30">
        <f t="shared" si="31"/>
        <v>92.795607348425321</v>
      </c>
      <c r="AG57" s="31">
        <f t="shared" si="31"/>
        <v>86.45816176584043</v>
      </c>
      <c r="AH57" s="209"/>
    </row>
    <row r="58" spans="1:34" hidden="1" x14ac:dyDescent="0.25">
      <c r="A58" s="104" t="s">
        <v>89</v>
      </c>
      <c r="B58" s="108">
        <v>200000</v>
      </c>
      <c r="C58" s="108">
        <v>12065899.66</v>
      </c>
      <c r="D58" s="108">
        <v>6961546</v>
      </c>
      <c r="E58" s="109">
        <f>F58+G58+H58</f>
        <v>5304353.66</v>
      </c>
      <c r="F58" s="108">
        <v>0</v>
      </c>
      <c r="G58" s="108">
        <v>4540353.66</v>
      </c>
      <c r="H58" s="108">
        <v>764000</v>
      </c>
      <c r="I58" s="108">
        <v>0</v>
      </c>
      <c r="J58" s="108">
        <v>11882288.140000001</v>
      </c>
      <c r="K58" s="108">
        <v>6961546</v>
      </c>
      <c r="L58" s="109">
        <f>M58+N58+O58</f>
        <v>4920742.1399999997</v>
      </c>
      <c r="M58" s="108">
        <v>0</v>
      </c>
      <c r="N58" s="108">
        <v>4156742.1399999997</v>
      </c>
      <c r="O58" s="108">
        <v>764000</v>
      </c>
      <c r="P58" s="24"/>
      <c r="Q58" s="24">
        <f t="shared" si="29"/>
        <v>6.9615460000000002</v>
      </c>
      <c r="R58" s="24"/>
      <c r="S58" s="24"/>
      <c r="T58" s="24">
        <f t="shared" si="29"/>
        <v>4.5403536600000001</v>
      </c>
      <c r="U58" s="24">
        <f t="shared" si="29"/>
        <v>0.76400000000000001</v>
      </c>
      <c r="V58" s="24"/>
      <c r="W58" s="24">
        <f t="shared" si="30"/>
        <v>6.9615460000000002</v>
      </c>
      <c r="X58" s="24"/>
      <c r="Y58" s="24">
        <f t="shared" ref="Y58" si="33">M58/1000000</f>
        <v>0</v>
      </c>
      <c r="Z58" s="24">
        <f t="shared" si="30"/>
        <v>4.1567421399999995</v>
      </c>
      <c r="AA58" s="24">
        <f t="shared" si="30"/>
        <v>0.76400000000000001</v>
      </c>
      <c r="AB58" s="24"/>
      <c r="AC58" s="24">
        <f t="shared" si="31"/>
        <v>100</v>
      </c>
      <c r="AD58" s="24"/>
      <c r="AE58" s="24"/>
      <c r="AF58" s="24">
        <f t="shared" si="31"/>
        <v>91.551065209312341</v>
      </c>
      <c r="AG58" s="26">
        <f t="shared" si="31"/>
        <v>100</v>
      </c>
      <c r="AH58" s="208"/>
    </row>
    <row r="59" spans="1:34" s="33" customFormat="1" x14ac:dyDescent="0.25">
      <c r="A59" s="101" t="s">
        <v>92</v>
      </c>
      <c r="B59" s="28">
        <v>12067452434.42</v>
      </c>
      <c r="C59" s="28">
        <v>975033044.91999996</v>
      </c>
      <c r="D59" s="28">
        <v>10254742842.67</v>
      </c>
      <c r="E59" s="103">
        <f>F59+G59+H59-E60</f>
        <v>2569934364.5599999</v>
      </c>
      <c r="F59" s="28">
        <v>1882710542.9100001</v>
      </c>
      <c r="G59" s="28">
        <v>543985243.04999995</v>
      </c>
      <c r="H59" s="28">
        <v>361046850.71000004</v>
      </c>
      <c r="I59" s="102">
        <v>11412115961.290001</v>
      </c>
      <c r="J59" s="102">
        <v>947235101.64999998</v>
      </c>
      <c r="K59" s="102">
        <v>9731932830.6900005</v>
      </c>
      <c r="L59" s="103">
        <f>M59+N59+O59-L60</f>
        <v>2424457384.1999998</v>
      </c>
      <c r="M59" s="102">
        <v>1813067440.71</v>
      </c>
      <c r="N59" s="102">
        <v>488763501.08999997</v>
      </c>
      <c r="O59" s="102">
        <v>325587290.44999999</v>
      </c>
      <c r="P59" s="30">
        <f t="shared" si="32"/>
        <v>12067.45243442</v>
      </c>
      <c r="Q59" s="30">
        <f t="shared" si="29"/>
        <v>10254.742842670001</v>
      </c>
      <c r="R59" s="30">
        <f>E59/1000000</f>
        <v>2569.9343645599997</v>
      </c>
      <c r="S59" s="30">
        <f>F59/1000000</f>
        <v>1882.7105429100002</v>
      </c>
      <c r="T59" s="30">
        <f t="shared" si="29"/>
        <v>543.98524305000001</v>
      </c>
      <c r="U59" s="30">
        <f t="shared" si="29"/>
        <v>361.04685071000006</v>
      </c>
      <c r="V59" s="30">
        <f t="shared" si="29"/>
        <v>11412.115961290001</v>
      </c>
      <c r="W59" s="30">
        <f t="shared" si="30"/>
        <v>9731.9328306900006</v>
      </c>
      <c r="X59" s="30">
        <f t="shared" si="30"/>
        <v>2424.4573842</v>
      </c>
      <c r="Y59" s="30">
        <f>M59/1000000</f>
        <v>1813.06744071</v>
      </c>
      <c r="Z59" s="30">
        <f t="shared" si="30"/>
        <v>488.76350108999998</v>
      </c>
      <c r="AA59" s="30">
        <f t="shared" si="30"/>
        <v>325.58729045000001</v>
      </c>
      <c r="AB59" s="30">
        <f t="shared" si="31"/>
        <v>94.569388388382777</v>
      </c>
      <c r="AC59" s="30">
        <f t="shared" si="31"/>
        <v>94.901773550043728</v>
      </c>
      <c r="AD59" s="30">
        <f t="shared" si="31"/>
        <v>94.339272536833576</v>
      </c>
      <c r="AE59" s="30">
        <f>Y59/S59%</f>
        <v>96.300912933097152</v>
      </c>
      <c r="AF59" s="30">
        <f t="shared" si="31"/>
        <v>89.848669120069431</v>
      </c>
      <c r="AG59" s="31">
        <f t="shared" si="31"/>
        <v>90.178681744413865</v>
      </c>
      <c r="AH59" s="209"/>
    </row>
    <row r="60" spans="1:34" hidden="1" x14ac:dyDescent="0.25">
      <c r="A60" s="104" t="s">
        <v>89</v>
      </c>
      <c r="B60" s="108">
        <v>0</v>
      </c>
      <c r="C60" s="108">
        <v>975033044.91999996</v>
      </c>
      <c r="D60" s="108">
        <v>757224772.81000006</v>
      </c>
      <c r="E60" s="109">
        <f>F60+G60+H60</f>
        <v>217808272.11000001</v>
      </c>
      <c r="F60" s="108">
        <v>0</v>
      </c>
      <c r="G60" s="108">
        <v>204350784.53</v>
      </c>
      <c r="H60" s="108">
        <v>13457487.58</v>
      </c>
      <c r="I60" s="108">
        <v>0</v>
      </c>
      <c r="J60" s="108">
        <v>947235101.64999998</v>
      </c>
      <c r="K60" s="108">
        <v>744274253.60000002</v>
      </c>
      <c r="L60" s="109">
        <f>M60+N60+O60</f>
        <v>202960848.04999998</v>
      </c>
      <c r="M60" s="108">
        <v>0</v>
      </c>
      <c r="N60" s="108">
        <v>189888404.81999999</v>
      </c>
      <c r="O60" s="108">
        <v>13072443.23</v>
      </c>
      <c r="P60" s="24">
        <f t="shared" si="32"/>
        <v>0</v>
      </c>
      <c r="Q60" s="24">
        <f t="shared" si="29"/>
        <v>757.2247728100001</v>
      </c>
      <c r="R60" s="24"/>
      <c r="S60" s="24"/>
      <c r="T60" s="24">
        <f t="shared" si="29"/>
        <v>204.35078453</v>
      </c>
      <c r="U60" s="24">
        <f t="shared" si="29"/>
        <v>13.45748758</v>
      </c>
      <c r="V60" s="24">
        <f t="shared" si="29"/>
        <v>0</v>
      </c>
      <c r="W60" s="24">
        <f t="shared" si="30"/>
        <v>744.27425360000007</v>
      </c>
      <c r="X60" s="24"/>
      <c r="Y60" s="24"/>
      <c r="Z60" s="24">
        <f t="shared" si="30"/>
        <v>189.88840482000001</v>
      </c>
      <c r="AA60" s="24">
        <f t="shared" si="30"/>
        <v>13.072443230000001</v>
      </c>
      <c r="AB60" s="24" t="e">
        <f t="shared" si="31"/>
        <v>#DIV/0!</v>
      </c>
      <c r="AC60" s="24">
        <f t="shared" si="31"/>
        <v>98.289739100592058</v>
      </c>
      <c r="AD60" s="110" t="s">
        <v>64</v>
      </c>
      <c r="AE60" s="110" t="s">
        <v>64</v>
      </c>
      <c r="AF60" s="24">
        <f t="shared" si="31"/>
        <v>92.922767708838009</v>
      </c>
      <c r="AG60" s="26">
        <f t="shared" si="31"/>
        <v>97.138809545904863</v>
      </c>
      <c r="AH60" s="208"/>
    </row>
    <row r="61" spans="1:34" x14ac:dyDescent="0.25">
      <c r="A61" s="104" t="s">
        <v>93</v>
      </c>
      <c r="B61" s="111">
        <v>590855741.42999995</v>
      </c>
      <c r="C61" s="111"/>
      <c r="D61" s="111">
        <v>590754912.39999998</v>
      </c>
      <c r="E61" s="112">
        <f>F61+G61+H61</f>
        <v>100829.03</v>
      </c>
      <c r="F61" s="111"/>
      <c r="G61" s="111">
        <v>50000</v>
      </c>
      <c r="H61" s="111">
        <v>50829.03</v>
      </c>
      <c r="I61" s="111">
        <v>570458951.92999995</v>
      </c>
      <c r="J61" s="111"/>
      <c r="K61" s="111">
        <v>570358122.89999998</v>
      </c>
      <c r="L61" s="112">
        <f>M61+N61+O61</f>
        <v>100829.03</v>
      </c>
      <c r="M61" s="111"/>
      <c r="N61" s="111">
        <v>50000</v>
      </c>
      <c r="O61" s="111">
        <v>50829.03</v>
      </c>
      <c r="P61" s="24">
        <f t="shared" si="32"/>
        <v>590.85574142999997</v>
      </c>
      <c r="Q61" s="24">
        <f t="shared" si="29"/>
        <v>590.75491239999997</v>
      </c>
      <c r="R61" s="24">
        <f>E61/1000000</f>
        <v>0.10082903</v>
      </c>
      <c r="S61" s="24">
        <f>F61/1000000</f>
        <v>0</v>
      </c>
      <c r="T61" s="24">
        <f t="shared" si="29"/>
        <v>0.05</v>
      </c>
      <c r="U61" s="24">
        <f t="shared" si="29"/>
        <v>5.0829029999999997E-2</v>
      </c>
      <c r="V61" s="24">
        <f t="shared" si="29"/>
        <v>570.4589519299999</v>
      </c>
      <c r="W61" s="24">
        <f t="shared" si="30"/>
        <v>570.35812290000001</v>
      </c>
      <c r="X61" s="24">
        <f>L61/1000000</f>
        <v>0.10082903</v>
      </c>
      <c r="Y61" s="24">
        <f>M61/1000000</f>
        <v>0</v>
      </c>
      <c r="Z61" s="24">
        <f t="shared" si="30"/>
        <v>0.05</v>
      </c>
      <c r="AA61" s="24">
        <f t="shared" si="30"/>
        <v>5.0829029999999997E-2</v>
      </c>
      <c r="AB61" s="24">
        <f t="shared" si="31"/>
        <v>96.547923956762205</v>
      </c>
      <c r="AC61" s="24">
        <f t="shared" si="31"/>
        <v>96.547334762374462</v>
      </c>
      <c r="AD61" s="24">
        <f>X61/R61%</f>
        <v>100.00000000000001</v>
      </c>
      <c r="AE61" s="47" t="s">
        <v>64</v>
      </c>
      <c r="AF61" s="24">
        <f t="shared" si="31"/>
        <v>100</v>
      </c>
      <c r="AG61" s="26">
        <f t="shared" si="31"/>
        <v>100</v>
      </c>
      <c r="AH61" s="208"/>
    </row>
    <row r="62" spans="1:34" x14ac:dyDescent="0.25">
      <c r="A62" s="104" t="s">
        <v>94</v>
      </c>
      <c r="B62" s="111">
        <v>68845875.870000005</v>
      </c>
      <c r="C62" s="111">
        <v>6000000</v>
      </c>
      <c r="D62" s="111">
        <v>62958458.850000001</v>
      </c>
      <c r="E62" s="103">
        <f>F62+G62+H62-E63</f>
        <v>11887417.02</v>
      </c>
      <c r="F62" s="111">
        <v>1350000</v>
      </c>
      <c r="G62" s="111">
        <v>10002617.02</v>
      </c>
      <c r="H62" s="111">
        <v>534800</v>
      </c>
      <c r="I62" s="111">
        <v>67954806.530000001</v>
      </c>
      <c r="J62" s="111">
        <v>6000000</v>
      </c>
      <c r="K62" s="111">
        <v>62299317.549999997</v>
      </c>
      <c r="L62" s="113">
        <f>M62+N62+O62-L63</f>
        <v>11655488.98</v>
      </c>
      <c r="M62" s="111">
        <v>1350000</v>
      </c>
      <c r="N62" s="111">
        <v>9915260.2400000002</v>
      </c>
      <c r="O62" s="111">
        <v>390228.74</v>
      </c>
      <c r="P62" s="24">
        <f t="shared" si="32"/>
        <v>68.84587587</v>
      </c>
      <c r="Q62" s="24">
        <f t="shared" si="29"/>
        <v>62.95845885</v>
      </c>
      <c r="R62" s="24">
        <f>E62/1000000</f>
        <v>11.887417019999999</v>
      </c>
      <c r="S62" s="24">
        <f>F62/1000000</f>
        <v>1.35</v>
      </c>
      <c r="T62" s="24">
        <f t="shared" si="29"/>
        <v>10.002617019999999</v>
      </c>
      <c r="U62" s="24">
        <f t="shared" si="29"/>
        <v>0.53480000000000005</v>
      </c>
      <c r="V62" s="24">
        <f t="shared" si="29"/>
        <v>67.954806529999999</v>
      </c>
      <c r="W62" s="24">
        <f t="shared" si="30"/>
        <v>62.299317549999998</v>
      </c>
      <c r="X62" s="24">
        <f>L62/1000000</f>
        <v>11.655488980000001</v>
      </c>
      <c r="Y62" s="24">
        <f>M62/1000000</f>
        <v>1.35</v>
      </c>
      <c r="Z62" s="24">
        <f t="shared" si="30"/>
        <v>9.9152602400000003</v>
      </c>
      <c r="AA62" s="24">
        <f t="shared" si="30"/>
        <v>0.39022874000000002</v>
      </c>
      <c r="AB62" s="24">
        <f t="shared" si="31"/>
        <v>98.70570411264346</v>
      </c>
      <c r="AC62" s="24">
        <f t="shared" si="31"/>
        <v>98.953053629266208</v>
      </c>
      <c r="AD62" s="24">
        <f>X62/R62%</f>
        <v>98.04896185933589</v>
      </c>
      <c r="AE62" s="24">
        <f>Y62/S62%</f>
        <v>100</v>
      </c>
      <c r="AF62" s="24">
        <f t="shared" si="31"/>
        <v>99.12666075462721</v>
      </c>
      <c r="AG62" s="26">
        <f t="shared" si="31"/>
        <v>72.967228870605837</v>
      </c>
      <c r="AH62" s="208"/>
    </row>
    <row r="63" spans="1:34" s="120" customFormat="1" hidden="1" x14ac:dyDescent="0.25">
      <c r="A63" s="114" t="s">
        <v>95</v>
      </c>
      <c r="B63" s="115"/>
      <c r="C63" s="115">
        <v>6000000</v>
      </c>
      <c r="D63" s="115">
        <v>6000000</v>
      </c>
      <c r="E63" s="116">
        <f>F63+G63+H63</f>
        <v>0</v>
      </c>
      <c r="F63" s="115"/>
      <c r="G63" s="115"/>
      <c r="H63" s="115"/>
      <c r="I63" s="115"/>
      <c r="J63" s="115">
        <v>6000000</v>
      </c>
      <c r="K63" s="115">
        <v>6000000</v>
      </c>
      <c r="L63" s="116">
        <f>M63+N63+O63</f>
        <v>0</v>
      </c>
      <c r="M63" s="115"/>
      <c r="N63" s="115"/>
      <c r="O63" s="115"/>
      <c r="P63" s="117"/>
      <c r="Q63" s="117">
        <f t="shared" si="29"/>
        <v>6</v>
      </c>
      <c r="R63" s="117"/>
      <c r="S63" s="117"/>
      <c r="T63" s="117">
        <f t="shared" si="29"/>
        <v>0</v>
      </c>
      <c r="U63" s="117">
        <f t="shared" si="29"/>
        <v>0</v>
      </c>
      <c r="V63" s="117"/>
      <c r="W63" s="117">
        <f t="shared" si="30"/>
        <v>6</v>
      </c>
      <c r="X63" s="117"/>
      <c r="Y63" s="117"/>
      <c r="Z63" s="117">
        <f t="shared" si="30"/>
        <v>0</v>
      </c>
      <c r="AA63" s="117">
        <f t="shared" si="30"/>
        <v>0</v>
      </c>
      <c r="AB63" s="118"/>
      <c r="AC63" s="117">
        <f t="shared" si="31"/>
        <v>100</v>
      </c>
      <c r="AD63" s="117"/>
      <c r="AE63" s="24" t="e">
        <f t="shared" ref="AE63:AE65" si="34">Y63/S63%</f>
        <v>#DIV/0!</v>
      </c>
      <c r="AF63" s="117"/>
      <c r="AG63" s="119" t="e">
        <f t="shared" si="31"/>
        <v>#DIV/0!</v>
      </c>
      <c r="AH63" s="216"/>
    </row>
    <row r="64" spans="1:34" x14ac:dyDescent="0.25">
      <c r="A64" s="104" t="s">
        <v>96</v>
      </c>
      <c r="B64" s="21">
        <v>1161352145.45</v>
      </c>
      <c r="C64" s="21">
        <v>1164758.19</v>
      </c>
      <c r="D64" s="21">
        <v>1149111239.6199999</v>
      </c>
      <c r="E64" s="103">
        <f>F64+G64+H64-E65</f>
        <v>13120754.02</v>
      </c>
      <c r="F64" s="21"/>
      <c r="G64" s="21">
        <v>13091754.02</v>
      </c>
      <c r="H64" s="21">
        <v>313910</v>
      </c>
      <c r="I64" s="102">
        <v>1159726269.27</v>
      </c>
      <c r="J64" s="102">
        <v>1164758.19</v>
      </c>
      <c r="K64" s="102">
        <v>1147813511.6199999</v>
      </c>
      <c r="L64" s="113">
        <f>M64+N64+O64-L65</f>
        <v>12792605.84</v>
      </c>
      <c r="M64" s="102"/>
      <c r="N64" s="102">
        <v>12763605.84</v>
      </c>
      <c r="O64" s="102">
        <v>313910</v>
      </c>
      <c r="P64" s="24">
        <f t="shared" si="32"/>
        <v>1161.3521454500001</v>
      </c>
      <c r="Q64" s="24">
        <f t="shared" si="29"/>
        <v>1149.1112396199999</v>
      </c>
      <c r="R64" s="24">
        <f>E64/1000000</f>
        <v>13.12075402</v>
      </c>
      <c r="S64" s="24">
        <f>F64/1000000</f>
        <v>0</v>
      </c>
      <c r="T64" s="24">
        <f t="shared" si="29"/>
        <v>13.09175402</v>
      </c>
      <c r="U64" s="24">
        <f t="shared" si="29"/>
        <v>0.31391000000000002</v>
      </c>
      <c r="V64" s="24">
        <f t="shared" si="29"/>
        <v>1159.7262692699999</v>
      </c>
      <c r="W64" s="24">
        <f t="shared" si="30"/>
        <v>1147.8135116199999</v>
      </c>
      <c r="X64" s="24">
        <f>L64/1000000</f>
        <v>12.79260584</v>
      </c>
      <c r="Y64" s="24">
        <f>M64/1000000</f>
        <v>0</v>
      </c>
      <c r="Z64" s="24">
        <f t="shared" si="30"/>
        <v>12.76360584</v>
      </c>
      <c r="AA64" s="24">
        <f t="shared" si="30"/>
        <v>0.31391000000000002</v>
      </c>
      <c r="AB64" s="24">
        <f t="shared" si="31"/>
        <v>99.860001448624331</v>
      </c>
      <c r="AC64" s="24">
        <f t="shared" si="31"/>
        <v>99.887066808220496</v>
      </c>
      <c r="AD64" s="24">
        <f>X64/R64%</f>
        <v>97.499014313508184</v>
      </c>
      <c r="AE64" s="47" t="s">
        <v>64</v>
      </c>
      <c r="AF64" s="24">
        <f t="shared" si="31"/>
        <v>97.493474293064978</v>
      </c>
      <c r="AG64" s="26">
        <f>AA64/U64%</f>
        <v>100</v>
      </c>
      <c r="AH64" s="208"/>
    </row>
    <row r="65" spans="1:34" s="120" customFormat="1" hidden="1" x14ac:dyDescent="0.25">
      <c r="A65" s="114" t="s">
        <v>95</v>
      </c>
      <c r="B65" s="115"/>
      <c r="C65" s="115">
        <v>1164758.19</v>
      </c>
      <c r="D65" s="115">
        <v>879848.19</v>
      </c>
      <c r="E65" s="116">
        <f>F65+G65+H65</f>
        <v>284910</v>
      </c>
      <c r="F65" s="115"/>
      <c r="G65" s="115">
        <v>284910</v>
      </c>
      <c r="H65" s="115">
        <v>0</v>
      </c>
      <c r="I65" s="121"/>
      <c r="J65" s="121">
        <v>1164758.19</v>
      </c>
      <c r="K65" s="121">
        <v>879848.19</v>
      </c>
      <c r="L65" s="116">
        <f>M65+N65+O65</f>
        <v>284910</v>
      </c>
      <c r="M65" s="121"/>
      <c r="N65" s="121">
        <v>284910</v>
      </c>
      <c r="O65" s="121">
        <v>0</v>
      </c>
      <c r="P65" s="117"/>
      <c r="Q65" s="117">
        <f t="shared" si="29"/>
        <v>0.87984818999999992</v>
      </c>
      <c r="R65" s="117"/>
      <c r="S65" s="117"/>
      <c r="T65" s="117">
        <f t="shared" si="29"/>
        <v>0.28491</v>
      </c>
      <c r="U65" s="117">
        <f t="shared" si="29"/>
        <v>0</v>
      </c>
      <c r="V65" s="117"/>
      <c r="W65" s="117">
        <f t="shared" si="30"/>
        <v>0.87984818999999992</v>
      </c>
      <c r="X65" s="117"/>
      <c r="Y65" s="117"/>
      <c r="Z65" s="117">
        <f t="shared" si="30"/>
        <v>0.28491</v>
      </c>
      <c r="AA65" s="117">
        <f t="shared" si="30"/>
        <v>0</v>
      </c>
      <c r="AB65" s="117"/>
      <c r="AC65" s="117">
        <f t="shared" si="31"/>
        <v>100.00000000000001</v>
      </c>
      <c r="AD65" s="117"/>
      <c r="AE65" s="47" t="e">
        <f t="shared" si="34"/>
        <v>#DIV/0!</v>
      </c>
      <c r="AF65" s="24">
        <f t="shared" si="31"/>
        <v>100</v>
      </c>
      <c r="AG65" s="119"/>
      <c r="AH65" s="216"/>
    </row>
    <row r="66" spans="1:34" x14ac:dyDescent="0.25">
      <c r="A66" s="104" t="s">
        <v>97</v>
      </c>
      <c r="B66" s="122">
        <v>84447013.849999994</v>
      </c>
      <c r="C66" s="122"/>
      <c r="D66" s="122">
        <v>81619813.849999994</v>
      </c>
      <c r="E66" s="103">
        <f>F66+G66+H66-E67</f>
        <v>2827200</v>
      </c>
      <c r="F66" s="122"/>
      <c r="G66" s="122">
        <v>47200</v>
      </c>
      <c r="H66" s="122">
        <v>2780000</v>
      </c>
      <c r="I66" s="111">
        <v>11185184.85</v>
      </c>
      <c r="J66" s="111"/>
      <c r="K66" s="111">
        <v>8358376.8799999999</v>
      </c>
      <c r="L66" s="113">
        <f>M66+N66+O66-L67</f>
        <v>2826807.97</v>
      </c>
      <c r="M66" s="111"/>
      <c r="N66" s="111">
        <v>46807.97</v>
      </c>
      <c r="O66" s="111">
        <v>2780000</v>
      </c>
      <c r="P66" s="24">
        <f t="shared" si="32"/>
        <v>84.44701384999999</v>
      </c>
      <c r="Q66" s="24">
        <f t="shared" si="29"/>
        <v>81.61981385</v>
      </c>
      <c r="R66" s="24">
        <f>E66/1000000</f>
        <v>2.8271999999999999</v>
      </c>
      <c r="S66" s="24">
        <f>F66/1000000</f>
        <v>0</v>
      </c>
      <c r="T66" s="24">
        <f t="shared" si="29"/>
        <v>4.7199999999999999E-2</v>
      </c>
      <c r="U66" s="24">
        <f t="shared" si="29"/>
        <v>2.78</v>
      </c>
      <c r="V66" s="24">
        <f t="shared" si="29"/>
        <v>11.185184849999999</v>
      </c>
      <c r="W66" s="24">
        <f t="shared" si="30"/>
        <v>8.3583768799999998</v>
      </c>
      <c r="X66" s="24">
        <f>L66/1000000</f>
        <v>2.8268079700000004</v>
      </c>
      <c r="Y66" s="24">
        <f>M66/1000000</f>
        <v>0</v>
      </c>
      <c r="Z66" s="24">
        <f t="shared" si="30"/>
        <v>4.6807970000000004E-2</v>
      </c>
      <c r="AA66" s="24">
        <f t="shared" si="30"/>
        <v>2.78</v>
      </c>
      <c r="AB66" s="24">
        <f t="shared" si="31"/>
        <v>13.245210623868616</v>
      </c>
      <c r="AC66" s="24">
        <f t="shared" si="31"/>
        <v>10.240622326535727</v>
      </c>
      <c r="AD66" s="24">
        <f>X66/R66%</f>
        <v>99.9861336304471</v>
      </c>
      <c r="AE66" s="47" t="s">
        <v>64</v>
      </c>
      <c r="AF66" s="24">
        <f t="shared" si="31"/>
        <v>99.169427966101708</v>
      </c>
      <c r="AG66" s="26">
        <f>AA66/U66%</f>
        <v>100</v>
      </c>
      <c r="AH66" s="208"/>
    </row>
    <row r="67" spans="1:34" s="120" customFormat="1" hidden="1" x14ac:dyDescent="0.25">
      <c r="A67" s="114" t="s">
        <v>95</v>
      </c>
      <c r="B67" s="121"/>
      <c r="C67" s="121"/>
      <c r="D67" s="121"/>
      <c r="E67" s="116">
        <f>F67+G67+H67</f>
        <v>0</v>
      </c>
      <c r="F67" s="121"/>
      <c r="G67" s="121"/>
      <c r="H67" s="121"/>
      <c r="I67" s="121"/>
      <c r="J67" s="121"/>
      <c r="K67" s="121"/>
      <c r="L67" s="116">
        <f>M67+N67+O67</f>
        <v>0</v>
      </c>
      <c r="M67" s="121"/>
      <c r="N67" s="121"/>
      <c r="O67" s="121"/>
      <c r="P67" s="117"/>
      <c r="Q67" s="117">
        <f t="shared" si="29"/>
        <v>0</v>
      </c>
      <c r="R67" s="117"/>
      <c r="S67" s="117"/>
      <c r="T67" s="117">
        <f t="shared" si="29"/>
        <v>0</v>
      </c>
      <c r="U67" s="117">
        <f t="shared" si="29"/>
        <v>0</v>
      </c>
      <c r="V67" s="117"/>
      <c r="W67" s="117">
        <f t="shared" si="30"/>
        <v>0</v>
      </c>
      <c r="X67" s="117"/>
      <c r="Y67" s="117"/>
      <c r="Z67" s="117">
        <f t="shared" si="30"/>
        <v>0</v>
      </c>
      <c r="AA67" s="117">
        <f t="shared" si="30"/>
        <v>0</v>
      </c>
      <c r="AB67" s="117"/>
      <c r="AC67" s="117" t="e">
        <f t="shared" si="31"/>
        <v>#DIV/0!</v>
      </c>
      <c r="AD67" s="117"/>
      <c r="AE67" s="47" t="s">
        <v>64</v>
      </c>
      <c r="AF67" s="117" t="e">
        <f>Z67/T67%</f>
        <v>#DIV/0!</v>
      </c>
      <c r="AG67" s="119"/>
      <c r="AH67" s="216"/>
    </row>
    <row r="68" spans="1:34" x14ac:dyDescent="0.25">
      <c r="A68" s="104" t="s">
        <v>98</v>
      </c>
      <c r="B68" s="21">
        <v>870074122.47000003</v>
      </c>
      <c r="C68" s="21"/>
      <c r="D68" s="21">
        <v>869361122.47000003</v>
      </c>
      <c r="E68" s="103">
        <f>F68+G68+H68-E69</f>
        <v>713000</v>
      </c>
      <c r="F68" s="21">
        <v>90000</v>
      </c>
      <c r="G68" s="21"/>
      <c r="H68" s="21">
        <v>623000</v>
      </c>
      <c r="I68" s="102">
        <v>863585897.28999996</v>
      </c>
      <c r="J68" s="102"/>
      <c r="K68" s="102">
        <v>862905897.28999996</v>
      </c>
      <c r="L68" s="103">
        <f>M68+N68+O68-L69</f>
        <v>680000</v>
      </c>
      <c r="M68" s="21">
        <v>90000</v>
      </c>
      <c r="N68" s="21"/>
      <c r="O68" s="21">
        <v>590000</v>
      </c>
      <c r="P68" s="24">
        <f t="shared" si="32"/>
        <v>870.07412247000002</v>
      </c>
      <c r="Q68" s="24">
        <f>D68/1000000</f>
        <v>869.36112247000005</v>
      </c>
      <c r="R68" s="24">
        <f>E68/1000000</f>
        <v>0.71299999999999997</v>
      </c>
      <c r="S68" s="24">
        <f>F68/1000000</f>
        <v>0.09</v>
      </c>
      <c r="T68" s="24">
        <f t="shared" ref="T68:V96" si="35">G68/1000000</f>
        <v>0</v>
      </c>
      <c r="U68" s="24">
        <f t="shared" si="35"/>
        <v>0.623</v>
      </c>
      <c r="V68" s="24">
        <f t="shared" si="35"/>
        <v>863.58589728999993</v>
      </c>
      <c r="W68" s="24">
        <f t="shared" si="30"/>
        <v>862.90589728999998</v>
      </c>
      <c r="X68" s="24">
        <f>L68/1000000</f>
        <v>0.68</v>
      </c>
      <c r="Y68" s="24">
        <f>M68/1000000</f>
        <v>0.09</v>
      </c>
      <c r="Z68" s="24">
        <f t="shared" si="30"/>
        <v>0</v>
      </c>
      <c r="AA68" s="24">
        <f t="shared" si="30"/>
        <v>0.59</v>
      </c>
      <c r="AB68" s="24">
        <f>V68/P68%</f>
        <v>99.25429052394054</v>
      </c>
      <c r="AC68" s="24">
        <f>W68/Q68%</f>
        <v>99.257474826840706</v>
      </c>
      <c r="AD68" s="24">
        <f t="shared" ref="AD68" si="36">X68/R68%</f>
        <v>95.371669004207575</v>
      </c>
      <c r="AE68" s="24">
        <f>Y68/S68%</f>
        <v>100</v>
      </c>
      <c r="AF68" s="47" t="s">
        <v>64</v>
      </c>
      <c r="AG68" s="26">
        <f t="shared" ref="AF68:AG69" si="37">AA68/U68%</f>
        <v>94.703049759229529</v>
      </c>
      <c r="AH68" s="208"/>
    </row>
    <row r="69" spans="1:34" s="120" customFormat="1" hidden="1" x14ac:dyDescent="0.25">
      <c r="A69" s="114" t="s">
        <v>95</v>
      </c>
      <c r="B69" s="123"/>
      <c r="C69" s="123"/>
      <c r="D69" s="123"/>
      <c r="E69" s="116">
        <f>F69+G69+H69</f>
        <v>0</v>
      </c>
      <c r="F69" s="123"/>
      <c r="G69" s="123"/>
      <c r="H69" s="123"/>
      <c r="I69" s="124"/>
      <c r="J69" s="124"/>
      <c r="K69" s="124"/>
      <c r="L69" s="116">
        <f>M69+N69+O69</f>
        <v>0</v>
      </c>
      <c r="M69" s="123"/>
      <c r="N69" s="123"/>
      <c r="O69" s="123"/>
      <c r="P69" s="117"/>
      <c r="Q69" s="117">
        <f t="shared" ref="Q69:S97" si="38">D69/1000000</f>
        <v>0</v>
      </c>
      <c r="R69" s="117"/>
      <c r="S69" s="117"/>
      <c r="T69" s="117">
        <f>G69/1000000</f>
        <v>0</v>
      </c>
      <c r="U69" s="117">
        <f t="shared" si="35"/>
        <v>0</v>
      </c>
      <c r="V69" s="117"/>
      <c r="W69" s="117">
        <f>K69/1000000</f>
        <v>0</v>
      </c>
      <c r="X69" s="117"/>
      <c r="Y69" s="117"/>
      <c r="Z69" s="117">
        <f>N69/1000000</f>
        <v>0</v>
      </c>
      <c r="AA69" s="117"/>
      <c r="AB69" s="118"/>
      <c r="AC69" s="117"/>
      <c r="AD69" s="117"/>
      <c r="AE69" s="117"/>
      <c r="AF69" s="24" t="e">
        <f t="shared" si="37"/>
        <v>#DIV/0!</v>
      </c>
      <c r="AG69" s="119"/>
      <c r="AH69" s="216"/>
    </row>
    <row r="70" spans="1:34" x14ac:dyDescent="0.25">
      <c r="A70" s="104" t="s">
        <v>99</v>
      </c>
      <c r="B70" s="111">
        <v>764074249.80999994</v>
      </c>
      <c r="C70" s="111">
        <v>13881337.6</v>
      </c>
      <c r="D70" s="111">
        <v>543396222.85000002</v>
      </c>
      <c r="E70" s="103">
        <f>F70+G70+H70-E71</f>
        <v>226455342.95999998</v>
      </c>
      <c r="F70" s="111">
        <v>155448654.16999999</v>
      </c>
      <c r="G70" s="111">
        <v>65083375.299999997</v>
      </c>
      <c r="H70" s="111">
        <v>14027335.09</v>
      </c>
      <c r="I70" s="111">
        <v>732751942.37</v>
      </c>
      <c r="J70" s="111">
        <v>13843174.970000001</v>
      </c>
      <c r="K70" s="111">
        <v>538879728</v>
      </c>
      <c r="L70" s="113">
        <f>M70+N70+O70-L71</f>
        <v>199649530.37</v>
      </c>
      <c r="M70" s="111">
        <v>131102305.73</v>
      </c>
      <c r="N70" s="111">
        <v>62722431.32</v>
      </c>
      <c r="O70" s="111">
        <v>13890652.290000001</v>
      </c>
      <c r="P70" s="24">
        <f t="shared" si="32"/>
        <v>764.07424980999997</v>
      </c>
      <c r="Q70" s="24">
        <f t="shared" si="38"/>
        <v>543.39622285000007</v>
      </c>
      <c r="R70" s="24">
        <f>E70/1000000</f>
        <v>226.45534295999997</v>
      </c>
      <c r="S70" s="24">
        <f>F70/1000000</f>
        <v>155.44865417</v>
      </c>
      <c r="T70" s="24">
        <f t="shared" si="35"/>
        <v>65.0833753</v>
      </c>
      <c r="U70" s="24">
        <f t="shared" si="35"/>
        <v>14.027335089999999</v>
      </c>
      <c r="V70" s="24">
        <f t="shared" si="35"/>
        <v>732.75194237000005</v>
      </c>
      <c r="W70" s="24">
        <f t="shared" si="30"/>
        <v>538.879728</v>
      </c>
      <c r="X70" s="24">
        <f>L70/1000000</f>
        <v>199.64953037000001</v>
      </c>
      <c r="Y70" s="24">
        <f>M70/1000000</f>
        <v>131.10230573000001</v>
      </c>
      <c r="Z70" s="24">
        <f t="shared" si="30"/>
        <v>62.722431319999998</v>
      </c>
      <c r="AA70" s="24">
        <f t="shared" si="30"/>
        <v>13.89065229</v>
      </c>
      <c r="AB70" s="24">
        <f>V70/P70%</f>
        <v>95.900619940040016</v>
      </c>
      <c r="AC70" s="24">
        <f t="shared" ref="AC70:AC115" si="39">W70/Q70%</f>
        <v>99.16883948395666</v>
      </c>
      <c r="AD70" s="24">
        <f>X70/R70%</f>
        <v>88.162870330361415</v>
      </c>
      <c r="AE70" s="24">
        <f>Y70/S70%</f>
        <v>84.338012721953447</v>
      </c>
      <c r="AF70" s="24">
        <f>Z70/T70%</f>
        <v>96.372431563179845</v>
      </c>
      <c r="AG70" s="26">
        <f>AA70/U70%</f>
        <v>99.025596814198593</v>
      </c>
      <c r="AH70" s="208"/>
    </row>
    <row r="71" spans="1:34" s="120" customFormat="1" hidden="1" x14ac:dyDescent="0.25">
      <c r="A71" s="114" t="s">
        <v>95</v>
      </c>
      <c r="B71" s="115"/>
      <c r="C71" s="115">
        <v>13881337.6</v>
      </c>
      <c r="D71" s="115">
        <v>5777316</v>
      </c>
      <c r="E71" s="116">
        <f>F71+G71+H71</f>
        <v>8104021.5999999996</v>
      </c>
      <c r="F71" s="115"/>
      <c r="G71" s="115">
        <v>7108021.5999999996</v>
      </c>
      <c r="H71" s="115">
        <v>996000</v>
      </c>
      <c r="I71" s="115"/>
      <c r="J71" s="115">
        <v>13843174.970000001</v>
      </c>
      <c r="K71" s="115">
        <v>5777316</v>
      </c>
      <c r="L71" s="116">
        <f>M71+N71+O71</f>
        <v>8065858.9699999997</v>
      </c>
      <c r="M71" s="115"/>
      <c r="N71" s="115">
        <v>7069858.9699999997</v>
      </c>
      <c r="O71" s="115">
        <v>996000</v>
      </c>
      <c r="P71" s="117"/>
      <c r="Q71" s="117">
        <f t="shared" si="38"/>
        <v>5.7773159999999999</v>
      </c>
      <c r="R71" s="117"/>
      <c r="S71" s="117"/>
      <c r="T71" s="117">
        <f t="shared" si="35"/>
        <v>7.1080215999999998</v>
      </c>
      <c r="U71" s="117">
        <f t="shared" si="35"/>
        <v>0.996</v>
      </c>
      <c r="V71" s="117"/>
      <c r="W71" s="117">
        <f t="shared" si="30"/>
        <v>5.7773159999999999</v>
      </c>
      <c r="X71" s="117"/>
      <c r="Y71" s="117"/>
      <c r="Z71" s="117">
        <f t="shared" si="30"/>
        <v>7.0698589699999994</v>
      </c>
      <c r="AA71" s="117">
        <f t="shared" si="30"/>
        <v>0.996</v>
      </c>
      <c r="AB71" s="117"/>
      <c r="AC71" s="117">
        <f t="shared" si="39"/>
        <v>100</v>
      </c>
      <c r="AD71" s="117"/>
      <c r="AE71" s="117"/>
      <c r="AF71" s="117">
        <f t="shared" ref="AF71:AG87" si="40">Z71/T71%</f>
        <v>99.463104754774506</v>
      </c>
      <c r="AG71" s="119">
        <f t="shared" si="40"/>
        <v>100</v>
      </c>
      <c r="AH71" s="216"/>
    </row>
    <row r="72" spans="1:34" x14ac:dyDescent="0.25">
      <c r="A72" s="104" t="s">
        <v>100</v>
      </c>
      <c r="B72" s="21">
        <v>8074444487.4300003</v>
      </c>
      <c r="C72" s="21">
        <v>890139283.22000003</v>
      </c>
      <c r="D72" s="21">
        <v>6628579162.8299999</v>
      </c>
      <c r="E72" s="103">
        <f>F72+G72+H72-E73</f>
        <v>2133958870.4400001</v>
      </c>
      <c r="F72" s="21">
        <v>1643371822.1800001</v>
      </c>
      <c r="G72" s="21">
        <v>368247852.45999998</v>
      </c>
      <c r="H72" s="21">
        <v>324384933.18000001</v>
      </c>
      <c r="I72" s="21">
        <v>7583703373.5500002</v>
      </c>
      <c r="J72" s="21">
        <v>870673637.59000003</v>
      </c>
      <c r="K72" s="21">
        <v>6230661110.75</v>
      </c>
      <c r="L72" s="113">
        <f>M72+N72+O72-L73</f>
        <v>2035545364.3099999</v>
      </c>
      <c r="M72" s="21">
        <v>1604126113.1900001</v>
      </c>
      <c r="N72" s="21">
        <v>326257177.76999998</v>
      </c>
      <c r="O72" s="21">
        <v>293332609.43000001</v>
      </c>
      <c r="P72" s="24">
        <f t="shared" si="32"/>
        <v>8074.4444874300007</v>
      </c>
      <c r="Q72" s="24">
        <f t="shared" si="38"/>
        <v>6628.5791628300003</v>
      </c>
      <c r="R72" s="24">
        <f>E72/1000000</f>
        <v>2133.9588704400003</v>
      </c>
      <c r="S72" s="24">
        <f>F72/1000000</f>
        <v>1643.37182218</v>
      </c>
      <c r="T72" s="24">
        <f t="shared" si="35"/>
        <v>368.24785245999999</v>
      </c>
      <c r="U72" s="24">
        <f t="shared" si="35"/>
        <v>324.38493318000002</v>
      </c>
      <c r="V72" s="24">
        <f t="shared" si="35"/>
        <v>7583.7033735499999</v>
      </c>
      <c r="W72" s="24">
        <f t="shared" si="30"/>
        <v>6230.6611107500003</v>
      </c>
      <c r="X72" s="24">
        <f>L72/1000000</f>
        <v>2035.54536431</v>
      </c>
      <c r="Y72" s="24">
        <f>M72/1000000</f>
        <v>1604.1261131900001</v>
      </c>
      <c r="Z72" s="24">
        <f t="shared" si="30"/>
        <v>326.25717777</v>
      </c>
      <c r="AA72" s="24">
        <f t="shared" si="30"/>
        <v>293.33260942999999</v>
      </c>
      <c r="AB72" s="24">
        <f>V72/P72%</f>
        <v>93.922292553450973</v>
      </c>
      <c r="AC72" s="24">
        <f t="shared" si="39"/>
        <v>93.996932942864433</v>
      </c>
      <c r="AD72" s="24">
        <f>X72/R72%</f>
        <v>95.388219168923882</v>
      </c>
      <c r="AE72" s="24">
        <f>Y72/S72%</f>
        <v>97.611878915026125</v>
      </c>
      <c r="AF72" s="24">
        <f t="shared" si="40"/>
        <v>88.597170517223546</v>
      </c>
      <c r="AG72" s="26">
        <f t="shared" si="40"/>
        <v>90.427322426603212</v>
      </c>
      <c r="AH72" s="208"/>
    </row>
    <row r="73" spans="1:34" s="120" customFormat="1" hidden="1" x14ac:dyDescent="0.25">
      <c r="A73" s="114" t="s">
        <v>95</v>
      </c>
      <c r="B73" s="115"/>
      <c r="C73" s="115">
        <v>890139283.22000003</v>
      </c>
      <c r="D73" s="115">
        <v>688093545.84000003</v>
      </c>
      <c r="E73" s="116">
        <f>F73+G73+H73</f>
        <v>202045737.38000003</v>
      </c>
      <c r="F73" s="115"/>
      <c r="G73" s="115">
        <v>189838249.80000001</v>
      </c>
      <c r="H73" s="115">
        <v>12207487.58</v>
      </c>
      <c r="I73" s="115"/>
      <c r="J73" s="115">
        <v>870673637.59000003</v>
      </c>
      <c r="K73" s="115">
        <v>682503101.50999999</v>
      </c>
      <c r="L73" s="116">
        <f>M73+N73+O73</f>
        <v>188170536.07999998</v>
      </c>
      <c r="M73" s="115"/>
      <c r="N73" s="115">
        <v>176348092.84999999</v>
      </c>
      <c r="O73" s="115">
        <v>11822443.23</v>
      </c>
      <c r="P73" s="117">
        <f t="shared" si="32"/>
        <v>0</v>
      </c>
      <c r="Q73" s="117">
        <f t="shared" si="38"/>
        <v>688.09354584000005</v>
      </c>
      <c r="R73" s="117"/>
      <c r="S73" s="117"/>
      <c r="T73" s="117">
        <f t="shared" si="35"/>
        <v>189.8382498</v>
      </c>
      <c r="U73" s="117">
        <f t="shared" si="35"/>
        <v>12.20748758</v>
      </c>
      <c r="V73" s="117">
        <f t="shared" si="35"/>
        <v>0</v>
      </c>
      <c r="W73" s="117">
        <f t="shared" si="30"/>
        <v>682.50310150999996</v>
      </c>
      <c r="X73" s="117"/>
      <c r="Y73" s="117"/>
      <c r="Z73" s="117">
        <f t="shared" si="30"/>
        <v>176.34809285</v>
      </c>
      <c r="AA73" s="117">
        <f t="shared" si="30"/>
        <v>11.822443230000001</v>
      </c>
      <c r="AB73" s="117"/>
      <c r="AC73" s="117">
        <f t="shared" si="39"/>
        <v>99.187545884742249</v>
      </c>
      <c r="AD73" s="117"/>
      <c r="AE73" s="117"/>
      <c r="AF73" s="117">
        <f t="shared" si="40"/>
        <v>92.893867824733817</v>
      </c>
      <c r="AG73" s="119">
        <f t="shared" si="40"/>
        <v>96.845834595557292</v>
      </c>
      <c r="AH73" s="216"/>
    </row>
    <row r="74" spans="1:34" hidden="1" x14ac:dyDescent="0.25">
      <c r="A74" s="104" t="s">
        <v>101</v>
      </c>
      <c r="B74" s="21">
        <v>23636831.149999999</v>
      </c>
      <c r="C74" s="21"/>
      <c r="D74" s="21">
        <v>21047291.149999999</v>
      </c>
      <c r="E74" s="103">
        <f>F74+G74+H74-E75</f>
        <v>2589540</v>
      </c>
      <c r="F74" s="21">
        <v>2589540</v>
      </c>
      <c r="G74" s="21"/>
      <c r="H74" s="21">
        <v>0</v>
      </c>
      <c r="I74" s="21">
        <v>23289344.510000002</v>
      </c>
      <c r="J74" s="21"/>
      <c r="K74" s="21">
        <v>20699804.510000002</v>
      </c>
      <c r="L74" s="113">
        <f>M74+N74+O74-L75</f>
        <v>2589540</v>
      </c>
      <c r="M74" s="21">
        <v>2589540</v>
      </c>
      <c r="N74" s="21"/>
      <c r="O74" s="21">
        <v>0</v>
      </c>
      <c r="P74" s="24">
        <f t="shared" si="32"/>
        <v>23.636831149999999</v>
      </c>
      <c r="Q74" s="24">
        <f t="shared" si="38"/>
        <v>21.04729115</v>
      </c>
      <c r="R74" s="24">
        <f>E74/1000000</f>
        <v>2.58954</v>
      </c>
      <c r="S74" s="24">
        <f>F74/1000000</f>
        <v>2.58954</v>
      </c>
      <c r="T74" s="24">
        <f t="shared" si="35"/>
        <v>0</v>
      </c>
      <c r="U74" s="24">
        <f t="shared" si="35"/>
        <v>0</v>
      </c>
      <c r="V74" s="24">
        <f t="shared" si="35"/>
        <v>23.289344510000003</v>
      </c>
      <c r="W74" s="24">
        <f t="shared" si="30"/>
        <v>20.69980451</v>
      </c>
      <c r="X74" s="24">
        <f t="shared" si="30"/>
        <v>2.58954</v>
      </c>
      <c r="Y74" s="24">
        <f t="shared" si="30"/>
        <v>2.58954</v>
      </c>
      <c r="Z74" s="24">
        <f t="shared" si="30"/>
        <v>0</v>
      </c>
      <c r="AA74" s="24">
        <f t="shared" si="30"/>
        <v>0</v>
      </c>
      <c r="AB74" s="24">
        <f>V74/P74%</f>
        <v>98.529893293247156</v>
      </c>
      <c r="AC74" s="24">
        <f t="shared" si="39"/>
        <v>98.349019655196813</v>
      </c>
      <c r="AD74" s="24">
        <f>X74/R74%</f>
        <v>100</v>
      </c>
      <c r="AE74" s="24">
        <f>Y74/S74%</f>
        <v>100</v>
      </c>
      <c r="AF74" s="24" t="e">
        <f t="shared" si="40"/>
        <v>#DIV/0!</v>
      </c>
      <c r="AG74" s="26" t="e">
        <f t="shared" si="40"/>
        <v>#DIV/0!</v>
      </c>
      <c r="AH74" s="208"/>
    </row>
    <row r="75" spans="1:34" s="120" customFormat="1" hidden="1" x14ac:dyDescent="0.25">
      <c r="A75" s="114" t="s">
        <v>95</v>
      </c>
      <c r="B75" s="115"/>
      <c r="C75" s="115"/>
      <c r="D75" s="115"/>
      <c r="E75" s="116">
        <f>F75+G75+H75</f>
        <v>0</v>
      </c>
      <c r="F75" s="115"/>
      <c r="G75" s="115"/>
      <c r="H75" s="115"/>
      <c r="I75" s="115"/>
      <c r="J75" s="115"/>
      <c r="K75" s="115"/>
      <c r="L75" s="116">
        <f>M75+N75+O75</f>
        <v>0</v>
      </c>
      <c r="M75" s="115"/>
      <c r="N75" s="115"/>
      <c r="O75" s="115"/>
      <c r="P75" s="117"/>
      <c r="Q75" s="117">
        <f t="shared" si="38"/>
        <v>0</v>
      </c>
      <c r="R75" s="117"/>
      <c r="S75" s="117"/>
      <c r="T75" s="24">
        <f t="shared" si="35"/>
        <v>0</v>
      </c>
      <c r="U75" s="117"/>
      <c r="V75" s="117"/>
      <c r="W75" s="117">
        <f>K75/1000000</f>
        <v>0</v>
      </c>
      <c r="X75" s="117"/>
      <c r="Y75" s="117"/>
      <c r="Z75" s="24">
        <f t="shared" si="30"/>
        <v>0</v>
      </c>
      <c r="AA75" s="117"/>
      <c r="AB75" s="117"/>
      <c r="AC75" s="24" t="e">
        <f t="shared" si="39"/>
        <v>#DIV/0!</v>
      </c>
      <c r="AD75" s="117"/>
      <c r="AE75" s="24"/>
      <c r="AF75" s="24" t="e">
        <f t="shared" si="40"/>
        <v>#DIV/0!</v>
      </c>
      <c r="AG75" s="119"/>
      <c r="AH75" s="216"/>
    </row>
    <row r="76" spans="1:34" ht="26.4" x14ac:dyDescent="0.25">
      <c r="A76" s="104" t="s">
        <v>102</v>
      </c>
      <c r="B76" s="21">
        <v>429721966.95999998</v>
      </c>
      <c r="C76" s="21">
        <v>63847665.909999996</v>
      </c>
      <c r="D76" s="21">
        <v>307914618.64999998</v>
      </c>
      <c r="E76" s="103">
        <f>F76+G76+H76-E77</f>
        <v>178281411.09</v>
      </c>
      <c r="F76" s="21">
        <v>79860526.560000002</v>
      </c>
      <c r="G76" s="21">
        <v>87462444.25</v>
      </c>
      <c r="H76" s="21">
        <v>18332043.41</v>
      </c>
      <c r="I76" s="21">
        <v>399460190.99000001</v>
      </c>
      <c r="J76" s="21">
        <v>55553530.899999999</v>
      </c>
      <c r="K76" s="21">
        <v>289956961.19</v>
      </c>
      <c r="L76" s="113">
        <f>M76+N76+O76-L77</f>
        <v>158617217.70000002</v>
      </c>
      <c r="M76" s="21">
        <v>73809481.790000007</v>
      </c>
      <c r="N76" s="21">
        <v>77008217.950000003</v>
      </c>
      <c r="O76" s="21">
        <v>14239060.959999999</v>
      </c>
      <c r="P76" s="24">
        <f t="shared" si="32"/>
        <v>429.72196695999997</v>
      </c>
      <c r="Q76" s="24">
        <f t="shared" si="38"/>
        <v>307.91461864999997</v>
      </c>
      <c r="R76" s="24">
        <f t="shared" si="38"/>
        <v>178.28141109000001</v>
      </c>
      <c r="S76" s="24">
        <f t="shared" si="38"/>
        <v>79.860526559999997</v>
      </c>
      <c r="T76" s="24">
        <f t="shared" si="35"/>
        <v>87.462444250000004</v>
      </c>
      <c r="U76" s="24">
        <f t="shared" si="35"/>
        <v>18.332043410000001</v>
      </c>
      <c r="V76" s="24">
        <f t="shared" si="35"/>
        <v>399.46019099</v>
      </c>
      <c r="W76" s="24">
        <f t="shared" si="30"/>
        <v>289.95696119000002</v>
      </c>
      <c r="X76" s="24">
        <f t="shared" si="30"/>
        <v>158.61721770000003</v>
      </c>
      <c r="Y76" s="24">
        <f t="shared" si="30"/>
        <v>73.809481790000007</v>
      </c>
      <c r="Z76" s="24">
        <f t="shared" si="30"/>
        <v>77.008217950000002</v>
      </c>
      <c r="AA76" s="24">
        <f t="shared" si="30"/>
        <v>14.23906096</v>
      </c>
      <c r="AB76" s="24">
        <f>V76/P76%</f>
        <v>92.957824291813125</v>
      </c>
      <c r="AC76" s="24">
        <f t="shared" si="39"/>
        <v>94.167975025436505</v>
      </c>
      <c r="AD76" s="24">
        <f>X76/R76%</f>
        <v>88.970138126137499</v>
      </c>
      <c r="AE76" s="24">
        <f>Y76/S76%</f>
        <v>92.422984131648832</v>
      </c>
      <c r="AF76" s="24">
        <f t="shared" si="40"/>
        <v>88.047182548297002</v>
      </c>
      <c r="AG76" s="26">
        <f>AA76/U76%</f>
        <v>77.67307027122078</v>
      </c>
      <c r="AH76" s="208"/>
    </row>
    <row r="77" spans="1:34" s="120" customFormat="1" hidden="1" x14ac:dyDescent="0.25">
      <c r="A77" s="114" t="s">
        <v>95</v>
      </c>
      <c r="B77" s="115"/>
      <c r="C77" s="115">
        <v>63847665.909999996</v>
      </c>
      <c r="D77" s="115">
        <v>56474062.780000001</v>
      </c>
      <c r="E77" s="116">
        <f>F77+G77+H77</f>
        <v>7373603.1299999999</v>
      </c>
      <c r="F77" s="115"/>
      <c r="G77" s="115">
        <v>7119603.1299999999</v>
      </c>
      <c r="H77" s="115">
        <v>254000</v>
      </c>
      <c r="I77" s="115"/>
      <c r="J77" s="115">
        <v>55553530.899999999</v>
      </c>
      <c r="K77" s="115">
        <v>49113987.899999999</v>
      </c>
      <c r="L77" s="116">
        <f>M77+N77+O77</f>
        <v>6439543</v>
      </c>
      <c r="M77" s="115"/>
      <c r="N77" s="115">
        <v>6185543</v>
      </c>
      <c r="O77" s="115">
        <v>254000</v>
      </c>
      <c r="P77" s="117">
        <f t="shared" si="32"/>
        <v>0</v>
      </c>
      <c r="Q77" s="117">
        <f t="shared" si="38"/>
        <v>56.474062780000004</v>
      </c>
      <c r="R77" s="117">
        <f t="shared" si="38"/>
        <v>7.3736031300000002</v>
      </c>
      <c r="S77" s="117">
        <f t="shared" si="38"/>
        <v>0</v>
      </c>
      <c r="T77" s="117">
        <f t="shared" si="35"/>
        <v>7.1196031299999998</v>
      </c>
      <c r="U77" s="117">
        <f t="shared" si="35"/>
        <v>0.254</v>
      </c>
      <c r="V77" s="117">
        <f t="shared" si="35"/>
        <v>0</v>
      </c>
      <c r="W77" s="117">
        <f t="shared" si="30"/>
        <v>49.113987899999998</v>
      </c>
      <c r="X77" s="117"/>
      <c r="Y77" s="117"/>
      <c r="Z77" s="117">
        <f t="shared" si="30"/>
        <v>6.185543</v>
      </c>
      <c r="AA77" s="117">
        <f t="shared" si="30"/>
        <v>0.254</v>
      </c>
      <c r="AB77" s="117" t="e">
        <f>V77/P77%</f>
        <v>#DIV/0!</v>
      </c>
      <c r="AC77" s="117">
        <f t="shared" si="39"/>
        <v>86.967335945579364</v>
      </c>
      <c r="AD77" s="117"/>
      <c r="AE77" s="117"/>
      <c r="AF77" s="117">
        <f t="shared" si="40"/>
        <v>86.880446663324051</v>
      </c>
      <c r="AG77" s="119">
        <f t="shared" si="40"/>
        <v>100</v>
      </c>
      <c r="AH77" s="216"/>
    </row>
    <row r="78" spans="1:34" s="33" customFormat="1" ht="13.5" customHeight="1" x14ac:dyDescent="0.25">
      <c r="A78" s="27" t="s">
        <v>103</v>
      </c>
      <c r="B78" s="28">
        <v>10603372291.709999</v>
      </c>
      <c r="C78" s="28">
        <v>3627372536.0599999</v>
      </c>
      <c r="D78" s="28">
        <v>8279280363.8900003</v>
      </c>
      <c r="E78" s="103">
        <f>F78+G78+H78-E79</f>
        <v>4766050729.5500002</v>
      </c>
      <c r="F78" s="28">
        <v>2701789534.5700002</v>
      </c>
      <c r="G78" s="28">
        <v>1495409101.0599999</v>
      </c>
      <c r="H78" s="28">
        <v>1754265828.25</v>
      </c>
      <c r="I78" s="102">
        <v>8380479751.4899998</v>
      </c>
      <c r="J78" s="102">
        <v>2913844916.3000002</v>
      </c>
      <c r="K78" s="102">
        <v>6296057904.0699997</v>
      </c>
      <c r="L78" s="103">
        <f>M78+N78+O78-L79</f>
        <v>3929030559.1099992</v>
      </c>
      <c r="M78" s="102">
        <v>2193810061.7199998</v>
      </c>
      <c r="N78" s="102">
        <v>1325022088.8</v>
      </c>
      <c r="O78" s="102">
        <v>1479434613.2</v>
      </c>
      <c r="P78" s="30">
        <f t="shared" si="32"/>
        <v>10603.372291709999</v>
      </c>
      <c r="Q78" s="30">
        <f t="shared" si="38"/>
        <v>8279.2803638900004</v>
      </c>
      <c r="R78" s="30">
        <f t="shared" si="38"/>
        <v>4766.0507295500001</v>
      </c>
      <c r="S78" s="30">
        <f t="shared" si="38"/>
        <v>2701.7895345700003</v>
      </c>
      <c r="T78" s="30">
        <f t="shared" si="35"/>
        <v>1495.40910106</v>
      </c>
      <c r="U78" s="30">
        <f t="shared" si="35"/>
        <v>1754.2658282499999</v>
      </c>
      <c r="V78" s="30">
        <f t="shared" si="35"/>
        <v>8380.4797514900001</v>
      </c>
      <c r="W78" s="30">
        <f t="shared" si="30"/>
        <v>6296.0579040699995</v>
      </c>
      <c r="X78" s="30">
        <f t="shared" si="30"/>
        <v>3929.0305591099991</v>
      </c>
      <c r="Y78" s="30">
        <f t="shared" si="30"/>
        <v>2193.8100617199998</v>
      </c>
      <c r="Z78" s="30">
        <f t="shared" si="30"/>
        <v>1325.0220887999999</v>
      </c>
      <c r="AA78" s="30">
        <f t="shared" si="30"/>
        <v>1479.4346132000001</v>
      </c>
      <c r="AB78" s="30">
        <f>V78/P78%</f>
        <v>79.035985165229789</v>
      </c>
      <c r="AC78" s="30">
        <f t="shared" si="39"/>
        <v>76.045956017266832</v>
      </c>
      <c r="AD78" s="30">
        <f>X78/R78%</f>
        <v>82.437866948196941</v>
      </c>
      <c r="AE78" s="30">
        <f>Y78/S78%</f>
        <v>81.198406968777917</v>
      </c>
      <c r="AF78" s="30">
        <f t="shared" si="40"/>
        <v>88.605993360664741</v>
      </c>
      <c r="AG78" s="31">
        <f t="shared" si="40"/>
        <v>84.33354793645141</v>
      </c>
      <c r="AH78" s="209"/>
    </row>
    <row r="79" spans="1:34" hidden="1" x14ac:dyDescent="0.25">
      <c r="A79" s="104" t="s">
        <v>89</v>
      </c>
      <c r="B79" s="125">
        <v>394499049.66000003</v>
      </c>
      <c r="C79" s="125">
        <v>3627372536.0599999</v>
      </c>
      <c r="D79" s="125">
        <v>2836457851.3900003</v>
      </c>
      <c r="E79" s="109">
        <f>F79+G79+H79</f>
        <v>1185413734.3300002</v>
      </c>
      <c r="F79" s="125">
        <v>0</v>
      </c>
      <c r="G79" s="125">
        <v>1184387734.3300002</v>
      </c>
      <c r="H79" s="125">
        <v>1026000</v>
      </c>
      <c r="I79" s="125">
        <v>0</v>
      </c>
      <c r="J79" s="125">
        <v>2913844916.2999997</v>
      </c>
      <c r="K79" s="125">
        <v>1844608711.6899998</v>
      </c>
      <c r="L79" s="109">
        <f>M79+N79+O79</f>
        <v>1069236204.61</v>
      </c>
      <c r="M79" s="125">
        <v>0</v>
      </c>
      <c r="N79" s="125">
        <v>1068210204.61</v>
      </c>
      <c r="O79" s="125">
        <v>1026000</v>
      </c>
      <c r="P79" s="24">
        <f t="shared" si="32"/>
        <v>394.49904966000003</v>
      </c>
      <c r="Q79" s="24">
        <f t="shared" si="38"/>
        <v>2836.4578513900005</v>
      </c>
      <c r="R79" s="24"/>
      <c r="S79" s="24"/>
      <c r="T79" s="24">
        <f t="shared" si="35"/>
        <v>1184.3877343300001</v>
      </c>
      <c r="U79" s="24">
        <f t="shared" si="35"/>
        <v>1.026</v>
      </c>
      <c r="V79" s="24">
        <f t="shared" si="35"/>
        <v>0</v>
      </c>
      <c r="W79" s="24">
        <f t="shared" si="30"/>
        <v>1844.6087116899998</v>
      </c>
      <c r="X79" s="24"/>
      <c r="Y79" s="24"/>
      <c r="Z79" s="24">
        <f t="shared" si="30"/>
        <v>1068.2102046100001</v>
      </c>
      <c r="AA79" s="24">
        <f t="shared" si="30"/>
        <v>1.026</v>
      </c>
      <c r="AB79" s="24">
        <f>V79/P79%</f>
        <v>0</v>
      </c>
      <c r="AC79" s="24">
        <f t="shared" si="39"/>
        <v>65.032121340567528</v>
      </c>
      <c r="AD79" s="30"/>
      <c r="AE79" s="24"/>
      <c r="AF79" s="24">
        <f t="shared" si="40"/>
        <v>90.190920899250884</v>
      </c>
      <c r="AG79" s="26">
        <f t="shared" si="40"/>
        <v>100</v>
      </c>
      <c r="AH79" s="208"/>
    </row>
    <row r="80" spans="1:34" x14ac:dyDescent="0.25">
      <c r="A80" s="126" t="s">
        <v>104</v>
      </c>
      <c r="B80" s="125">
        <v>5634690399.8400002</v>
      </c>
      <c r="C80" s="125">
        <v>2860232626.3200002</v>
      </c>
      <c r="D80" s="125">
        <v>4608331741.3699999</v>
      </c>
      <c r="E80" s="103">
        <f>F80+G80+H80-E81</f>
        <v>1912015724.2700002</v>
      </c>
      <c r="F80" s="125">
        <v>996325554.67999995</v>
      </c>
      <c r="G80" s="125">
        <v>1080768582.95</v>
      </c>
      <c r="H80" s="125">
        <v>663169115.09000003</v>
      </c>
      <c r="I80" s="125">
        <v>3500884191.9899998</v>
      </c>
      <c r="J80" s="125">
        <v>2158622302.4899998</v>
      </c>
      <c r="K80" s="125">
        <v>2634589534.7800002</v>
      </c>
      <c r="L80" s="103">
        <f>M80+N80+O80-L81</f>
        <v>2310264743.0699997</v>
      </c>
      <c r="M80" s="125">
        <v>1335800145.5</v>
      </c>
      <c r="N80" s="125">
        <v>848875853.03999996</v>
      </c>
      <c r="O80" s="125">
        <v>840240961.16000009</v>
      </c>
      <c r="P80" s="24">
        <f>B80/1000000</f>
        <v>5634.6903998400003</v>
      </c>
      <c r="Q80" s="24">
        <f t="shared" si="38"/>
        <v>4608.3317413699997</v>
      </c>
      <c r="R80" s="24">
        <f>E80/1000000</f>
        <v>1912.0157242700002</v>
      </c>
      <c r="S80" s="24">
        <f>F80/1000000</f>
        <v>996.32555467999998</v>
      </c>
      <c r="T80" s="24">
        <f>G80/1000000</f>
        <v>1080.7685829500001</v>
      </c>
      <c r="U80" s="24">
        <f>H80/1000000</f>
        <v>663.16911508999999</v>
      </c>
      <c r="V80" s="24">
        <f>I80/1000000</f>
        <v>3500.8841919899996</v>
      </c>
      <c r="W80" s="24">
        <f>K80/1000000</f>
        <v>2634.5895347800001</v>
      </c>
      <c r="X80" s="24">
        <f>L80/1000000</f>
        <v>2310.2647430699999</v>
      </c>
      <c r="Y80" s="24">
        <f>M80/1000000</f>
        <v>1335.8001455000001</v>
      </c>
      <c r="Z80" s="24">
        <f>N80/1000000</f>
        <v>848.87585303999992</v>
      </c>
      <c r="AA80" s="24">
        <f>O80/1000000</f>
        <v>840.2409611600001</v>
      </c>
      <c r="AB80" s="24">
        <f>V80/P80%</f>
        <v>62.130905933880747</v>
      </c>
      <c r="AC80" s="24">
        <f>W80/Q80%</f>
        <v>57.170136236693097</v>
      </c>
      <c r="AD80" s="24">
        <f>X80/R80%</f>
        <v>120.82875228194315</v>
      </c>
      <c r="AE80" s="24">
        <f>Y80/S80%</f>
        <v>134.07265719778036</v>
      </c>
      <c r="AF80" s="24">
        <f t="shared" si="40"/>
        <v>78.543720314570962</v>
      </c>
      <c r="AG80" s="26">
        <f t="shared" si="40"/>
        <v>126.70085835435344</v>
      </c>
      <c r="AH80" s="208"/>
    </row>
    <row r="81" spans="1:34" s="120" customFormat="1" hidden="1" x14ac:dyDescent="0.25">
      <c r="A81" s="114" t="s">
        <v>95</v>
      </c>
      <c r="B81" s="127">
        <v>394498778.66000003</v>
      </c>
      <c r="C81" s="127">
        <v>2860232626.3200002</v>
      </c>
      <c r="D81" s="127">
        <v>2426483876.5300002</v>
      </c>
      <c r="E81" s="116">
        <f>F81+G81+H81</f>
        <v>828247528.45000005</v>
      </c>
      <c r="F81" s="127"/>
      <c r="G81" s="127">
        <v>828247528.45000005</v>
      </c>
      <c r="H81" s="127">
        <v>0</v>
      </c>
      <c r="I81" s="127"/>
      <c r="J81" s="127">
        <v>2158622302.4899998</v>
      </c>
      <c r="K81" s="127">
        <v>1443970085.8599999</v>
      </c>
      <c r="L81" s="116">
        <f>M81+N81+O81</f>
        <v>714652216.63</v>
      </c>
      <c r="M81" s="127"/>
      <c r="N81" s="127">
        <v>714652216.63</v>
      </c>
      <c r="O81" s="127">
        <v>0</v>
      </c>
      <c r="P81" s="117"/>
      <c r="Q81" s="117">
        <f t="shared" si="38"/>
        <v>2426.4838765300001</v>
      </c>
      <c r="R81" s="117"/>
      <c r="S81" s="117"/>
      <c r="T81" s="117">
        <f t="shared" ref="T81:U87" si="41">G81/1000000</f>
        <v>828.24752845</v>
      </c>
      <c r="U81" s="117">
        <f t="shared" si="41"/>
        <v>0</v>
      </c>
      <c r="V81" s="117"/>
      <c r="W81" s="117">
        <f t="shared" ref="W81:W87" si="42">K81/1000000</f>
        <v>1443.9700858599999</v>
      </c>
      <c r="X81" s="117"/>
      <c r="Y81" s="117"/>
      <c r="Z81" s="117">
        <f t="shared" ref="Z81:AA87" si="43">N81/1000000</f>
        <v>714.65221663</v>
      </c>
      <c r="AA81" s="117">
        <f t="shared" si="43"/>
        <v>0</v>
      </c>
      <c r="AB81" s="117"/>
      <c r="AC81" s="117">
        <f t="shared" ref="AC81:AC86" si="44">W81/Q81%</f>
        <v>59.508744312158925</v>
      </c>
      <c r="AD81" s="117"/>
      <c r="AE81" s="117"/>
      <c r="AF81" s="117">
        <f t="shared" si="40"/>
        <v>86.284859547654222</v>
      </c>
      <c r="AG81" s="119" t="e">
        <f t="shared" si="40"/>
        <v>#DIV/0!</v>
      </c>
      <c r="AH81" s="216"/>
    </row>
    <row r="82" spans="1:34" x14ac:dyDescent="0.25">
      <c r="A82" s="104" t="s">
        <v>105</v>
      </c>
      <c r="B82" s="125">
        <v>3892060873.1799998</v>
      </c>
      <c r="C82" s="125">
        <v>740286113.28999996</v>
      </c>
      <c r="D82" s="125">
        <v>3600008663.4899998</v>
      </c>
      <c r="E82" s="103">
        <f>F82+G82+H82-E83</f>
        <v>684324854.51999998</v>
      </c>
      <c r="F82" s="125">
        <v>108537019.81</v>
      </c>
      <c r="G82" s="125">
        <v>472127880.33999997</v>
      </c>
      <c r="H82" s="125">
        <v>451673422.83000004</v>
      </c>
      <c r="I82" s="125">
        <v>3837674425.5599999</v>
      </c>
      <c r="J82" s="125">
        <v>729007583.88999999</v>
      </c>
      <c r="K82" s="125">
        <v>3590860519.3299999</v>
      </c>
      <c r="L82" s="103">
        <f>M82+N82+O82-L83</f>
        <v>629960943.69000006</v>
      </c>
      <c r="M82" s="125">
        <v>90499349.180000007</v>
      </c>
      <c r="N82" s="125">
        <v>450719599.66000003</v>
      </c>
      <c r="O82" s="125">
        <v>434602541.28000003</v>
      </c>
      <c r="P82" s="24">
        <f>B82/1000000</f>
        <v>3892.0608731799998</v>
      </c>
      <c r="Q82" s="24">
        <f t="shared" si="38"/>
        <v>3600.0086634899999</v>
      </c>
      <c r="R82" s="24">
        <f>E82/1000000</f>
        <v>684.32485452000003</v>
      </c>
      <c r="S82" s="24">
        <f>F82/1000000</f>
        <v>108.53701981</v>
      </c>
      <c r="T82" s="24">
        <f t="shared" si="41"/>
        <v>472.12788033999999</v>
      </c>
      <c r="U82" s="24">
        <f t="shared" si="41"/>
        <v>451.67342283000005</v>
      </c>
      <c r="V82" s="24">
        <f>I82/1000000</f>
        <v>3837.6744255600001</v>
      </c>
      <c r="W82" s="24">
        <f t="shared" si="42"/>
        <v>3590.86051933</v>
      </c>
      <c r="X82" s="24">
        <f>L82/1000000</f>
        <v>629.96094369000002</v>
      </c>
      <c r="Y82" s="24">
        <f>M82/1000000</f>
        <v>90.49934918000001</v>
      </c>
      <c r="Z82" s="24">
        <f t="shared" si="43"/>
        <v>450.71959966000003</v>
      </c>
      <c r="AA82" s="24">
        <f t="shared" si="43"/>
        <v>434.60254128000003</v>
      </c>
      <c r="AB82" s="24">
        <f>V82/P82%</f>
        <v>98.602631115181822</v>
      </c>
      <c r="AC82" s="24">
        <f t="shared" si="44"/>
        <v>99.745885495977348</v>
      </c>
      <c r="AD82" s="24">
        <f>X82/R82%</f>
        <v>92.055832771391593</v>
      </c>
      <c r="AE82" s="24">
        <f>Y82/S82%</f>
        <v>83.381089086860939</v>
      </c>
      <c r="AF82" s="24">
        <f t="shared" si="40"/>
        <v>95.46557583835488</v>
      </c>
      <c r="AG82" s="26">
        <f t="shared" si="40"/>
        <v>96.220525564014608</v>
      </c>
      <c r="AH82" s="208"/>
    </row>
    <row r="83" spans="1:34" s="120" customFormat="1" hidden="1" x14ac:dyDescent="0.25">
      <c r="A83" s="114" t="s">
        <v>95</v>
      </c>
      <c r="B83" s="127">
        <v>271</v>
      </c>
      <c r="C83" s="127">
        <v>740286113.28999996</v>
      </c>
      <c r="D83" s="127">
        <v>392272915.82999998</v>
      </c>
      <c r="E83" s="116">
        <f>F83+G83+H83</f>
        <v>348013468.45999998</v>
      </c>
      <c r="F83" s="127"/>
      <c r="G83" s="127">
        <v>347163468.45999998</v>
      </c>
      <c r="H83" s="127">
        <v>850000</v>
      </c>
      <c r="I83" s="127"/>
      <c r="J83" s="127">
        <v>729007583.88999999</v>
      </c>
      <c r="K83" s="127">
        <v>383147037.45999998</v>
      </c>
      <c r="L83" s="116">
        <f>M83+N83+O83</f>
        <v>345860546.43000001</v>
      </c>
      <c r="M83" s="127"/>
      <c r="N83" s="127">
        <v>345010546.43000001</v>
      </c>
      <c r="O83" s="127">
        <v>850000</v>
      </c>
      <c r="P83" s="117"/>
      <c r="Q83" s="117">
        <f t="shared" si="38"/>
        <v>392.27291582999999</v>
      </c>
      <c r="R83" s="117"/>
      <c r="S83" s="117"/>
      <c r="T83" s="117">
        <f t="shared" si="41"/>
        <v>347.16346845999999</v>
      </c>
      <c r="U83" s="117">
        <f t="shared" si="41"/>
        <v>0.85</v>
      </c>
      <c r="V83" s="117"/>
      <c r="W83" s="117">
        <f t="shared" si="42"/>
        <v>383.14703745999998</v>
      </c>
      <c r="X83" s="117"/>
      <c r="Y83" s="117"/>
      <c r="Z83" s="117">
        <f t="shared" si="43"/>
        <v>345.01054643000003</v>
      </c>
      <c r="AA83" s="117">
        <f t="shared" si="43"/>
        <v>0.85</v>
      </c>
      <c r="AB83" s="117"/>
      <c r="AC83" s="117">
        <f t="shared" si="44"/>
        <v>97.673589482799045</v>
      </c>
      <c r="AD83" s="117"/>
      <c r="AE83" s="117"/>
      <c r="AF83" s="117">
        <f t="shared" si="40"/>
        <v>99.379853519856169</v>
      </c>
      <c r="AG83" s="119">
        <f t="shared" si="40"/>
        <v>99.999999999999986</v>
      </c>
      <c r="AH83" s="216"/>
    </row>
    <row r="84" spans="1:34" x14ac:dyDescent="0.25">
      <c r="A84" s="104" t="s">
        <v>106</v>
      </c>
      <c r="B84" s="125">
        <v>772752583.61000001</v>
      </c>
      <c r="C84" s="125">
        <v>24490675.989999998</v>
      </c>
      <c r="D84" s="125">
        <v>16301059.029999999</v>
      </c>
      <c r="E84" s="103">
        <f>F84+G84+H84-E85</f>
        <v>772752583.61000001</v>
      </c>
      <c r="F84" s="125">
        <v>564585097.57000005</v>
      </c>
      <c r="G84" s="125">
        <v>13162330.529999999</v>
      </c>
      <c r="H84" s="125">
        <v>203194772.47</v>
      </c>
      <c r="I84" s="125">
        <v>746838420.14999998</v>
      </c>
      <c r="J84" s="125">
        <v>23851909.460000001</v>
      </c>
      <c r="K84" s="125">
        <v>16091588.369999999</v>
      </c>
      <c r="L84" s="103">
        <f>M84+N84+O84-L85</f>
        <v>746838420.14999998</v>
      </c>
      <c r="M84" s="125">
        <v>556592446.25</v>
      </c>
      <c r="N84" s="125">
        <v>11684511.91</v>
      </c>
      <c r="O84" s="125">
        <v>186321783.07999998</v>
      </c>
      <c r="P84" s="24">
        <f>B84/1000000</f>
        <v>772.75258360999999</v>
      </c>
      <c r="Q84" s="24">
        <f t="shared" si="38"/>
        <v>16.301059029999998</v>
      </c>
      <c r="R84" s="24">
        <f>E84/1000000</f>
        <v>772.75258360999999</v>
      </c>
      <c r="S84" s="24">
        <f>F84/1000000</f>
        <v>564.58509757000002</v>
      </c>
      <c r="T84" s="24">
        <f t="shared" si="41"/>
        <v>13.16233053</v>
      </c>
      <c r="U84" s="24">
        <f t="shared" si="41"/>
        <v>203.19477247</v>
      </c>
      <c r="V84" s="24">
        <f>I84/1000000</f>
        <v>746.83842014999993</v>
      </c>
      <c r="W84" s="24">
        <f t="shared" si="42"/>
        <v>16.09158837</v>
      </c>
      <c r="X84" s="24">
        <f>L84/1000000</f>
        <v>746.83842014999993</v>
      </c>
      <c r="Y84" s="24">
        <f>M84/1000000</f>
        <v>556.59244624999997</v>
      </c>
      <c r="Z84" s="24">
        <f t="shared" si="43"/>
        <v>11.684511909999999</v>
      </c>
      <c r="AA84" s="24">
        <f t="shared" si="43"/>
        <v>186.32178307999999</v>
      </c>
      <c r="AB84" s="24">
        <f>V84/P84%</f>
        <v>96.646512220128841</v>
      </c>
      <c r="AC84" s="24">
        <f t="shared" si="44"/>
        <v>98.714987415145885</v>
      </c>
      <c r="AD84" s="24">
        <f>X84/R84%</f>
        <v>96.646512220128841</v>
      </c>
      <c r="AE84" s="24">
        <f>Y84/S84%</f>
        <v>98.584331865222666</v>
      </c>
      <c r="AF84" s="24">
        <f t="shared" si="40"/>
        <v>88.772363551943101</v>
      </c>
      <c r="AG84" s="26">
        <f t="shared" si="40"/>
        <v>91.696149864046731</v>
      </c>
      <c r="AH84" s="208"/>
    </row>
    <row r="85" spans="1:34" s="120" customFormat="1" hidden="1" x14ac:dyDescent="0.25">
      <c r="A85" s="114" t="s">
        <v>95</v>
      </c>
      <c r="B85" s="127"/>
      <c r="C85" s="127">
        <v>24490675.989999998</v>
      </c>
      <c r="D85" s="127">
        <v>16301059.029999999</v>
      </c>
      <c r="E85" s="109">
        <f>F85+G85+H85</f>
        <v>8189616.96</v>
      </c>
      <c r="F85" s="127"/>
      <c r="G85" s="127">
        <v>8013616.96</v>
      </c>
      <c r="H85" s="127">
        <v>176000</v>
      </c>
      <c r="I85" s="127"/>
      <c r="J85" s="127">
        <v>23851909.460000001</v>
      </c>
      <c r="K85" s="127">
        <v>16091588.369999999</v>
      </c>
      <c r="L85" s="109">
        <f>M85+N85+O85</f>
        <v>7760321.0899999999</v>
      </c>
      <c r="M85" s="127"/>
      <c r="N85" s="127">
        <v>7584321.0899999999</v>
      </c>
      <c r="O85" s="127">
        <v>176000</v>
      </c>
      <c r="P85" s="117"/>
      <c r="Q85" s="117">
        <f t="shared" si="38"/>
        <v>16.301059029999998</v>
      </c>
      <c r="R85" s="117"/>
      <c r="S85" s="117"/>
      <c r="T85" s="117">
        <f t="shared" si="41"/>
        <v>8.0136169600000002</v>
      </c>
      <c r="U85" s="117">
        <f t="shared" si="41"/>
        <v>0.17599999999999999</v>
      </c>
      <c r="V85" s="117"/>
      <c r="W85" s="117">
        <f t="shared" si="42"/>
        <v>16.09158837</v>
      </c>
      <c r="X85" s="117"/>
      <c r="Y85" s="117"/>
      <c r="Z85" s="117">
        <f t="shared" si="43"/>
        <v>7.5843210899999995</v>
      </c>
      <c r="AA85" s="117">
        <f t="shared" si="43"/>
        <v>0.17599999999999999</v>
      </c>
      <c r="AB85" s="117"/>
      <c r="AC85" s="117">
        <f t="shared" si="44"/>
        <v>98.714987415145885</v>
      </c>
      <c r="AD85" s="117"/>
      <c r="AE85" s="117"/>
      <c r="AF85" s="117">
        <f t="shared" si="40"/>
        <v>94.642920017978994</v>
      </c>
      <c r="AG85" s="119">
        <f t="shared" si="40"/>
        <v>100</v>
      </c>
      <c r="AH85" s="216"/>
    </row>
    <row r="86" spans="1:34" ht="26.4" x14ac:dyDescent="0.25">
      <c r="A86" s="104" t="s">
        <v>107</v>
      </c>
      <c r="B86" s="125">
        <v>303868435.07999998</v>
      </c>
      <c r="C86" s="125">
        <v>2363120.46</v>
      </c>
      <c r="D86" s="125">
        <v>54638900</v>
      </c>
      <c r="E86" s="103">
        <f>F86+G86+H86-E87</f>
        <v>250629535.07999998</v>
      </c>
      <c r="F86" s="125">
        <v>219170270.03</v>
      </c>
      <c r="G86" s="125">
        <v>13793335.51</v>
      </c>
      <c r="H86" s="125">
        <v>18629050</v>
      </c>
      <c r="I86" s="125">
        <v>295082713.79000002</v>
      </c>
      <c r="J86" s="125">
        <v>2363120.46</v>
      </c>
      <c r="K86" s="125">
        <v>54516261.590000004</v>
      </c>
      <c r="L86" s="103">
        <f>M86+N86+O86-L87</f>
        <v>241966452.19999999</v>
      </c>
      <c r="M86" s="125">
        <v>210918120.78999999</v>
      </c>
      <c r="N86" s="125">
        <v>13742124.189999999</v>
      </c>
      <c r="O86" s="125">
        <v>18269327.68</v>
      </c>
      <c r="P86" s="24">
        <f>B86/1000000</f>
        <v>303.86843507999998</v>
      </c>
      <c r="Q86" s="24">
        <f t="shared" si="38"/>
        <v>54.6389</v>
      </c>
      <c r="R86" s="24">
        <f>E86/1000000</f>
        <v>250.62953507999998</v>
      </c>
      <c r="S86" s="24">
        <f>F86/1000000</f>
        <v>219.17027003000001</v>
      </c>
      <c r="T86" s="24">
        <f t="shared" si="41"/>
        <v>13.79333551</v>
      </c>
      <c r="U86" s="24">
        <f t="shared" si="41"/>
        <v>18.629049999999999</v>
      </c>
      <c r="V86" s="24">
        <f>I86/1000000</f>
        <v>295.08271379000001</v>
      </c>
      <c r="W86" s="24">
        <f t="shared" si="42"/>
        <v>54.516261590000006</v>
      </c>
      <c r="X86" s="24">
        <f>L86/1000000</f>
        <v>241.96645219999999</v>
      </c>
      <c r="Y86" s="24">
        <f>M86/1000000</f>
        <v>210.91812078999999</v>
      </c>
      <c r="Z86" s="24">
        <f t="shared" si="43"/>
        <v>13.74212419</v>
      </c>
      <c r="AA86" s="24">
        <f t="shared" si="43"/>
        <v>18.26932768</v>
      </c>
      <c r="AB86" s="24">
        <f>V86/P86%</f>
        <v>97.108708810875029</v>
      </c>
      <c r="AC86" s="24">
        <f t="shared" si="44"/>
        <v>99.775547439644654</v>
      </c>
      <c r="AD86" s="24">
        <f>X86/R86%</f>
        <v>96.543470873361045</v>
      </c>
      <c r="AE86" s="24">
        <f>Y86/S86%</f>
        <v>96.234822707080454</v>
      </c>
      <c r="AF86" s="24">
        <f t="shared" si="40"/>
        <v>99.628724176520805</v>
      </c>
      <c r="AG86" s="26">
        <f t="shared" si="40"/>
        <v>98.069024883179765</v>
      </c>
      <c r="AH86" s="208"/>
    </row>
    <row r="87" spans="1:34" s="120" customFormat="1" hidden="1" x14ac:dyDescent="0.25">
      <c r="A87" s="114" t="s">
        <v>95</v>
      </c>
      <c r="B87" s="127"/>
      <c r="C87" s="127">
        <v>2363120.46</v>
      </c>
      <c r="D87" s="127">
        <v>1400000</v>
      </c>
      <c r="E87" s="109">
        <f>F87+G87+H87</f>
        <v>963120.46</v>
      </c>
      <c r="F87" s="127"/>
      <c r="G87" s="127">
        <v>963120.46</v>
      </c>
      <c r="H87" s="127">
        <v>0</v>
      </c>
      <c r="I87" s="127"/>
      <c r="J87" s="127">
        <v>2363120.46</v>
      </c>
      <c r="K87" s="127">
        <v>1400000</v>
      </c>
      <c r="L87" s="109">
        <f>M87+N87+O87</f>
        <v>963120.46</v>
      </c>
      <c r="M87" s="127"/>
      <c r="N87" s="127">
        <v>963120.46</v>
      </c>
      <c r="O87" s="127">
        <v>0</v>
      </c>
      <c r="P87" s="117"/>
      <c r="Q87" s="117">
        <f t="shared" si="38"/>
        <v>1.4</v>
      </c>
      <c r="R87" s="117"/>
      <c r="S87" s="117"/>
      <c r="T87" s="117">
        <f t="shared" si="41"/>
        <v>0.96312045999999996</v>
      </c>
      <c r="U87" s="117">
        <f t="shared" si="41"/>
        <v>0</v>
      </c>
      <c r="V87" s="117"/>
      <c r="W87" s="117">
        <f t="shared" si="42"/>
        <v>1.4</v>
      </c>
      <c r="X87" s="117"/>
      <c r="Y87" s="117"/>
      <c r="Z87" s="117">
        <f t="shared" si="43"/>
        <v>0.96312045999999996</v>
      </c>
      <c r="AA87" s="117">
        <f t="shared" si="43"/>
        <v>0</v>
      </c>
      <c r="AB87" s="117"/>
      <c r="AC87" s="117"/>
      <c r="AD87" s="117"/>
      <c r="AE87" s="117"/>
      <c r="AF87" s="24"/>
      <c r="AG87" s="26" t="e">
        <f t="shared" si="40"/>
        <v>#DIV/0!</v>
      </c>
      <c r="AH87" s="208"/>
    </row>
    <row r="88" spans="1:34" s="33" customFormat="1" x14ac:dyDescent="0.25">
      <c r="A88" s="101" t="s">
        <v>108</v>
      </c>
      <c r="B88" s="28">
        <v>74558175.280000001</v>
      </c>
      <c r="C88" s="28"/>
      <c r="D88" s="28">
        <v>66271050.060000002</v>
      </c>
      <c r="E88" s="103">
        <f>F88+G88+H88-E89</f>
        <v>8287125.2199999997</v>
      </c>
      <c r="F88" s="28">
        <v>7473956.0599999996</v>
      </c>
      <c r="G88" s="28">
        <v>813169.16</v>
      </c>
      <c r="H88" s="28">
        <v>0</v>
      </c>
      <c r="I88" s="28">
        <v>73582182.590000004</v>
      </c>
      <c r="J88" s="28"/>
      <c r="K88" s="28">
        <v>65928667.810000002</v>
      </c>
      <c r="L88" s="103">
        <f>M88+N88+O88-L89</f>
        <v>7653514.7800000003</v>
      </c>
      <c r="M88" s="28">
        <v>7042180.9800000004</v>
      </c>
      <c r="N88" s="28">
        <v>611333.80000000005</v>
      </c>
      <c r="O88" s="28">
        <v>0</v>
      </c>
      <c r="P88" s="30">
        <f t="shared" si="32"/>
        <v>74.55817528</v>
      </c>
      <c r="Q88" s="30">
        <f t="shared" si="38"/>
        <v>66.271050060000007</v>
      </c>
      <c r="R88" s="30">
        <f>E88/1000000</f>
        <v>8.2871252200000001</v>
      </c>
      <c r="S88" s="30">
        <f>F88/1000000</f>
        <v>7.4739560599999999</v>
      </c>
      <c r="T88" s="30">
        <f t="shared" si="35"/>
        <v>0.81316916000000006</v>
      </c>
      <c r="U88" s="30">
        <f t="shared" si="35"/>
        <v>0</v>
      </c>
      <c r="V88" s="30">
        <f t="shared" si="35"/>
        <v>73.582182590000002</v>
      </c>
      <c r="W88" s="30">
        <f t="shared" si="30"/>
        <v>65.928667810000007</v>
      </c>
      <c r="X88" s="30">
        <f>L88/1000000</f>
        <v>7.6535147800000001</v>
      </c>
      <c r="Y88" s="30">
        <f>M88/1000000</f>
        <v>7.0421809800000004</v>
      </c>
      <c r="Z88" s="30">
        <f t="shared" si="30"/>
        <v>0.61133380000000004</v>
      </c>
      <c r="AA88" s="30">
        <f t="shared" si="30"/>
        <v>0</v>
      </c>
      <c r="AB88" s="30">
        <f>V88/P88%</f>
        <v>98.690964892401524</v>
      </c>
      <c r="AC88" s="30">
        <f t="shared" si="39"/>
        <v>99.483360759049376</v>
      </c>
      <c r="AD88" s="30">
        <f>X88/R88%</f>
        <v>92.354279401126277</v>
      </c>
      <c r="AE88" s="30">
        <f>Y88/S88%</f>
        <v>94.222937938974184</v>
      </c>
      <c r="AF88" s="30">
        <f>Z88/T88%</f>
        <v>75.179166902984861</v>
      </c>
      <c r="AG88" s="129" t="s">
        <v>64</v>
      </c>
      <c r="AH88" s="209"/>
    </row>
    <row r="89" spans="1:34" hidden="1" x14ac:dyDescent="0.25">
      <c r="A89" s="104" t="s">
        <v>89</v>
      </c>
      <c r="B89" s="128"/>
      <c r="C89" s="128"/>
      <c r="D89" s="128"/>
      <c r="E89" s="109">
        <f>F89+G89+H89</f>
        <v>0</v>
      </c>
      <c r="F89" s="128"/>
      <c r="G89" s="128"/>
      <c r="H89" s="128"/>
      <c r="I89" s="128"/>
      <c r="J89" s="128"/>
      <c r="K89" s="128"/>
      <c r="L89" s="109">
        <f>M89+N89+O89</f>
        <v>0</v>
      </c>
      <c r="M89" s="128"/>
      <c r="N89" s="128"/>
      <c r="O89" s="128"/>
      <c r="P89" s="24"/>
      <c r="Q89" s="24">
        <f t="shared" si="38"/>
        <v>0</v>
      </c>
      <c r="R89" s="24"/>
      <c r="S89" s="24"/>
      <c r="T89" s="24">
        <f t="shared" si="35"/>
        <v>0</v>
      </c>
      <c r="U89" s="24"/>
      <c r="V89" s="24"/>
      <c r="W89" s="24">
        <f t="shared" si="30"/>
        <v>0</v>
      </c>
      <c r="X89" s="24"/>
      <c r="Y89" s="24"/>
      <c r="Z89" s="24">
        <f t="shared" si="30"/>
        <v>0</v>
      </c>
      <c r="AA89" s="24"/>
      <c r="AB89" s="24"/>
      <c r="AC89" s="24"/>
      <c r="AD89" s="30"/>
      <c r="AE89" s="30"/>
      <c r="AF89" s="24" t="e">
        <f t="shared" ref="AF89:AG94" si="45">Z89/T89%</f>
        <v>#DIV/0!</v>
      </c>
      <c r="AG89" s="31"/>
      <c r="AH89" s="209"/>
    </row>
    <row r="90" spans="1:34" s="33" customFormat="1" x14ac:dyDescent="0.25">
      <c r="A90" s="101" t="s">
        <v>109</v>
      </c>
      <c r="B90" s="28">
        <v>24834459959.299999</v>
      </c>
      <c r="C90" s="28">
        <v>12827717039.690001</v>
      </c>
      <c r="D90" s="28">
        <v>17605514147.029999</v>
      </c>
      <c r="E90" s="103">
        <f>F90+G90+H90-E91</f>
        <v>20056014434.43</v>
      </c>
      <c r="F90" s="28">
        <v>10673143396.15</v>
      </c>
      <c r="G90" s="28">
        <v>9381704254.3899994</v>
      </c>
      <c r="H90" s="28">
        <v>1815201.4200000002</v>
      </c>
      <c r="I90" s="28">
        <v>24705522260.27</v>
      </c>
      <c r="J90" s="28">
        <v>12819536588.85</v>
      </c>
      <c r="K90" s="28">
        <v>17570275951.41</v>
      </c>
      <c r="L90" s="103">
        <f>M90+N90+O90-L91</f>
        <v>19954134480.180004</v>
      </c>
      <c r="M90" s="28">
        <v>10622683176.290001</v>
      </c>
      <c r="N90" s="28">
        <v>9330327493.3999996</v>
      </c>
      <c r="O90" s="28">
        <v>1772228.02</v>
      </c>
      <c r="P90" s="30">
        <f t="shared" si="32"/>
        <v>24834.459959299998</v>
      </c>
      <c r="Q90" s="30">
        <f t="shared" si="38"/>
        <v>17605.51414703</v>
      </c>
      <c r="R90" s="30">
        <f>E90/1000000</f>
        <v>20056.014434429999</v>
      </c>
      <c r="S90" s="30">
        <f>F90/1000000</f>
        <v>10673.143396149999</v>
      </c>
      <c r="T90" s="30">
        <f t="shared" si="35"/>
        <v>9381.7042543899988</v>
      </c>
      <c r="U90" s="30">
        <f t="shared" si="35"/>
        <v>1.8152014200000002</v>
      </c>
      <c r="V90" s="30">
        <f t="shared" si="35"/>
        <v>24705.522260270001</v>
      </c>
      <c r="W90" s="30">
        <f t="shared" si="30"/>
        <v>17570.27595141</v>
      </c>
      <c r="X90" s="30">
        <f>L90/1000000</f>
        <v>19954.134480180004</v>
      </c>
      <c r="Y90" s="30">
        <f>M90/1000000</f>
        <v>10622.68317629</v>
      </c>
      <c r="Z90" s="30">
        <f t="shared" si="30"/>
        <v>9330.3274934000001</v>
      </c>
      <c r="AA90" s="30">
        <f t="shared" si="30"/>
        <v>1.77222802</v>
      </c>
      <c r="AB90" s="30">
        <f t="shared" ref="AB90:AB107" si="46">V90/P90%</f>
        <v>99.480811343426396</v>
      </c>
      <c r="AC90" s="30">
        <f t="shared" si="39"/>
        <v>99.799845688539875</v>
      </c>
      <c r="AD90" s="30">
        <f>X90/R90%</f>
        <v>99.492022931160747</v>
      </c>
      <c r="AE90" s="30">
        <f>Y90/S90%</f>
        <v>99.527222506181261</v>
      </c>
      <c r="AF90" s="30">
        <f t="shared" si="45"/>
        <v>99.452372835500995</v>
      </c>
      <c r="AG90" s="31">
        <f>AA90/U90%</f>
        <v>97.632582283898827</v>
      </c>
      <c r="AH90" s="209"/>
    </row>
    <row r="91" spans="1:34" hidden="1" x14ac:dyDescent="0.25">
      <c r="A91" s="104" t="s">
        <v>89</v>
      </c>
      <c r="B91" s="128">
        <v>66.5</v>
      </c>
      <c r="C91" s="128">
        <v>12827717039.690001</v>
      </c>
      <c r="D91" s="128">
        <v>12827068688.66</v>
      </c>
      <c r="E91" s="109">
        <f>F91+G91+H91</f>
        <v>648417.53</v>
      </c>
      <c r="F91" s="128">
        <v>0</v>
      </c>
      <c r="G91" s="128">
        <v>619000</v>
      </c>
      <c r="H91" s="128">
        <v>29417.53</v>
      </c>
      <c r="I91" s="128">
        <v>0</v>
      </c>
      <c r="J91" s="128">
        <v>12819536588.85</v>
      </c>
      <c r="K91" s="128">
        <v>12818888171.320002</v>
      </c>
      <c r="L91" s="109">
        <f>M91+N91+O91</f>
        <v>648417.53</v>
      </c>
      <c r="M91" s="128">
        <v>0</v>
      </c>
      <c r="N91" s="128">
        <v>619000</v>
      </c>
      <c r="O91" s="128">
        <v>29417.53</v>
      </c>
      <c r="P91" s="24">
        <f t="shared" si="32"/>
        <v>6.6500000000000004E-5</v>
      </c>
      <c r="Q91" s="24">
        <f t="shared" si="38"/>
        <v>12827.06868866</v>
      </c>
      <c r="R91" s="30"/>
      <c r="S91" s="24"/>
      <c r="T91" s="24">
        <f t="shared" si="35"/>
        <v>0.61899999999999999</v>
      </c>
      <c r="U91" s="24">
        <f t="shared" si="35"/>
        <v>2.9417529999999997E-2</v>
      </c>
      <c r="V91" s="24">
        <f t="shared" si="35"/>
        <v>0</v>
      </c>
      <c r="W91" s="24">
        <f t="shared" si="30"/>
        <v>12818.888171320001</v>
      </c>
      <c r="X91" s="24"/>
      <c r="Y91" s="24"/>
      <c r="Z91" s="24">
        <f t="shared" si="30"/>
        <v>0.61899999999999999</v>
      </c>
      <c r="AA91" s="24">
        <f t="shared" si="30"/>
        <v>2.9417529999999997E-2</v>
      </c>
      <c r="AB91" s="24">
        <f t="shared" si="46"/>
        <v>0</v>
      </c>
      <c r="AC91" s="24">
        <f t="shared" si="39"/>
        <v>99.936224576802715</v>
      </c>
      <c r="AD91" s="24"/>
      <c r="AE91" s="24"/>
      <c r="AF91" s="24">
        <f t="shared" si="45"/>
        <v>100</v>
      </c>
      <c r="AG91" s="31"/>
      <c r="AH91" s="209"/>
    </row>
    <row r="92" spans="1:34" s="33" customFormat="1" x14ac:dyDescent="0.25">
      <c r="A92" s="101" t="s">
        <v>110</v>
      </c>
      <c r="B92" s="28">
        <v>2594322012.46</v>
      </c>
      <c r="C92" s="28">
        <v>162955700.75999999</v>
      </c>
      <c r="D92" s="28">
        <v>842141314.89999998</v>
      </c>
      <c r="E92" s="103">
        <f>F92+G92+H92-E93</f>
        <v>1824292082.0100002</v>
      </c>
      <c r="F92" s="28">
        <v>713588245.97000003</v>
      </c>
      <c r="G92" s="28">
        <v>824767805.12</v>
      </c>
      <c r="H92" s="28">
        <v>376780347.23000002</v>
      </c>
      <c r="I92" s="28">
        <v>2522395823.52</v>
      </c>
      <c r="J92" s="28">
        <v>161704008.91999999</v>
      </c>
      <c r="K92" s="28">
        <v>840173774.35000002</v>
      </c>
      <c r="L92" s="103">
        <f>M92+N92+O92-L93</f>
        <v>1754248432.1699998</v>
      </c>
      <c r="M92" s="28">
        <v>711863273.55999994</v>
      </c>
      <c r="N92" s="28">
        <v>769545772.23000002</v>
      </c>
      <c r="O92" s="28">
        <v>362517012.30000001</v>
      </c>
      <c r="P92" s="30">
        <f t="shared" si="32"/>
        <v>2594.3220124600002</v>
      </c>
      <c r="Q92" s="30">
        <f t="shared" si="38"/>
        <v>842.1413149</v>
      </c>
      <c r="R92" s="30">
        <f>E92/1000000</f>
        <v>1824.2920820100003</v>
      </c>
      <c r="S92" s="30">
        <f>F92/1000000</f>
        <v>713.58824597</v>
      </c>
      <c r="T92" s="30">
        <f t="shared" si="35"/>
        <v>824.76780512000005</v>
      </c>
      <c r="U92" s="30">
        <f t="shared" si="35"/>
        <v>376.78034723000002</v>
      </c>
      <c r="V92" s="30">
        <f t="shared" si="35"/>
        <v>2522.3958235199998</v>
      </c>
      <c r="W92" s="30">
        <f t="shared" si="30"/>
        <v>840.17377435000003</v>
      </c>
      <c r="X92" s="30">
        <f>L92/1000000</f>
        <v>1754.2484321699999</v>
      </c>
      <c r="Y92" s="30">
        <f>M92/1000000</f>
        <v>711.86327355999993</v>
      </c>
      <c r="Z92" s="30">
        <f t="shared" si="30"/>
        <v>769.54577223000001</v>
      </c>
      <c r="AA92" s="30">
        <f t="shared" si="30"/>
        <v>362.51701230000003</v>
      </c>
      <c r="AB92" s="30">
        <f t="shared" si="46"/>
        <v>97.227553534428125</v>
      </c>
      <c r="AC92" s="30">
        <f t="shared" si="39"/>
        <v>99.766364561957928</v>
      </c>
      <c r="AD92" s="30">
        <f>X92/R92%</f>
        <v>96.160502447457503</v>
      </c>
      <c r="AE92" s="30">
        <f>Y92/S92%</f>
        <v>99.758267821850779</v>
      </c>
      <c r="AF92" s="30">
        <f t="shared" si="45"/>
        <v>93.304535828485015</v>
      </c>
      <c r="AG92" s="31">
        <f>AA92/U92%</f>
        <v>96.214416427273704</v>
      </c>
      <c r="AH92" s="209"/>
    </row>
    <row r="93" spans="1:34" hidden="1" x14ac:dyDescent="0.25">
      <c r="A93" s="104" t="s">
        <v>89</v>
      </c>
      <c r="B93" s="128">
        <v>0</v>
      </c>
      <c r="C93" s="128">
        <v>162955700.75999999</v>
      </c>
      <c r="D93" s="128">
        <v>72111384.450000003</v>
      </c>
      <c r="E93" s="109">
        <f>F93+G93+H93</f>
        <v>90844316.310000002</v>
      </c>
      <c r="F93" s="128">
        <v>0</v>
      </c>
      <c r="G93" s="128">
        <v>13595185.73</v>
      </c>
      <c r="H93" s="128">
        <v>77249130.579999998</v>
      </c>
      <c r="I93" s="128">
        <v>0</v>
      </c>
      <c r="J93" s="128">
        <v>161704008.91999999</v>
      </c>
      <c r="K93" s="128">
        <v>72026383</v>
      </c>
      <c r="L93" s="109">
        <f>M93+N93+O93</f>
        <v>89677625.920000002</v>
      </c>
      <c r="M93" s="128">
        <v>0</v>
      </c>
      <c r="N93" s="128">
        <v>13260533.73</v>
      </c>
      <c r="O93" s="128">
        <v>76417092.189999998</v>
      </c>
      <c r="P93" s="24">
        <f t="shared" si="32"/>
        <v>0</v>
      </c>
      <c r="Q93" s="24">
        <f t="shared" si="38"/>
        <v>72.111384450000003</v>
      </c>
      <c r="R93" s="24"/>
      <c r="S93" s="24"/>
      <c r="T93" s="24">
        <f t="shared" si="35"/>
        <v>13.595185730000001</v>
      </c>
      <c r="U93" s="24">
        <f t="shared" si="35"/>
        <v>77.249130579999999</v>
      </c>
      <c r="V93" s="24"/>
      <c r="W93" s="24">
        <f t="shared" si="30"/>
        <v>72.026382999999996</v>
      </c>
      <c r="X93" s="24"/>
      <c r="Y93" s="24"/>
      <c r="Z93" s="24">
        <f t="shared" si="30"/>
        <v>13.260533730000001</v>
      </c>
      <c r="AA93" s="24">
        <f t="shared" si="30"/>
        <v>76.417092189999991</v>
      </c>
      <c r="AB93" s="24"/>
      <c r="AC93" s="24">
        <f t="shared" si="39"/>
        <v>99.882124784251033</v>
      </c>
      <c r="AD93" s="24"/>
      <c r="AE93" s="24"/>
      <c r="AF93" s="24">
        <f t="shared" si="45"/>
        <v>97.538452165007683</v>
      </c>
      <c r="AG93" s="31">
        <f t="shared" si="45"/>
        <v>98.92291552830055</v>
      </c>
      <c r="AH93" s="209"/>
    </row>
    <row r="94" spans="1:34" s="33" customFormat="1" x14ac:dyDescent="0.25">
      <c r="A94" s="101" t="s">
        <v>111</v>
      </c>
      <c r="B94" s="28">
        <v>12547202424.42</v>
      </c>
      <c r="C94" s="28"/>
      <c r="D94" s="28">
        <v>12546883208.959999</v>
      </c>
      <c r="E94" s="103">
        <f>F94+G94+H94-E95</f>
        <v>319215.46000000002</v>
      </c>
      <c r="F94" s="28">
        <v>61715.46</v>
      </c>
      <c r="G94" s="28">
        <v>257500</v>
      </c>
      <c r="H94" s="28">
        <v>0</v>
      </c>
      <c r="I94" s="28">
        <v>12541454742.709999</v>
      </c>
      <c r="J94" s="28"/>
      <c r="K94" s="28">
        <v>12541335527.25</v>
      </c>
      <c r="L94" s="103">
        <f>M94+N94+O94-L95</f>
        <v>119215.45999999999</v>
      </c>
      <c r="M94" s="28">
        <v>61715.46</v>
      </c>
      <c r="N94" s="28">
        <v>57500</v>
      </c>
      <c r="O94" s="28">
        <v>0</v>
      </c>
      <c r="P94" s="30">
        <f t="shared" si="32"/>
        <v>12547.20242442</v>
      </c>
      <c r="Q94" s="30">
        <f t="shared" si="38"/>
        <v>12546.883208959998</v>
      </c>
      <c r="R94" s="30">
        <f>E94/1000000</f>
        <v>0.31921546000000001</v>
      </c>
      <c r="S94" s="30">
        <f>F94/1000000</f>
        <v>6.171546E-2</v>
      </c>
      <c r="T94" s="30">
        <f>G94/1000000</f>
        <v>0.25750000000000001</v>
      </c>
      <c r="U94" s="30">
        <f>H94/1000000</f>
        <v>0</v>
      </c>
      <c r="V94" s="30">
        <f t="shared" si="35"/>
        <v>12541.454742709999</v>
      </c>
      <c r="W94" s="30">
        <f t="shared" si="30"/>
        <v>12541.335527249999</v>
      </c>
      <c r="X94" s="30">
        <f t="shared" si="30"/>
        <v>0.11921546</v>
      </c>
      <c r="Y94" s="30">
        <f t="shared" si="30"/>
        <v>6.171546E-2</v>
      </c>
      <c r="Z94" s="30">
        <f t="shared" si="30"/>
        <v>5.7500000000000002E-2</v>
      </c>
      <c r="AA94" s="30">
        <f t="shared" si="30"/>
        <v>0</v>
      </c>
      <c r="AB94" s="30">
        <f t="shared" si="46"/>
        <v>99.954191527994993</v>
      </c>
      <c r="AC94" s="30">
        <f t="shared" si="39"/>
        <v>99.955784383917461</v>
      </c>
      <c r="AD94" s="30">
        <f>X94/R94%</f>
        <v>37.346392934728158</v>
      </c>
      <c r="AE94" s="30">
        <f>Y94/S94%</f>
        <v>100</v>
      </c>
      <c r="AF94" s="30">
        <f t="shared" si="45"/>
        <v>22.33009708737864</v>
      </c>
      <c r="AG94" s="129" t="s">
        <v>64</v>
      </c>
      <c r="AH94" s="217"/>
    </row>
    <row r="95" spans="1:34" hidden="1" x14ac:dyDescent="0.25">
      <c r="A95" s="104" t="s">
        <v>89</v>
      </c>
      <c r="B95" s="125"/>
      <c r="C95" s="125"/>
      <c r="D95" s="125"/>
      <c r="E95" s="109">
        <f>F95+G95+H95</f>
        <v>0</v>
      </c>
      <c r="F95" s="130"/>
      <c r="G95" s="131"/>
      <c r="H95" s="131"/>
      <c r="I95" s="131"/>
      <c r="J95" s="131"/>
      <c r="K95" s="131"/>
      <c r="L95" s="109">
        <f>M95+N95+O95</f>
        <v>0</v>
      </c>
      <c r="M95" s="125"/>
      <c r="N95" s="125"/>
      <c r="O95" s="125"/>
      <c r="P95" s="24">
        <v>0</v>
      </c>
      <c r="Q95" s="24">
        <f t="shared" si="38"/>
        <v>0</v>
      </c>
      <c r="R95" s="24"/>
      <c r="S95" s="24">
        <f t="shared" ref="R95:T96" si="47">F95/1000000</f>
        <v>0</v>
      </c>
      <c r="T95" s="24">
        <f t="shared" si="47"/>
        <v>0</v>
      </c>
      <c r="U95" s="24">
        <f>H95/1000000</f>
        <v>0</v>
      </c>
      <c r="V95" s="24">
        <f t="shared" si="35"/>
        <v>0</v>
      </c>
      <c r="W95" s="24">
        <f t="shared" si="30"/>
        <v>0</v>
      </c>
      <c r="X95" s="24"/>
      <c r="Y95" s="24">
        <f t="shared" si="30"/>
        <v>0</v>
      </c>
      <c r="Z95" s="24">
        <f t="shared" si="30"/>
        <v>0</v>
      </c>
      <c r="AA95" s="30">
        <f t="shared" si="30"/>
        <v>0</v>
      </c>
      <c r="AB95" s="24"/>
      <c r="AC95" s="24" t="e">
        <f t="shared" si="39"/>
        <v>#DIV/0!</v>
      </c>
      <c r="AD95" s="24"/>
      <c r="AE95" s="24"/>
      <c r="AF95" s="24"/>
      <c r="AG95" s="31"/>
      <c r="AH95" s="209"/>
    </row>
    <row r="96" spans="1:34" x14ac:dyDescent="0.25">
      <c r="A96" s="126" t="s">
        <v>112</v>
      </c>
      <c r="B96" s="111">
        <v>2327836814.0999999</v>
      </c>
      <c r="C96" s="111"/>
      <c r="D96" s="111">
        <v>2327836814.0999999</v>
      </c>
      <c r="E96" s="103">
        <f>F96+G96+H96</f>
        <v>0</v>
      </c>
      <c r="F96" s="111"/>
      <c r="G96" s="111"/>
      <c r="H96" s="111"/>
      <c r="I96" s="125">
        <v>2324168838.3699999</v>
      </c>
      <c r="J96" s="125"/>
      <c r="K96" s="125">
        <v>2324168838.3699999</v>
      </c>
      <c r="L96" s="103">
        <f>M96+N96+O96</f>
        <v>0</v>
      </c>
      <c r="M96" s="125"/>
      <c r="N96" s="125"/>
      <c r="O96" s="125"/>
      <c r="P96" s="24">
        <f>B96/1000000</f>
        <v>2327.8368141000001</v>
      </c>
      <c r="Q96" s="24">
        <f t="shared" si="38"/>
        <v>2327.8368141000001</v>
      </c>
      <c r="R96" s="24">
        <f t="shared" si="47"/>
        <v>0</v>
      </c>
      <c r="S96" s="24">
        <f t="shared" si="47"/>
        <v>0</v>
      </c>
      <c r="T96" s="24">
        <f t="shared" si="47"/>
        <v>0</v>
      </c>
      <c r="U96" s="24">
        <f>H96/1000000</f>
        <v>0</v>
      </c>
      <c r="V96" s="24">
        <f t="shared" si="35"/>
        <v>2324.1688383699998</v>
      </c>
      <c r="W96" s="24">
        <f t="shared" si="30"/>
        <v>2324.1688383699998</v>
      </c>
      <c r="X96" s="24">
        <f t="shared" si="30"/>
        <v>0</v>
      </c>
      <c r="Y96" s="24">
        <f t="shared" si="30"/>
        <v>0</v>
      </c>
      <c r="Z96" s="24">
        <f>N96/1000000</f>
        <v>0</v>
      </c>
      <c r="AA96" s="24">
        <f t="shared" si="30"/>
        <v>0</v>
      </c>
      <c r="AB96" s="24">
        <f t="shared" si="46"/>
        <v>99.842429859868915</v>
      </c>
      <c r="AC96" s="24">
        <f t="shared" si="39"/>
        <v>99.842429859868915</v>
      </c>
      <c r="AD96" s="47" t="s">
        <v>64</v>
      </c>
      <c r="AE96" s="47" t="s">
        <v>64</v>
      </c>
      <c r="AF96" s="47" t="s">
        <v>64</v>
      </c>
      <c r="AG96" s="42" t="s">
        <v>64</v>
      </c>
      <c r="AH96" s="212"/>
    </row>
    <row r="97" spans="1:34" x14ac:dyDescent="0.25">
      <c r="A97" s="126" t="s">
        <v>113</v>
      </c>
      <c r="B97" s="125">
        <v>1222242727</v>
      </c>
      <c r="C97" s="132"/>
      <c r="D97" s="111">
        <v>1222242727</v>
      </c>
      <c r="E97" s="103">
        <f>F97+G97+H97</f>
        <v>0</v>
      </c>
      <c r="F97" s="125"/>
      <c r="G97" s="125"/>
      <c r="H97" s="125"/>
      <c r="I97" s="111">
        <v>1222242727</v>
      </c>
      <c r="J97" s="111"/>
      <c r="K97" s="111">
        <v>1222242727</v>
      </c>
      <c r="L97" s="103">
        <f>M97+N97+O97</f>
        <v>0</v>
      </c>
      <c r="M97" s="111"/>
      <c r="N97" s="111"/>
      <c r="O97" s="111"/>
      <c r="P97" s="24">
        <f>B97/1000000</f>
        <v>1222.2427270000001</v>
      </c>
      <c r="Q97" s="24">
        <f t="shared" si="38"/>
        <v>1222.2427270000001</v>
      </c>
      <c r="R97" s="24">
        <f>E97/1000000</f>
        <v>0</v>
      </c>
      <c r="S97" s="24">
        <f>F97/1000000</f>
        <v>0</v>
      </c>
      <c r="T97" s="24">
        <f>G97/1000000</f>
        <v>0</v>
      </c>
      <c r="U97" s="24">
        <f>H97/1000000</f>
        <v>0</v>
      </c>
      <c r="V97" s="24">
        <f>I97/1000000</f>
        <v>1222.2427270000001</v>
      </c>
      <c r="W97" s="24">
        <f t="shared" si="30"/>
        <v>1222.2427270000001</v>
      </c>
      <c r="X97" s="24">
        <f>L97/1000000</f>
        <v>0</v>
      </c>
      <c r="Y97" s="24">
        <f>M97/1000000</f>
        <v>0</v>
      </c>
      <c r="Z97" s="24">
        <f>N97/1000000</f>
        <v>0</v>
      </c>
      <c r="AA97" s="24">
        <f t="shared" si="30"/>
        <v>0</v>
      </c>
      <c r="AB97" s="24">
        <f t="shared" si="46"/>
        <v>100</v>
      </c>
      <c r="AC97" s="24">
        <f t="shared" si="39"/>
        <v>100</v>
      </c>
      <c r="AD97" s="47" t="s">
        <v>64</v>
      </c>
      <c r="AE97" s="47" t="s">
        <v>64</v>
      </c>
      <c r="AF97" s="47" t="s">
        <v>64</v>
      </c>
      <c r="AG97" s="42" t="s">
        <v>64</v>
      </c>
      <c r="AH97" s="212"/>
    </row>
    <row r="98" spans="1:34" ht="13.95" customHeight="1" x14ac:dyDescent="0.25">
      <c r="A98" s="104" t="s">
        <v>114</v>
      </c>
      <c r="B98" s="111">
        <v>8647362383.3199997</v>
      </c>
      <c r="C98" s="111"/>
      <c r="D98" s="111">
        <v>8647043167.8600006</v>
      </c>
      <c r="E98" s="103">
        <f>F98+G98+H98-E99</f>
        <v>319215.46000000002</v>
      </c>
      <c r="F98" s="111">
        <v>61715.46</v>
      </c>
      <c r="G98" s="111">
        <v>257500</v>
      </c>
      <c r="H98" s="111">
        <v>0</v>
      </c>
      <c r="I98" s="111">
        <v>8645868710.3400002</v>
      </c>
      <c r="J98" s="111"/>
      <c r="K98" s="111">
        <v>8645749494.8799992</v>
      </c>
      <c r="L98" s="103">
        <f>M98+N98+O98-L99</f>
        <v>119215.45999999999</v>
      </c>
      <c r="M98" s="111">
        <v>61715.46</v>
      </c>
      <c r="N98" s="111">
        <v>57500</v>
      </c>
      <c r="O98" s="111">
        <v>0</v>
      </c>
      <c r="P98" s="24">
        <f t="shared" ref="P98:P119" si="48">B98/1000000</f>
        <v>8647.3623833199999</v>
      </c>
      <c r="Q98" s="24">
        <f t="shared" ref="Q98:V119" si="49">D98/1000000</f>
        <v>8647.0431678599998</v>
      </c>
      <c r="R98" s="24">
        <f>E98/1000000</f>
        <v>0.31921546000000001</v>
      </c>
      <c r="S98" s="24">
        <f>F98/1000000</f>
        <v>6.171546E-2</v>
      </c>
      <c r="T98" s="24">
        <f t="shared" ref="T98:V116" si="50">G98/1000000</f>
        <v>0.25750000000000001</v>
      </c>
      <c r="U98" s="24">
        <f>H98/1000000</f>
        <v>0</v>
      </c>
      <c r="V98" s="24">
        <f t="shared" ref="V98:V107" si="51">I98/1000000</f>
        <v>8645.8687103400007</v>
      </c>
      <c r="W98" s="24">
        <f>K98/1000000</f>
        <v>8645.7494948799995</v>
      </c>
      <c r="X98" s="24">
        <f>L98/1000000</f>
        <v>0.11921546</v>
      </c>
      <c r="Y98" s="24">
        <f>M98/1000000</f>
        <v>6.171546E-2</v>
      </c>
      <c r="Z98" s="24">
        <f t="shared" ref="Z98:AA117" si="52">N98/1000000</f>
        <v>5.7500000000000002E-2</v>
      </c>
      <c r="AA98" s="24">
        <f>O98/1000000</f>
        <v>0</v>
      </c>
      <c r="AB98" s="24">
        <f t="shared" si="46"/>
        <v>99.982726837227503</v>
      </c>
      <c r="AC98" s="24">
        <f t="shared" si="39"/>
        <v>99.985039128926658</v>
      </c>
      <c r="AD98" s="24">
        <f>X98/R98%</f>
        <v>37.346392934728158</v>
      </c>
      <c r="AE98" s="24">
        <f>Y98/S98%</f>
        <v>100</v>
      </c>
      <c r="AF98" s="24">
        <f>Z98/T98%</f>
        <v>22.33009708737864</v>
      </c>
      <c r="AG98" s="129" t="s">
        <v>64</v>
      </c>
      <c r="AH98" s="217"/>
    </row>
    <row r="99" spans="1:34" s="120" customFormat="1" hidden="1" x14ac:dyDescent="0.25">
      <c r="A99" s="114" t="s">
        <v>95</v>
      </c>
      <c r="B99" s="111"/>
      <c r="C99" s="111"/>
      <c r="D99" s="111"/>
      <c r="E99" s="109">
        <f>F99+G99+H99</f>
        <v>0</v>
      </c>
      <c r="F99" s="123"/>
      <c r="G99" s="123"/>
      <c r="H99" s="123"/>
      <c r="I99" s="111"/>
      <c r="J99" s="111"/>
      <c r="K99" s="111"/>
      <c r="L99" s="109">
        <f>M99+N99+O99</f>
        <v>0</v>
      </c>
      <c r="M99" s="111"/>
      <c r="N99" s="111"/>
      <c r="O99" s="111"/>
      <c r="P99" s="24">
        <f t="shared" si="48"/>
        <v>0</v>
      </c>
      <c r="Q99" s="24">
        <f t="shared" si="49"/>
        <v>0</v>
      </c>
      <c r="R99" s="24"/>
      <c r="S99" s="24"/>
      <c r="T99" s="24">
        <f t="shared" si="50"/>
        <v>0</v>
      </c>
      <c r="U99" s="24"/>
      <c r="V99" s="24">
        <f t="shared" si="51"/>
        <v>0</v>
      </c>
      <c r="W99" s="24">
        <f>K99/1000000</f>
        <v>0</v>
      </c>
      <c r="X99" s="24"/>
      <c r="Y99" s="24"/>
      <c r="Z99" s="24">
        <f t="shared" si="52"/>
        <v>0</v>
      </c>
      <c r="AA99" s="24"/>
      <c r="AB99" s="24" t="e">
        <f t="shared" si="46"/>
        <v>#DIV/0!</v>
      </c>
      <c r="AC99" s="24" t="e">
        <f t="shared" si="39"/>
        <v>#DIV/0!</v>
      </c>
      <c r="AD99" s="24"/>
      <c r="AE99" s="24"/>
      <c r="AF99" s="24"/>
      <c r="AG99" s="26"/>
      <c r="AH99" s="208"/>
    </row>
    <row r="100" spans="1:34" s="33" customFormat="1" x14ac:dyDescent="0.25">
      <c r="A100" s="101" t="s">
        <v>226</v>
      </c>
      <c r="B100" s="28">
        <v>13612822446.57</v>
      </c>
      <c r="C100" s="28">
        <v>1473093309.1400001</v>
      </c>
      <c r="D100" s="28">
        <v>12808202621.290001</v>
      </c>
      <c r="E100" s="103">
        <f>F100+G100+H100-E101</f>
        <v>2269703553.4199996</v>
      </c>
      <c r="F100" s="28">
        <v>1753090749.79</v>
      </c>
      <c r="G100" s="28">
        <v>506871256.38999999</v>
      </c>
      <c r="H100" s="28">
        <v>17751128.239999998</v>
      </c>
      <c r="I100" s="28">
        <v>13322668742.75</v>
      </c>
      <c r="J100" s="28">
        <v>1434393337.5599999</v>
      </c>
      <c r="K100" s="28">
        <v>12574236574.32</v>
      </c>
      <c r="L100" s="103">
        <f>M100+N100+O100-L101</f>
        <v>2175311584.9899998</v>
      </c>
      <c r="M100" s="28">
        <v>1670572607.53</v>
      </c>
      <c r="N100" s="28">
        <v>495981257.75</v>
      </c>
      <c r="O100" s="28">
        <v>16271640.710000001</v>
      </c>
      <c r="P100" s="30">
        <f t="shared" si="48"/>
        <v>13612.82244657</v>
      </c>
      <c r="Q100" s="30">
        <f t="shared" si="49"/>
        <v>12808.20262129</v>
      </c>
      <c r="R100" s="30">
        <f>E100/1000000</f>
        <v>2269.7035534199995</v>
      </c>
      <c r="S100" s="30">
        <f>F100/1000000</f>
        <v>1753.09074979</v>
      </c>
      <c r="T100" s="30">
        <f t="shared" si="50"/>
        <v>506.87125638999999</v>
      </c>
      <c r="U100" s="30">
        <f>H100/1000000</f>
        <v>17.75112824</v>
      </c>
      <c r="V100" s="30">
        <f t="shared" si="51"/>
        <v>13322.66874275</v>
      </c>
      <c r="W100" s="30">
        <f>K100/1000000</f>
        <v>12574.236574319999</v>
      </c>
      <c r="X100" s="30">
        <f>L100/1000000</f>
        <v>2175.3115849899996</v>
      </c>
      <c r="Y100" s="30">
        <f>M100/1000000</f>
        <v>1670.5726075299999</v>
      </c>
      <c r="Z100" s="30">
        <f t="shared" si="52"/>
        <v>495.98125775</v>
      </c>
      <c r="AA100" s="30">
        <f t="shared" si="52"/>
        <v>16.27164071</v>
      </c>
      <c r="AB100" s="30">
        <f t="shared" si="46"/>
        <v>97.868526494348629</v>
      </c>
      <c r="AC100" s="30">
        <f t="shared" si="39"/>
        <v>98.173310854865008</v>
      </c>
      <c r="AD100" s="30">
        <f>X100/R100%</f>
        <v>95.841220396920576</v>
      </c>
      <c r="AE100" s="30">
        <f>Y100/S100%</f>
        <v>95.292990835192938</v>
      </c>
      <c r="AF100" s="30">
        <f>Z100/T100%</f>
        <v>97.851525707423235</v>
      </c>
      <c r="AG100" s="31">
        <f>AA100/U100%</f>
        <v>91.665388757283864</v>
      </c>
      <c r="AH100" s="209"/>
    </row>
    <row r="101" spans="1:34" s="33" customFormat="1" hidden="1" x14ac:dyDescent="0.25">
      <c r="A101" s="104" t="s">
        <v>89</v>
      </c>
      <c r="B101" s="28">
        <v>27218208.600000001</v>
      </c>
      <c r="C101" s="28">
        <v>1473093309.1399999</v>
      </c>
      <c r="D101" s="28">
        <v>1492301936.74</v>
      </c>
      <c r="E101" s="109">
        <f>F101+G101+H101</f>
        <v>8009581</v>
      </c>
      <c r="F101" s="28">
        <v>0</v>
      </c>
      <c r="G101" s="28">
        <v>7909581</v>
      </c>
      <c r="H101" s="28">
        <v>100000</v>
      </c>
      <c r="I101" s="28">
        <v>25390414</v>
      </c>
      <c r="J101" s="28">
        <v>1434393337.5599999</v>
      </c>
      <c r="K101" s="28">
        <v>1452269830.5599999</v>
      </c>
      <c r="L101" s="109">
        <f>M101+N101+O101</f>
        <v>7513921</v>
      </c>
      <c r="M101" s="28">
        <v>0</v>
      </c>
      <c r="N101" s="28">
        <v>7413921</v>
      </c>
      <c r="O101" s="28">
        <v>100000</v>
      </c>
      <c r="P101" s="24">
        <f t="shared" ref="P101" si="53">B101/1000000</f>
        <v>27.218208600000001</v>
      </c>
      <c r="Q101" s="24">
        <f t="shared" ref="Q101" si="54">D101/1000000</f>
        <v>1492.30193674</v>
      </c>
      <c r="R101" s="24">
        <f>E101/1000000</f>
        <v>8.0095810000000007</v>
      </c>
      <c r="S101" s="24">
        <f>F101/1000000</f>
        <v>0</v>
      </c>
      <c r="T101" s="24">
        <f t="shared" ref="T101" si="55">G101/1000000</f>
        <v>7.9095810000000002</v>
      </c>
      <c r="U101" s="24">
        <f>H101/1000000</f>
        <v>0.1</v>
      </c>
      <c r="V101" s="24">
        <f t="shared" ref="V101" si="56">I101/1000000</f>
        <v>25.390414</v>
      </c>
      <c r="W101" s="24">
        <f>K101/1000000</f>
        <v>1452.2698305599999</v>
      </c>
      <c r="X101" s="24">
        <f>L101/1000000</f>
        <v>7.5139209999999999</v>
      </c>
      <c r="Y101" s="24">
        <f>M101/1000000</f>
        <v>0</v>
      </c>
      <c r="Z101" s="24">
        <f t="shared" ref="Z101" si="57">N101/1000000</f>
        <v>7.4139210000000002</v>
      </c>
      <c r="AA101" s="24">
        <f>O101/1000000</f>
        <v>0.1</v>
      </c>
      <c r="AB101" s="24">
        <f t="shared" ref="AB101" si="58">V101/P101%</f>
        <v>93.284662385900006</v>
      </c>
      <c r="AC101" s="24">
        <f t="shared" ref="AC101" si="59">W101/Q101%</f>
        <v>97.31742583759879</v>
      </c>
      <c r="AD101" s="24">
        <f>X101/R101%</f>
        <v>93.811661309124659</v>
      </c>
      <c r="AE101" s="24" t="e">
        <f>Y101/S101%</f>
        <v>#DIV/0!</v>
      </c>
      <c r="AF101" s="24">
        <f>Z101/T101%</f>
        <v>93.733422794456501</v>
      </c>
      <c r="AG101" s="26">
        <f t="shared" ref="AG101" si="60">AA101/U101%</f>
        <v>100</v>
      </c>
      <c r="AH101" s="209"/>
    </row>
    <row r="102" spans="1:34" s="33" customFormat="1" x14ac:dyDescent="0.25">
      <c r="A102" s="104" t="s">
        <v>227</v>
      </c>
      <c r="B102" s="28">
        <v>2098610190.6600001</v>
      </c>
      <c r="C102" s="28"/>
      <c r="D102" s="28">
        <v>2098509190.6600001</v>
      </c>
      <c r="E102" s="103">
        <f>F102+G102+H102</f>
        <v>101000</v>
      </c>
      <c r="F102" s="28"/>
      <c r="G102" s="28">
        <v>101000</v>
      </c>
      <c r="H102" s="28">
        <v>0</v>
      </c>
      <c r="I102" s="28">
        <v>2097169518.5599999</v>
      </c>
      <c r="J102" s="28"/>
      <c r="K102" s="28">
        <v>2097068518.5599999</v>
      </c>
      <c r="L102" s="103">
        <f>M102+N102+O102</f>
        <v>101000</v>
      </c>
      <c r="M102" s="28"/>
      <c r="N102" s="28">
        <v>101000</v>
      </c>
      <c r="O102" s="28">
        <v>0</v>
      </c>
      <c r="P102" s="24">
        <f t="shared" ref="P102:P106" si="61">B102/1000000</f>
        <v>2098.6101906600002</v>
      </c>
      <c r="Q102" s="24">
        <f t="shared" ref="Q102:Q106" si="62">D102/1000000</f>
        <v>2098.5091906600001</v>
      </c>
      <c r="R102" s="24">
        <f t="shared" ref="R102:R106" si="63">E102/1000000</f>
        <v>0.10100000000000001</v>
      </c>
      <c r="S102" s="24">
        <f t="shared" ref="S102:S106" si="64">F102/1000000</f>
        <v>0</v>
      </c>
      <c r="T102" s="24">
        <f t="shared" ref="T102:T106" si="65">G102/1000000</f>
        <v>0.10100000000000001</v>
      </c>
      <c r="U102" s="24">
        <f t="shared" ref="U102:U106" si="66">H102/1000000</f>
        <v>0</v>
      </c>
      <c r="V102" s="24">
        <f t="shared" ref="V102:V106" si="67">I102/1000000</f>
        <v>2097.1695185600001</v>
      </c>
      <c r="W102" s="24">
        <f t="shared" ref="W102:W106" si="68">K102/1000000</f>
        <v>2097.06851856</v>
      </c>
      <c r="X102" s="24">
        <f t="shared" ref="X102:X106" si="69">L102/1000000</f>
        <v>0.10100000000000001</v>
      </c>
      <c r="Y102" s="24">
        <f t="shared" ref="Y102:Y106" si="70">M102/1000000</f>
        <v>0</v>
      </c>
      <c r="Z102" s="24">
        <f t="shared" ref="Z102:Z106" si="71">N102/1000000</f>
        <v>0.10100000000000001</v>
      </c>
      <c r="AA102" s="24">
        <f t="shared" ref="AA102:AA106" si="72">O102/1000000</f>
        <v>0</v>
      </c>
      <c r="AB102" s="24">
        <f t="shared" ref="AB102:AB106" si="73">V102/P102%</f>
        <v>99.931351133887944</v>
      </c>
      <c r="AC102" s="24">
        <f t="shared" ref="AC102:AC106" si="74">W102/Q102%</f>
        <v>99.931347829858822</v>
      </c>
      <c r="AD102" s="24">
        <f t="shared" ref="AD102:AD106" si="75">X102/R102%</f>
        <v>100</v>
      </c>
      <c r="AE102" s="47" t="s">
        <v>64</v>
      </c>
      <c r="AF102" s="24">
        <f t="shared" ref="AF102:AF106" si="76">Z102/T102%</f>
        <v>100</v>
      </c>
      <c r="AG102" s="42" t="s">
        <v>64</v>
      </c>
      <c r="AH102" s="209"/>
    </row>
    <row r="103" spans="1:34" s="33" customFormat="1" x14ac:dyDescent="0.25">
      <c r="A103" s="104" t="s">
        <v>228</v>
      </c>
      <c r="B103" s="28">
        <v>8408526759.0500002</v>
      </c>
      <c r="C103" s="28">
        <v>723534843.5</v>
      </c>
      <c r="D103" s="28">
        <v>7784617434.6099997</v>
      </c>
      <c r="E103" s="103">
        <f>F103+G103+H103-E104</f>
        <v>1344683497.9399998</v>
      </c>
      <c r="F103" s="28">
        <v>1148193219.53</v>
      </c>
      <c r="G103" s="28">
        <v>193304576.59999999</v>
      </c>
      <c r="H103" s="28">
        <v>5946371.8100000005</v>
      </c>
      <c r="I103" s="28">
        <v>8192588561.25</v>
      </c>
      <c r="J103" s="28">
        <v>695544754.45000005</v>
      </c>
      <c r="K103" s="28">
        <v>7608203801.8599997</v>
      </c>
      <c r="L103" s="103">
        <f>M103+N103+O103-L104</f>
        <v>1277664503.8400002</v>
      </c>
      <c r="M103" s="28">
        <v>1086908967.6400001</v>
      </c>
      <c r="N103" s="28">
        <v>187833615.06</v>
      </c>
      <c r="O103" s="28">
        <v>5186931.1399999997</v>
      </c>
      <c r="P103" s="24">
        <f t="shared" si="61"/>
        <v>8408.5267590500007</v>
      </c>
      <c r="Q103" s="24">
        <f t="shared" si="62"/>
        <v>7784.6174346099997</v>
      </c>
      <c r="R103" s="24">
        <f t="shared" si="63"/>
        <v>1344.6834979399998</v>
      </c>
      <c r="S103" s="24">
        <f t="shared" si="64"/>
        <v>1148.1932195300001</v>
      </c>
      <c r="T103" s="24">
        <f t="shared" si="65"/>
        <v>193.30457659999999</v>
      </c>
      <c r="U103" s="24">
        <f t="shared" si="66"/>
        <v>5.9463718100000005</v>
      </c>
      <c r="V103" s="24">
        <f t="shared" si="67"/>
        <v>8192.5885612500006</v>
      </c>
      <c r="W103" s="24">
        <f t="shared" si="68"/>
        <v>7608.2038018599997</v>
      </c>
      <c r="X103" s="24">
        <f t="shared" si="69"/>
        <v>1277.6645038400002</v>
      </c>
      <c r="Y103" s="24">
        <f t="shared" si="70"/>
        <v>1086.9089676400001</v>
      </c>
      <c r="Z103" s="24">
        <f t="shared" si="71"/>
        <v>187.83361506</v>
      </c>
      <c r="AA103" s="24">
        <f t="shared" si="72"/>
        <v>5.1869311399999996</v>
      </c>
      <c r="AB103" s="24">
        <f t="shared" si="73"/>
        <v>97.431914008389299</v>
      </c>
      <c r="AC103" s="24">
        <f t="shared" si="74"/>
        <v>97.7338175673775</v>
      </c>
      <c r="AD103" s="24">
        <f t="shared" si="75"/>
        <v>95.016002337898101</v>
      </c>
      <c r="AE103" s="24">
        <f t="shared" ref="AE103:AE106" si="77">Y103/S103%</f>
        <v>94.662548877001214</v>
      </c>
      <c r="AF103" s="24">
        <f t="shared" si="76"/>
        <v>97.169771333805031</v>
      </c>
      <c r="AG103" s="26">
        <f t="shared" ref="AG103:AG106" si="78">AA103/U103%</f>
        <v>87.228503459490184</v>
      </c>
      <c r="AH103" s="209"/>
    </row>
    <row r="104" spans="1:34" s="33" customFormat="1" hidden="1" x14ac:dyDescent="0.25">
      <c r="A104" s="104" t="s">
        <v>89</v>
      </c>
      <c r="B104" s="28">
        <v>523208.6</v>
      </c>
      <c r="C104" s="28">
        <v>723534843.5</v>
      </c>
      <c r="D104" s="28">
        <v>721297382.10000002</v>
      </c>
      <c r="E104" s="109">
        <f>F104+G104+H104</f>
        <v>2760670</v>
      </c>
      <c r="F104" s="28"/>
      <c r="G104" s="28">
        <v>2660670</v>
      </c>
      <c r="H104" s="28">
        <v>100000</v>
      </c>
      <c r="I104" s="28"/>
      <c r="J104" s="28">
        <v>695544754.45000005</v>
      </c>
      <c r="K104" s="28">
        <v>693279744.45000005</v>
      </c>
      <c r="L104" s="109">
        <f>M104+N104+O104</f>
        <v>2265010</v>
      </c>
      <c r="M104" s="28"/>
      <c r="N104" s="28">
        <v>2165010</v>
      </c>
      <c r="O104" s="28">
        <v>100000</v>
      </c>
      <c r="P104" s="24">
        <f t="shared" si="61"/>
        <v>0.52320860000000002</v>
      </c>
      <c r="Q104" s="24">
        <f t="shared" si="62"/>
        <v>721.29738210000005</v>
      </c>
      <c r="R104" s="24">
        <f t="shared" si="63"/>
        <v>2.7606700000000002</v>
      </c>
      <c r="S104" s="24">
        <f t="shared" si="64"/>
        <v>0</v>
      </c>
      <c r="T104" s="24">
        <f t="shared" si="65"/>
        <v>2.6606700000000001</v>
      </c>
      <c r="U104" s="24">
        <f t="shared" si="66"/>
        <v>0.1</v>
      </c>
      <c r="V104" s="24">
        <f t="shared" si="67"/>
        <v>0</v>
      </c>
      <c r="W104" s="24">
        <f t="shared" si="68"/>
        <v>693.27974445000007</v>
      </c>
      <c r="X104" s="24">
        <f t="shared" si="69"/>
        <v>2.2650100000000002</v>
      </c>
      <c r="Y104" s="24">
        <f t="shared" si="70"/>
        <v>0</v>
      </c>
      <c r="Z104" s="24">
        <f t="shared" si="71"/>
        <v>2.1650100000000001</v>
      </c>
      <c r="AA104" s="24">
        <f t="shared" si="72"/>
        <v>0.1</v>
      </c>
      <c r="AB104" s="24">
        <f t="shared" si="73"/>
        <v>0</v>
      </c>
      <c r="AC104" s="24">
        <f t="shared" si="74"/>
        <v>96.115660704544794</v>
      </c>
      <c r="AD104" s="24">
        <f t="shared" si="75"/>
        <v>82.045662828226483</v>
      </c>
      <c r="AE104" s="24" t="e">
        <f t="shared" si="77"/>
        <v>#DIV/0!</v>
      </c>
      <c r="AF104" s="24">
        <f t="shared" si="76"/>
        <v>81.370857716289507</v>
      </c>
      <c r="AG104" s="26">
        <f t="shared" si="78"/>
        <v>100</v>
      </c>
      <c r="AH104" s="209"/>
    </row>
    <row r="105" spans="1:34" s="33" customFormat="1" x14ac:dyDescent="0.25">
      <c r="A105" s="104" t="s">
        <v>229</v>
      </c>
      <c r="B105" s="28">
        <v>2706192451.96</v>
      </c>
      <c r="C105" s="28">
        <v>603829865.63999999</v>
      </c>
      <c r="D105" s="28">
        <v>2692523911.02</v>
      </c>
      <c r="E105" s="103">
        <f>F105+G105+H105-E106</f>
        <v>612290095.58000004</v>
      </c>
      <c r="F105" s="28">
        <v>374756075.62</v>
      </c>
      <c r="G105" s="28">
        <v>237534019.96000001</v>
      </c>
      <c r="H105" s="28">
        <v>5208311</v>
      </c>
      <c r="I105" s="28">
        <v>2650422768.9499998</v>
      </c>
      <c r="J105" s="28">
        <v>593846681.78999996</v>
      </c>
      <c r="K105" s="28">
        <v>2638664922.0700002</v>
      </c>
      <c r="L105" s="103">
        <f>M105+N105+O105-L106</f>
        <v>600396217.66999996</v>
      </c>
      <c r="M105" s="28">
        <v>366019078.38999999</v>
      </c>
      <c r="N105" s="28">
        <v>234377139.28</v>
      </c>
      <c r="O105" s="28">
        <v>5208311</v>
      </c>
      <c r="P105" s="24">
        <f t="shared" si="61"/>
        <v>2706.1924519600002</v>
      </c>
      <c r="Q105" s="24">
        <f t="shared" si="62"/>
        <v>2692.52391102</v>
      </c>
      <c r="R105" s="24">
        <f t="shared" si="63"/>
        <v>612.29009558000007</v>
      </c>
      <c r="S105" s="24">
        <f t="shared" si="64"/>
        <v>374.75607561999999</v>
      </c>
      <c r="T105" s="24">
        <f t="shared" si="65"/>
        <v>237.53401995999999</v>
      </c>
      <c r="U105" s="24">
        <f t="shared" si="66"/>
        <v>5.2083110000000001</v>
      </c>
      <c r="V105" s="24">
        <f t="shared" si="67"/>
        <v>2650.4227689499999</v>
      </c>
      <c r="W105" s="24">
        <f t="shared" si="68"/>
        <v>2638.6649220700001</v>
      </c>
      <c r="X105" s="24">
        <f t="shared" si="69"/>
        <v>600.39621766999994</v>
      </c>
      <c r="Y105" s="24">
        <f t="shared" si="70"/>
        <v>366.01907839</v>
      </c>
      <c r="Z105" s="24">
        <f t="shared" si="71"/>
        <v>234.37713927999999</v>
      </c>
      <c r="AA105" s="24">
        <f t="shared" si="72"/>
        <v>5.2083110000000001</v>
      </c>
      <c r="AB105" s="24">
        <f t="shared" si="73"/>
        <v>97.939182670855203</v>
      </c>
      <c r="AC105" s="24">
        <f t="shared" si="74"/>
        <v>97.999683912571214</v>
      </c>
      <c r="AD105" s="24">
        <f t="shared" si="75"/>
        <v>98.057476677173184</v>
      </c>
      <c r="AE105" s="24">
        <f t="shared" si="77"/>
        <v>97.66861758930915</v>
      </c>
      <c r="AF105" s="24">
        <f t="shared" si="76"/>
        <v>98.670977453868872</v>
      </c>
      <c r="AG105" s="26">
        <f t="shared" si="78"/>
        <v>100</v>
      </c>
      <c r="AH105" s="209"/>
    </row>
    <row r="106" spans="1:34" s="33" customFormat="1" hidden="1" x14ac:dyDescent="0.25">
      <c r="A106" s="104" t="s">
        <v>89</v>
      </c>
      <c r="B106" s="28"/>
      <c r="C106" s="28">
        <v>603829865.63999999</v>
      </c>
      <c r="D106" s="28">
        <v>598621554.63999999</v>
      </c>
      <c r="E106" s="109">
        <f>F106+G106+H106</f>
        <v>5208311</v>
      </c>
      <c r="F106" s="28"/>
      <c r="G106" s="28">
        <v>5208311</v>
      </c>
      <c r="H106" s="28">
        <v>0</v>
      </c>
      <c r="I106" s="28"/>
      <c r="J106" s="28">
        <v>593846681.78999996</v>
      </c>
      <c r="K106" s="28">
        <v>588638370.78999996</v>
      </c>
      <c r="L106" s="109">
        <f>M106+N106+O106</f>
        <v>5208311</v>
      </c>
      <c r="M106" s="28"/>
      <c r="N106" s="28">
        <v>5208311</v>
      </c>
      <c r="O106" s="28">
        <v>0</v>
      </c>
      <c r="P106" s="24">
        <f t="shared" si="61"/>
        <v>0</v>
      </c>
      <c r="Q106" s="24">
        <f t="shared" si="62"/>
        <v>598.62155464</v>
      </c>
      <c r="R106" s="24">
        <f t="shared" si="63"/>
        <v>5.2083110000000001</v>
      </c>
      <c r="S106" s="24">
        <f t="shared" si="64"/>
        <v>0</v>
      </c>
      <c r="T106" s="24">
        <f t="shared" si="65"/>
        <v>5.2083110000000001</v>
      </c>
      <c r="U106" s="24">
        <f t="shared" si="66"/>
        <v>0</v>
      </c>
      <c r="V106" s="24">
        <f t="shared" si="67"/>
        <v>0</v>
      </c>
      <c r="W106" s="24">
        <f t="shared" si="68"/>
        <v>588.63837078999995</v>
      </c>
      <c r="X106" s="24">
        <f t="shared" si="69"/>
        <v>5.2083110000000001</v>
      </c>
      <c r="Y106" s="24">
        <f t="shared" si="70"/>
        <v>0</v>
      </c>
      <c r="Z106" s="24">
        <f t="shared" si="71"/>
        <v>5.2083110000000001</v>
      </c>
      <c r="AA106" s="24">
        <f t="shared" si="72"/>
        <v>0</v>
      </c>
      <c r="AB106" s="24" t="e">
        <f t="shared" si="73"/>
        <v>#DIV/0!</v>
      </c>
      <c r="AC106" s="24">
        <f t="shared" si="74"/>
        <v>98.332304646797454</v>
      </c>
      <c r="AD106" s="24">
        <f t="shared" si="75"/>
        <v>100</v>
      </c>
      <c r="AE106" s="24" t="e">
        <f t="shared" si="77"/>
        <v>#DIV/0!</v>
      </c>
      <c r="AF106" s="24">
        <f t="shared" si="76"/>
        <v>100</v>
      </c>
      <c r="AG106" s="26" t="e">
        <f t="shared" si="78"/>
        <v>#DIV/0!</v>
      </c>
      <c r="AH106" s="209"/>
    </row>
    <row r="107" spans="1:34" s="33" customFormat="1" x14ac:dyDescent="0.25">
      <c r="A107" s="101" t="s">
        <v>115</v>
      </c>
      <c r="B107" s="28">
        <v>704773616.59000003</v>
      </c>
      <c r="C107" s="28">
        <v>71881815.609999999</v>
      </c>
      <c r="D107" s="28">
        <v>592480998.95000005</v>
      </c>
      <c r="E107" s="103">
        <f>F107+G107+H107-E108</f>
        <v>178314883.59999999</v>
      </c>
      <c r="F107" s="28">
        <v>141514047.33000001</v>
      </c>
      <c r="G107" s="28">
        <v>31127065.16</v>
      </c>
      <c r="H107" s="28">
        <v>11533320.76</v>
      </c>
      <c r="I107" s="28">
        <v>689672105.63</v>
      </c>
      <c r="J107" s="28">
        <v>69197941.890000001</v>
      </c>
      <c r="K107" s="28">
        <v>590623561.33000004</v>
      </c>
      <c r="L107" s="103">
        <f>M107+N107+O107-L108</f>
        <v>163511436.53999999</v>
      </c>
      <c r="M107" s="28">
        <v>129802890.22</v>
      </c>
      <c r="N107" s="28">
        <v>28851287.129999999</v>
      </c>
      <c r="O107" s="28">
        <v>9592308.8399999999</v>
      </c>
      <c r="P107" s="30">
        <f t="shared" si="48"/>
        <v>704.77361659000007</v>
      </c>
      <c r="Q107" s="30">
        <f t="shared" si="49"/>
        <v>592.48099895000007</v>
      </c>
      <c r="R107" s="30">
        <f>E107/1000000</f>
        <v>178.3148836</v>
      </c>
      <c r="S107" s="30">
        <f>F107/1000000</f>
        <v>141.51404733000001</v>
      </c>
      <c r="T107" s="30">
        <f t="shared" si="50"/>
        <v>31.127065160000001</v>
      </c>
      <c r="U107" s="30">
        <f>H107/1000000</f>
        <v>11.533320760000001</v>
      </c>
      <c r="V107" s="30">
        <f t="shared" si="51"/>
        <v>689.67210563000003</v>
      </c>
      <c r="W107" s="30">
        <f>K107/1000000</f>
        <v>590.62356133000003</v>
      </c>
      <c r="X107" s="30">
        <f>L107/1000000</f>
        <v>163.51143654000001</v>
      </c>
      <c r="Y107" s="30">
        <f>M107/1000000</f>
        <v>129.80289021999999</v>
      </c>
      <c r="Z107" s="30">
        <f t="shared" si="52"/>
        <v>28.851287129999999</v>
      </c>
      <c r="AA107" s="30">
        <f t="shared" si="52"/>
        <v>9.5923088399999994</v>
      </c>
      <c r="AB107" s="30">
        <f t="shared" si="46"/>
        <v>97.857253647906447</v>
      </c>
      <c r="AC107" s="30">
        <f t="shared" si="39"/>
        <v>99.686498364792826</v>
      </c>
      <c r="AD107" s="30">
        <f>X107/R107%</f>
        <v>91.698142767932126</v>
      </c>
      <c r="AE107" s="30">
        <f>Y107/S107%</f>
        <v>91.724385436669408</v>
      </c>
      <c r="AF107" s="30">
        <f t="shared" ref="AF107:AG117" si="79">Z107/T107%</f>
        <v>92.688748462786336</v>
      </c>
      <c r="AG107" s="31">
        <f t="shared" si="79"/>
        <v>83.170398531428688</v>
      </c>
      <c r="AH107" s="209"/>
    </row>
    <row r="108" spans="1:34" hidden="1" x14ac:dyDescent="0.25">
      <c r="A108" s="104" t="s">
        <v>89</v>
      </c>
      <c r="B108" s="128">
        <v>0</v>
      </c>
      <c r="C108" s="128">
        <v>71881815.609999999</v>
      </c>
      <c r="D108" s="128">
        <v>66022265.960000001</v>
      </c>
      <c r="E108" s="109">
        <f>F108+G108+H108</f>
        <v>5859549.6500000004</v>
      </c>
      <c r="F108" s="128">
        <v>0</v>
      </c>
      <c r="G108" s="128">
        <v>4252290</v>
      </c>
      <c r="H108" s="128">
        <v>1607259.65</v>
      </c>
      <c r="I108" s="128">
        <v>0</v>
      </c>
      <c r="J108" s="128">
        <v>69197941.890000001</v>
      </c>
      <c r="K108" s="128">
        <v>64462892.240000002</v>
      </c>
      <c r="L108" s="109">
        <f>M108+N108+O108</f>
        <v>4735049.6500000004</v>
      </c>
      <c r="M108" s="128">
        <v>0</v>
      </c>
      <c r="N108" s="128">
        <v>3252290</v>
      </c>
      <c r="O108" s="128">
        <v>1482759.65</v>
      </c>
      <c r="P108" s="24"/>
      <c r="Q108" s="24">
        <f t="shared" si="49"/>
        <v>66.022265959999999</v>
      </c>
      <c r="R108" s="24"/>
      <c r="S108" s="24"/>
      <c r="T108" s="24">
        <f t="shared" si="50"/>
        <v>4.2522900000000003</v>
      </c>
      <c r="U108" s="24">
        <f t="shared" si="50"/>
        <v>1.6072596499999998</v>
      </c>
      <c r="V108" s="24"/>
      <c r="W108" s="24">
        <f t="shared" ref="W108:Y120" si="80">K108/1000000</f>
        <v>64.462892240000002</v>
      </c>
      <c r="X108" s="24"/>
      <c r="Y108" s="24"/>
      <c r="Z108" s="24">
        <f t="shared" si="52"/>
        <v>3.2522899999999999</v>
      </c>
      <c r="AA108" s="24">
        <f t="shared" si="52"/>
        <v>1.48275965</v>
      </c>
      <c r="AB108" s="24"/>
      <c r="AC108" s="24">
        <f t="shared" si="39"/>
        <v>97.638109360038086</v>
      </c>
      <c r="AD108" s="24"/>
      <c r="AE108" s="24"/>
      <c r="AF108" s="24">
        <f t="shared" si="79"/>
        <v>76.483259608352199</v>
      </c>
      <c r="AG108" s="26">
        <f t="shared" si="79"/>
        <v>92.253896251299551</v>
      </c>
      <c r="AH108" s="208"/>
    </row>
    <row r="109" spans="1:34" s="33" customFormat="1" x14ac:dyDescent="0.25">
      <c r="A109" s="101" t="s">
        <v>116</v>
      </c>
      <c r="B109" s="28">
        <v>111373675</v>
      </c>
      <c r="C109" s="28"/>
      <c r="D109" s="28">
        <v>91991575</v>
      </c>
      <c r="E109" s="98">
        <f>F109+G109+H109</f>
        <v>19382100</v>
      </c>
      <c r="F109" s="28">
        <v>19362100</v>
      </c>
      <c r="G109" s="28"/>
      <c r="H109" s="28">
        <v>20000</v>
      </c>
      <c r="I109" s="28">
        <v>111104010.02</v>
      </c>
      <c r="J109" s="28"/>
      <c r="K109" s="28">
        <v>91729981.469999999</v>
      </c>
      <c r="L109" s="98">
        <f>M109+N109+O109</f>
        <v>19374028.550000001</v>
      </c>
      <c r="M109" s="28">
        <v>19362100</v>
      </c>
      <c r="N109" s="28"/>
      <c r="O109" s="28">
        <v>11928.55</v>
      </c>
      <c r="P109" s="30">
        <f t="shared" si="48"/>
        <v>111.37367500000001</v>
      </c>
      <c r="Q109" s="30">
        <f t="shared" si="49"/>
        <v>91.991574999999997</v>
      </c>
      <c r="R109" s="30">
        <f t="shared" si="49"/>
        <v>19.382100000000001</v>
      </c>
      <c r="S109" s="30">
        <f t="shared" si="49"/>
        <v>19.362100000000002</v>
      </c>
      <c r="T109" s="30">
        <f t="shared" si="50"/>
        <v>0</v>
      </c>
      <c r="U109" s="30">
        <f t="shared" si="50"/>
        <v>0.02</v>
      </c>
      <c r="V109" s="30">
        <f t="shared" si="50"/>
        <v>111.10401001999999</v>
      </c>
      <c r="W109" s="30">
        <f t="shared" si="80"/>
        <v>91.729981469999998</v>
      </c>
      <c r="X109" s="30">
        <f t="shared" si="80"/>
        <v>19.374028550000002</v>
      </c>
      <c r="Y109" s="30">
        <f t="shared" si="80"/>
        <v>19.362100000000002</v>
      </c>
      <c r="Z109" s="30">
        <f t="shared" si="52"/>
        <v>0</v>
      </c>
      <c r="AA109" s="30">
        <f t="shared" si="52"/>
        <v>1.192855E-2</v>
      </c>
      <c r="AB109" s="30">
        <f>V109/P109%</f>
        <v>99.757873680652068</v>
      </c>
      <c r="AC109" s="30">
        <f t="shared" si="39"/>
        <v>99.715633165319773</v>
      </c>
      <c r="AD109" s="30">
        <f>X109/R109%</f>
        <v>99.958356163676797</v>
      </c>
      <c r="AE109" s="30">
        <f>Y109/S109%</f>
        <v>100</v>
      </c>
      <c r="AF109" s="110" t="s">
        <v>64</v>
      </c>
      <c r="AG109" s="31">
        <f t="shared" si="79"/>
        <v>59.642749999999992</v>
      </c>
      <c r="AH109" s="209"/>
    </row>
    <row r="110" spans="1:34" s="33" customFormat="1" ht="26.4" x14ac:dyDescent="0.25">
      <c r="A110" s="101" t="s">
        <v>117</v>
      </c>
      <c r="B110" s="133">
        <v>1620901024.9300001</v>
      </c>
      <c r="C110" s="133">
        <v>711466.67</v>
      </c>
      <c r="D110" s="133">
        <v>1120839818.75</v>
      </c>
      <c r="E110" s="98">
        <f>F110+G110+H110</f>
        <v>500772672.85000002</v>
      </c>
      <c r="F110" s="133">
        <v>457893474.60000002</v>
      </c>
      <c r="G110" s="133">
        <v>38294979.770000003</v>
      </c>
      <c r="H110" s="133">
        <v>4584218.4800000004</v>
      </c>
      <c r="I110" s="28">
        <v>1450727976.24</v>
      </c>
      <c r="J110" s="28">
        <v>711466.67</v>
      </c>
      <c r="K110" s="28">
        <v>1119880737.29</v>
      </c>
      <c r="L110" s="98">
        <f>M110+N110+O110</f>
        <v>331558705.62</v>
      </c>
      <c r="M110" s="28">
        <v>290846838.23000002</v>
      </c>
      <c r="N110" s="28">
        <v>36645693.869999997</v>
      </c>
      <c r="O110" s="28">
        <v>4066173.52</v>
      </c>
      <c r="P110" s="30">
        <f t="shared" si="48"/>
        <v>1620.9010249300002</v>
      </c>
      <c r="Q110" s="30">
        <f t="shared" si="49"/>
        <v>1120.8398187499999</v>
      </c>
      <c r="R110" s="30">
        <f t="shared" si="49"/>
        <v>500.77267285000005</v>
      </c>
      <c r="S110" s="30">
        <f t="shared" si="49"/>
        <v>457.89347460000005</v>
      </c>
      <c r="T110" s="30">
        <f t="shared" si="50"/>
        <v>38.294979770000005</v>
      </c>
      <c r="U110" s="30">
        <f t="shared" si="50"/>
        <v>4.5842184800000005</v>
      </c>
      <c r="V110" s="30">
        <f t="shared" si="50"/>
        <v>1450.7279762400001</v>
      </c>
      <c r="W110" s="30">
        <f t="shared" si="80"/>
        <v>1119.8807372900001</v>
      </c>
      <c r="X110" s="30">
        <f t="shared" si="80"/>
        <v>331.55870562000001</v>
      </c>
      <c r="Y110" s="30">
        <f t="shared" si="80"/>
        <v>290.84683823</v>
      </c>
      <c r="Z110" s="30">
        <f t="shared" si="52"/>
        <v>36.645693869999995</v>
      </c>
      <c r="AA110" s="30">
        <f t="shared" si="52"/>
        <v>4.0661735200000004</v>
      </c>
      <c r="AB110" s="30">
        <f>V110/P110%</f>
        <v>89.501330058240356</v>
      </c>
      <c r="AC110" s="30">
        <f t="shared" si="39"/>
        <v>99.914431889021429</v>
      </c>
      <c r="AD110" s="30">
        <f>X110/R110%</f>
        <v>66.209424674280115</v>
      </c>
      <c r="AE110" s="30">
        <f>Y110/S110%</f>
        <v>63.518450112020872</v>
      </c>
      <c r="AF110" s="30">
        <f t="shared" si="79"/>
        <v>95.693205976591102</v>
      </c>
      <c r="AG110" s="31">
        <f t="shared" si="79"/>
        <v>88.699383280702619</v>
      </c>
      <c r="AH110" s="209"/>
    </row>
    <row r="111" spans="1:34" s="33" customFormat="1" ht="26.4" x14ac:dyDescent="0.25">
      <c r="A111" s="101" t="s">
        <v>118</v>
      </c>
      <c r="B111" s="28">
        <v>1823608.05</v>
      </c>
      <c r="C111" s="28">
        <v>4006528629.8099999</v>
      </c>
      <c r="D111" s="28">
        <v>3486717750</v>
      </c>
      <c r="E111" s="134"/>
      <c r="F111" s="28"/>
      <c r="G111" s="28">
        <v>521634487.86000001</v>
      </c>
      <c r="H111" s="28">
        <v>0</v>
      </c>
      <c r="I111" s="28"/>
      <c r="J111" s="28">
        <v>3909132537.9200001</v>
      </c>
      <c r="K111" s="28">
        <v>3389883822.0300002</v>
      </c>
      <c r="L111" s="134"/>
      <c r="M111" s="28"/>
      <c r="N111" s="28">
        <v>519248715.88999999</v>
      </c>
      <c r="O111" s="28">
        <v>0</v>
      </c>
      <c r="P111" s="30">
        <f t="shared" si="48"/>
        <v>1.82360805</v>
      </c>
      <c r="Q111" s="30">
        <f t="shared" si="49"/>
        <v>3486.7177499999998</v>
      </c>
      <c r="R111" s="30"/>
      <c r="S111" s="30">
        <f t="shared" si="49"/>
        <v>0</v>
      </c>
      <c r="T111" s="30">
        <f t="shared" si="50"/>
        <v>521.63448786000004</v>
      </c>
      <c r="U111" s="30">
        <f t="shared" si="50"/>
        <v>0</v>
      </c>
      <c r="V111" s="30">
        <f t="shared" si="50"/>
        <v>0</v>
      </c>
      <c r="W111" s="30">
        <f t="shared" si="80"/>
        <v>3389.8838220300004</v>
      </c>
      <c r="X111" s="30"/>
      <c r="Y111" s="30">
        <f t="shared" si="80"/>
        <v>0</v>
      </c>
      <c r="Z111" s="30">
        <f t="shared" si="52"/>
        <v>519.24871588999997</v>
      </c>
      <c r="AA111" s="30">
        <f t="shared" si="52"/>
        <v>0</v>
      </c>
      <c r="AB111" s="30">
        <f>V111/P111%</f>
        <v>0</v>
      </c>
      <c r="AC111" s="30">
        <f t="shared" si="39"/>
        <v>97.22277698072925</v>
      </c>
      <c r="AD111" s="110" t="s">
        <v>64</v>
      </c>
      <c r="AE111" s="110" t="s">
        <v>64</v>
      </c>
      <c r="AF111" s="30">
        <f t="shared" si="79"/>
        <v>99.542635307763561</v>
      </c>
      <c r="AG111" s="129" t="s">
        <v>64</v>
      </c>
      <c r="AH111" s="209"/>
    </row>
    <row r="112" spans="1:34" ht="26.4" x14ac:dyDescent="0.25">
      <c r="A112" s="104" t="s">
        <v>119</v>
      </c>
      <c r="B112" s="21">
        <v>1376008.05</v>
      </c>
      <c r="C112" s="21">
        <v>1374821706.95</v>
      </c>
      <c r="D112" s="21">
        <v>1220429000</v>
      </c>
      <c r="E112" s="135"/>
      <c r="F112" s="21"/>
      <c r="G112" s="21">
        <v>155768715</v>
      </c>
      <c r="H112" s="21">
        <v>0</v>
      </c>
      <c r="I112" s="21"/>
      <c r="J112" s="21">
        <v>1374821706.95</v>
      </c>
      <c r="K112" s="21">
        <v>1219052991.95</v>
      </c>
      <c r="L112" s="135"/>
      <c r="M112" s="21"/>
      <c r="N112" s="21">
        <v>155768715</v>
      </c>
      <c r="O112" s="21">
        <v>0</v>
      </c>
      <c r="P112" s="24">
        <f t="shared" si="48"/>
        <v>1.37600805</v>
      </c>
      <c r="Q112" s="24">
        <f t="shared" si="49"/>
        <v>1220.4290000000001</v>
      </c>
      <c r="R112" s="24"/>
      <c r="S112" s="24">
        <f t="shared" si="49"/>
        <v>0</v>
      </c>
      <c r="T112" s="24">
        <f t="shared" si="50"/>
        <v>155.76871499999999</v>
      </c>
      <c r="U112" s="24">
        <f t="shared" si="50"/>
        <v>0</v>
      </c>
      <c r="V112" s="24">
        <f>I112/1000000</f>
        <v>0</v>
      </c>
      <c r="W112" s="24">
        <f t="shared" si="80"/>
        <v>1219.05299195</v>
      </c>
      <c r="X112" s="24"/>
      <c r="Y112" s="24">
        <f t="shared" si="80"/>
        <v>0</v>
      </c>
      <c r="Z112" s="24">
        <f t="shared" si="52"/>
        <v>155.76871499999999</v>
      </c>
      <c r="AA112" s="24">
        <f t="shared" si="52"/>
        <v>0</v>
      </c>
      <c r="AB112" s="47" t="s">
        <v>64</v>
      </c>
      <c r="AC112" s="24">
        <f t="shared" si="39"/>
        <v>99.887252101515116</v>
      </c>
      <c r="AD112" s="47" t="s">
        <v>64</v>
      </c>
      <c r="AE112" s="47" t="s">
        <v>64</v>
      </c>
      <c r="AF112" s="24">
        <f t="shared" si="79"/>
        <v>100</v>
      </c>
      <c r="AG112" s="42" t="s">
        <v>64</v>
      </c>
      <c r="AH112" s="212"/>
    </row>
    <row r="113" spans="1:34" x14ac:dyDescent="0.25">
      <c r="A113" s="104" t="s">
        <v>120</v>
      </c>
      <c r="B113" s="21">
        <v>447600</v>
      </c>
      <c r="C113" s="21">
        <v>365964484.06</v>
      </c>
      <c r="D113" s="21">
        <v>267955500</v>
      </c>
      <c r="E113" s="135"/>
      <c r="F113" s="21"/>
      <c r="G113" s="21">
        <v>98456584.060000002</v>
      </c>
      <c r="H113" s="21">
        <v>0</v>
      </c>
      <c r="I113" s="21"/>
      <c r="J113" s="21">
        <v>268670884.06</v>
      </c>
      <c r="K113" s="21">
        <v>172497600</v>
      </c>
      <c r="L113" s="135"/>
      <c r="M113" s="21"/>
      <c r="N113" s="21">
        <v>96173284.060000002</v>
      </c>
      <c r="O113" s="21">
        <v>0</v>
      </c>
      <c r="P113" s="24">
        <f t="shared" si="48"/>
        <v>0.4476</v>
      </c>
      <c r="Q113" s="24">
        <f t="shared" si="49"/>
        <v>267.95549999999997</v>
      </c>
      <c r="R113" s="24"/>
      <c r="S113" s="24">
        <f t="shared" si="49"/>
        <v>0</v>
      </c>
      <c r="T113" s="24">
        <f t="shared" si="50"/>
        <v>98.456584059999997</v>
      </c>
      <c r="U113" s="24">
        <f t="shared" si="50"/>
        <v>0</v>
      </c>
      <c r="V113" s="24">
        <f t="shared" si="50"/>
        <v>0</v>
      </c>
      <c r="W113" s="24">
        <f t="shared" si="80"/>
        <v>172.49760000000001</v>
      </c>
      <c r="X113" s="24"/>
      <c r="Y113" s="24">
        <f t="shared" si="80"/>
        <v>0</v>
      </c>
      <c r="Z113" s="24">
        <f t="shared" si="52"/>
        <v>96.17328406</v>
      </c>
      <c r="AA113" s="24">
        <f t="shared" si="52"/>
        <v>0</v>
      </c>
      <c r="AB113" s="24">
        <f t="shared" ref="AB113" si="81">V113/P113%</f>
        <v>0</v>
      </c>
      <c r="AC113" s="24">
        <f t="shared" si="39"/>
        <v>64.375465329131146</v>
      </c>
      <c r="AD113" s="47" t="s">
        <v>64</v>
      </c>
      <c r="AE113" s="47" t="s">
        <v>64</v>
      </c>
      <c r="AF113" s="24">
        <f t="shared" si="79"/>
        <v>97.680906745039479</v>
      </c>
      <c r="AG113" s="42" t="s">
        <v>64</v>
      </c>
      <c r="AH113" s="212"/>
    </row>
    <row r="114" spans="1:34" ht="26.4" x14ac:dyDescent="0.25">
      <c r="A114" s="104" t="s">
        <v>121</v>
      </c>
      <c r="B114" s="21"/>
      <c r="C114" s="21">
        <v>2265742438.8000002</v>
      </c>
      <c r="D114" s="21">
        <v>1998333250</v>
      </c>
      <c r="E114" s="135"/>
      <c r="F114" s="21"/>
      <c r="G114" s="21">
        <v>267409188.80000001</v>
      </c>
      <c r="H114" s="21">
        <v>0</v>
      </c>
      <c r="I114" s="21"/>
      <c r="J114" s="21">
        <v>2265639946.9099998</v>
      </c>
      <c r="K114" s="21">
        <v>1998333230.0799999</v>
      </c>
      <c r="L114" s="135"/>
      <c r="M114" s="21"/>
      <c r="N114" s="21">
        <v>267306716.83000001</v>
      </c>
      <c r="O114" s="21">
        <v>0</v>
      </c>
      <c r="P114" s="24">
        <f t="shared" si="48"/>
        <v>0</v>
      </c>
      <c r="Q114" s="24">
        <f t="shared" si="49"/>
        <v>1998.3332499999999</v>
      </c>
      <c r="R114" s="24"/>
      <c r="S114" s="24">
        <f t="shared" si="49"/>
        <v>0</v>
      </c>
      <c r="T114" s="24">
        <f t="shared" si="50"/>
        <v>267.40918880000004</v>
      </c>
      <c r="U114" s="24">
        <f t="shared" si="50"/>
        <v>0</v>
      </c>
      <c r="V114" s="24">
        <f t="shared" si="50"/>
        <v>0</v>
      </c>
      <c r="W114" s="24">
        <f t="shared" si="80"/>
        <v>1998.33323008</v>
      </c>
      <c r="X114" s="24"/>
      <c r="Y114" s="24">
        <f t="shared" si="80"/>
        <v>0</v>
      </c>
      <c r="Z114" s="24">
        <f t="shared" si="52"/>
        <v>267.30671683000003</v>
      </c>
      <c r="AA114" s="24">
        <f t="shared" si="52"/>
        <v>0</v>
      </c>
      <c r="AB114" s="47" t="s">
        <v>64</v>
      </c>
      <c r="AC114" s="24">
        <f t="shared" si="39"/>
        <v>99.999999003169265</v>
      </c>
      <c r="AD114" s="47" t="s">
        <v>64</v>
      </c>
      <c r="AE114" s="47" t="s">
        <v>64</v>
      </c>
      <c r="AF114" s="24">
        <f t="shared" si="79"/>
        <v>99.961679712481143</v>
      </c>
      <c r="AG114" s="42" t="s">
        <v>64</v>
      </c>
      <c r="AH114" s="208"/>
    </row>
    <row r="115" spans="1:34" s="33" customFormat="1" x14ac:dyDescent="0.25">
      <c r="A115" s="136" t="s">
        <v>122</v>
      </c>
      <c r="B115" s="137">
        <f t="shared" ref="B115:O115" si="82">B53+B55+B57+B59+B78+B88+B90+B92+B94+B100+B107+B109+B110+B111</f>
        <v>85857294645.62999</v>
      </c>
      <c r="C115" s="137">
        <f t="shared" si="82"/>
        <v>23370726956.439999</v>
      </c>
      <c r="D115" s="137">
        <f t="shared" si="82"/>
        <v>71386328844.669998</v>
      </c>
      <c r="E115" s="137">
        <f>E53+E55+E57+E59+E78+E88+E90+E92+E94+E100+E107+E109+E110</f>
        <v>35728721992.319992</v>
      </c>
      <c r="F115" s="137">
        <f t="shared" si="82"/>
        <v>20031942725.370003</v>
      </c>
      <c r="G115" s="137">
        <f t="shared" si="82"/>
        <v>14546165663.809999</v>
      </c>
      <c r="H115" s="137">
        <f t="shared" si="82"/>
        <v>3263584368.2200003</v>
      </c>
      <c r="I115" s="137">
        <f t="shared" si="82"/>
        <v>81717463054.680008</v>
      </c>
      <c r="J115" s="137">
        <f t="shared" si="82"/>
        <v>22476809561.029999</v>
      </c>
      <c r="K115" s="137">
        <f t="shared" si="82"/>
        <v>68059140593.82</v>
      </c>
      <c r="L115" s="137">
        <f t="shared" si="82"/>
        <v>34159715291.57</v>
      </c>
      <c r="M115" s="137">
        <f t="shared" si="82"/>
        <v>19064755924.77</v>
      </c>
      <c r="N115" s="137">
        <f t="shared" si="82"/>
        <v>14168068317.679998</v>
      </c>
      <c r="O115" s="137">
        <f t="shared" si="82"/>
        <v>2902307779.4400005</v>
      </c>
      <c r="P115" s="138">
        <f t="shared" si="48"/>
        <v>85857.294645629983</v>
      </c>
      <c r="Q115" s="138">
        <f t="shared" si="49"/>
        <v>71386.328844670003</v>
      </c>
      <c r="R115" s="138">
        <f>E115/1000000</f>
        <v>35728.721992319995</v>
      </c>
      <c r="S115" s="138">
        <f>F115/1000000</f>
        <v>20031.942725370001</v>
      </c>
      <c r="T115" s="138">
        <f t="shared" si="50"/>
        <v>14546.165663809999</v>
      </c>
      <c r="U115" s="138">
        <f t="shared" si="50"/>
        <v>3263.5843682200002</v>
      </c>
      <c r="V115" s="138">
        <f t="shared" si="50"/>
        <v>81717.463054680004</v>
      </c>
      <c r="W115" s="138">
        <f t="shared" si="80"/>
        <v>68059.140593820004</v>
      </c>
      <c r="X115" s="138">
        <f t="shared" si="80"/>
        <v>34159.715291569999</v>
      </c>
      <c r="Y115" s="138">
        <f t="shared" si="80"/>
        <v>19064.755924770001</v>
      </c>
      <c r="Z115" s="138">
        <f t="shared" si="52"/>
        <v>14168.068317679998</v>
      </c>
      <c r="AA115" s="138">
        <f t="shared" si="52"/>
        <v>2902.3077794400006</v>
      </c>
      <c r="AB115" s="138">
        <f>V115/P115%</f>
        <v>95.178241280444666</v>
      </c>
      <c r="AC115" s="138">
        <f t="shared" si="39"/>
        <v>95.339180057725542</v>
      </c>
      <c r="AD115" s="138">
        <f>X115/R115%</f>
        <v>95.608556328750694</v>
      </c>
      <c r="AE115" s="138">
        <f>Y115/S115%</f>
        <v>95.171777326544174</v>
      </c>
      <c r="AF115" s="138">
        <f t="shared" si="79"/>
        <v>97.400707823157248</v>
      </c>
      <c r="AG115" s="139">
        <f>AA115/U115%</f>
        <v>88.930067434504693</v>
      </c>
      <c r="AH115" s="213"/>
    </row>
    <row r="116" spans="1:34" s="72" customFormat="1" hidden="1" x14ac:dyDescent="0.25">
      <c r="A116" s="140" t="s">
        <v>123</v>
      </c>
      <c r="B116" s="141">
        <f t="shared" ref="B116:O116" si="83">B115-B52</f>
        <v>0</v>
      </c>
      <c r="C116" s="141">
        <f t="shared" si="83"/>
        <v>0</v>
      </c>
      <c r="D116" s="141">
        <f>D115-D52</f>
        <v>0</v>
      </c>
      <c r="E116" s="141">
        <f>E115-E52</f>
        <v>0</v>
      </c>
      <c r="F116" s="141">
        <f>F115-F52</f>
        <v>0</v>
      </c>
      <c r="G116" s="141">
        <f t="shared" si="83"/>
        <v>0</v>
      </c>
      <c r="H116" s="141">
        <f t="shared" si="83"/>
        <v>0</v>
      </c>
      <c r="I116" s="141">
        <f t="shared" si="83"/>
        <v>0</v>
      </c>
      <c r="J116" s="141">
        <f t="shared" si="83"/>
        <v>0</v>
      </c>
      <c r="K116" s="141">
        <f t="shared" si="83"/>
        <v>0</v>
      </c>
      <c r="L116" s="141">
        <f>L115-L52</f>
        <v>0</v>
      </c>
      <c r="M116" s="141">
        <f t="shared" si="83"/>
        <v>0</v>
      </c>
      <c r="N116" s="141">
        <f t="shared" si="83"/>
        <v>0</v>
      </c>
      <c r="O116" s="141">
        <f t="shared" si="83"/>
        <v>0</v>
      </c>
      <c r="P116" s="142">
        <f t="shared" si="48"/>
        <v>0</v>
      </c>
      <c r="Q116" s="142">
        <f t="shared" si="49"/>
        <v>0</v>
      </c>
      <c r="R116" s="142">
        <f>E116/1000000</f>
        <v>0</v>
      </c>
      <c r="S116" s="142">
        <f>F116/1000000</f>
        <v>0</v>
      </c>
      <c r="T116" s="142">
        <f t="shared" si="50"/>
        <v>0</v>
      </c>
      <c r="U116" s="142">
        <f t="shared" si="50"/>
        <v>0</v>
      </c>
      <c r="V116" s="142">
        <f t="shared" si="50"/>
        <v>0</v>
      </c>
      <c r="W116" s="142">
        <f t="shared" si="80"/>
        <v>0</v>
      </c>
      <c r="X116" s="142">
        <f t="shared" si="80"/>
        <v>0</v>
      </c>
      <c r="Y116" s="142">
        <f t="shared" si="80"/>
        <v>0</v>
      </c>
      <c r="Z116" s="142">
        <f t="shared" si="52"/>
        <v>0</v>
      </c>
      <c r="AA116" s="142">
        <f t="shared" si="52"/>
        <v>0</v>
      </c>
      <c r="AB116" s="143"/>
      <c r="AC116" s="143"/>
      <c r="AD116" s="143"/>
      <c r="AE116" s="143"/>
      <c r="AF116" s="143"/>
      <c r="AG116" s="144"/>
      <c r="AH116" s="218"/>
    </row>
    <row r="117" spans="1:34" x14ac:dyDescent="0.25">
      <c r="A117" s="145" t="s">
        <v>89</v>
      </c>
      <c r="B117" s="146">
        <v>423801876.34000003</v>
      </c>
      <c r="C117" s="146">
        <v>23370015489.77</v>
      </c>
      <c r="D117" s="146">
        <v>21680846601.029999</v>
      </c>
      <c r="E117" s="147">
        <v>2112970765.0799999</v>
      </c>
      <c r="F117" s="147">
        <v>0</v>
      </c>
      <c r="G117" s="147">
        <v>2005939903.74</v>
      </c>
      <c r="H117" s="147">
        <v>107030861.34</v>
      </c>
      <c r="I117" s="147">
        <v>25390414</v>
      </c>
      <c r="J117" s="147">
        <v>22476098094.360001</v>
      </c>
      <c r="K117" s="147">
        <v>20526071778.040001</v>
      </c>
      <c r="L117" s="147">
        <v>1975416730.3200002</v>
      </c>
      <c r="M117" s="147">
        <v>0</v>
      </c>
      <c r="N117" s="147">
        <v>1869975851.7199998</v>
      </c>
      <c r="O117" s="148">
        <v>105440878.60000001</v>
      </c>
      <c r="P117" s="46">
        <f t="shared" si="48"/>
        <v>423.80187634000004</v>
      </c>
      <c r="Q117" s="46">
        <f t="shared" si="49"/>
        <v>21680.84660103</v>
      </c>
      <c r="R117" s="46">
        <f t="shared" si="49"/>
        <v>2112.9707650800001</v>
      </c>
      <c r="S117" s="46">
        <f t="shared" si="49"/>
        <v>0</v>
      </c>
      <c r="T117" s="46">
        <f>G117/1000000</f>
        <v>2005.9399037400001</v>
      </c>
      <c r="U117" s="46">
        <f>H117/1000000</f>
        <v>107.03086134</v>
      </c>
      <c r="V117" s="46">
        <f>I117/1000000</f>
        <v>25.390414</v>
      </c>
      <c r="W117" s="46">
        <f t="shared" si="80"/>
        <v>20526.071778040001</v>
      </c>
      <c r="X117" s="46">
        <f t="shared" si="80"/>
        <v>1975.4167303200002</v>
      </c>
      <c r="Y117" s="46">
        <f t="shared" si="80"/>
        <v>0</v>
      </c>
      <c r="Z117" s="46">
        <f t="shared" si="52"/>
        <v>1869.9758517199998</v>
      </c>
      <c r="AA117" s="46">
        <f t="shared" si="52"/>
        <v>105.4408786</v>
      </c>
      <c r="AB117" s="46">
        <f>V117/P117%</f>
        <v>5.9911046688312064</v>
      </c>
      <c r="AC117" s="46">
        <f>W117/Q117%</f>
        <v>94.673755853541536</v>
      </c>
      <c r="AD117" s="46">
        <f>X117/R117%</f>
        <v>93.490017134487331</v>
      </c>
      <c r="AE117" s="149" t="s">
        <v>64</v>
      </c>
      <c r="AF117" s="46">
        <f t="shared" si="79"/>
        <v>93.221927946769469</v>
      </c>
      <c r="AG117" s="150">
        <f>AA117/U117%</f>
        <v>98.51446328648224</v>
      </c>
      <c r="AH117" s="219"/>
    </row>
    <row r="118" spans="1:34" s="71" customFormat="1" hidden="1" x14ac:dyDescent="0.25">
      <c r="A118" s="151" t="s">
        <v>124</v>
      </c>
      <c r="B118" s="152">
        <f>(B54+B56+B58+B60+B79+B89+B91+B93+B95+B101+B108+B111)-B117</f>
        <v>0</v>
      </c>
      <c r="C118" s="152">
        <f t="shared" ref="C118:O118" si="84">(C54+C56+C58+C60+C79+C89+C91+C93+C95+C101+C108+C111)-C117</f>
        <v>0</v>
      </c>
      <c r="D118" s="152">
        <f>(D54+D56+D58+D60+D79+D89+D91+D93+D95+D101+D108+D111)-D117</f>
        <v>0</v>
      </c>
      <c r="E118" s="152">
        <f>(E54+E56+E58+E60+E79+E89+E91+E93+E95+E101+E108+G111)-E117</f>
        <v>0</v>
      </c>
      <c r="F118" s="152">
        <f t="shared" ref="F118:I118" si="85">(F54+F56+F58+F60+F79+F89+F91+F93+F95+F101+F108+F111)-F117</f>
        <v>0</v>
      </c>
      <c r="G118" s="152">
        <f t="shared" si="85"/>
        <v>0</v>
      </c>
      <c r="H118" s="152">
        <f t="shared" si="85"/>
        <v>0</v>
      </c>
      <c r="I118" s="152">
        <f t="shared" si="85"/>
        <v>0</v>
      </c>
      <c r="J118" s="152">
        <f t="shared" si="84"/>
        <v>0</v>
      </c>
      <c r="K118" s="152">
        <f t="shared" si="84"/>
        <v>0</v>
      </c>
      <c r="L118" s="152">
        <f>(L54+L56+L58+L60+L79+L89+L91+L93+L95+L101+L108+N111)-L117</f>
        <v>0</v>
      </c>
      <c r="M118" s="152">
        <f t="shared" si="84"/>
        <v>0</v>
      </c>
      <c r="N118" s="152">
        <f t="shared" si="84"/>
        <v>0</v>
      </c>
      <c r="O118" s="152">
        <f t="shared" si="84"/>
        <v>0</v>
      </c>
      <c r="P118" s="153"/>
      <c r="Q118" s="153"/>
      <c r="R118" s="153"/>
      <c r="S118" s="153"/>
      <c r="T118" s="153"/>
      <c r="U118" s="153"/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4"/>
      <c r="AH118" s="220"/>
    </row>
    <row r="119" spans="1:34" s="33" customFormat="1" ht="27" thickBot="1" x14ac:dyDescent="0.3">
      <c r="A119" s="75" t="s">
        <v>125</v>
      </c>
      <c r="B119" s="155">
        <f>B38-B115</f>
        <v>-9599654433.6999817</v>
      </c>
      <c r="C119" s="155"/>
      <c r="D119" s="155">
        <f t="shared" ref="D119:I119" si="86">D38-D115</f>
        <v>-7209455051.8199997</v>
      </c>
      <c r="E119" s="155">
        <f t="shared" si="86"/>
        <v>-2390199381.8799896</v>
      </c>
      <c r="F119" s="155">
        <f t="shared" si="86"/>
        <v>-1128358710.5600052</v>
      </c>
      <c r="G119" s="155">
        <f t="shared" si="86"/>
        <v>-444870935.37000084</v>
      </c>
      <c r="H119" s="155">
        <f t="shared" si="86"/>
        <v>-816969735.95000029</v>
      </c>
      <c r="I119" s="155">
        <f t="shared" si="86"/>
        <v>-5439595296.5500031</v>
      </c>
      <c r="J119" s="155"/>
      <c r="K119" s="155">
        <f>K38-K115</f>
        <v>-4021988761.0999908</v>
      </c>
      <c r="L119" s="155">
        <f>L38-L115</f>
        <v>-1417606535.4500008</v>
      </c>
      <c r="M119" s="155">
        <f>M38-M115</f>
        <v>-587514711.25</v>
      </c>
      <c r="N119" s="155">
        <f>N38-N115</f>
        <v>-210859116.29999924</v>
      </c>
      <c r="O119" s="155">
        <f>O38-O115</f>
        <v>-619232707.90000057</v>
      </c>
      <c r="P119" s="76">
        <f t="shared" si="48"/>
        <v>-9599.6544336999814</v>
      </c>
      <c r="Q119" s="76">
        <f t="shared" si="49"/>
        <v>-7209.4550518199994</v>
      </c>
      <c r="R119" s="76">
        <f t="shared" si="49"/>
        <v>-2390.1993818799897</v>
      </c>
      <c r="S119" s="76">
        <f t="shared" si="49"/>
        <v>-1128.3587105600052</v>
      </c>
      <c r="T119" s="76">
        <f t="shared" si="49"/>
        <v>-444.87093537000084</v>
      </c>
      <c r="U119" s="76">
        <f t="shared" si="49"/>
        <v>-816.96973595000031</v>
      </c>
      <c r="V119" s="76">
        <f t="shared" si="49"/>
        <v>-5439.5952965500028</v>
      </c>
      <c r="W119" s="76">
        <f t="shared" si="80"/>
        <v>-4021.9887610999908</v>
      </c>
      <c r="X119" s="76">
        <f t="shared" si="80"/>
        <v>-1417.6065354500008</v>
      </c>
      <c r="Y119" s="76">
        <f t="shared" si="80"/>
        <v>-587.51471125</v>
      </c>
      <c r="Z119" s="76">
        <f>N119/1000000</f>
        <v>-210.85911629999924</v>
      </c>
      <c r="AA119" s="76">
        <f>O119/1000000</f>
        <v>-619.23270790000061</v>
      </c>
      <c r="AB119" s="156" t="s">
        <v>25</v>
      </c>
      <c r="AC119" s="156" t="s">
        <v>25</v>
      </c>
      <c r="AD119" s="156" t="s">
        <v>25</v>
      </c>
      <c r="AE119" s="156" t="s">
        <v>25</v>
      </c>
      <c r="AF119" s="156" t="s">
        <v>25</v>
      </c>
      <c r="AG119" s="157" t="s">
        <v>25</v>
      </c>
      <c r="AH119" s="221"/>
    </row>
    <row r="120" spans="1:34" s="33" customFormat="1" ht="13.8" hidden="1" thickTop="1" x14ac:dyDescent="0.25">
      <c r="A120" s="158" t="s">
        <v>126</v>
      </c>
      <c r="B120" s="159">
        <v>-9599654433.7000008</v>
      </c>
      <c r="C120" s="159"/>
      <c r="D120" s="159">
        <v>-7209455051.8199997</v>
      </c>
      <c r="E120" s="160">
        <f>F120+G120+H120</f>
        <v>-2390199381.8800001</v>
      </c>
      <c r="F120" s="159">
        <v>-1128358710.5599999</v>
      </c>
      <c r="G120" s="159">
        <v>-444870935.37</v>
      </c>
      <c r="H120" s="159">
        <v>-816969735.95000005</v>
      </c>
      <c r="I120" s="159">
        <v>-5439595296.5500002</v>
      </c>
      <c r="J120" s="159"/>
      <c r="K120" s="159">
        <v>-4021988761.0999999</v>
      </c>
      <c r="L120" s="160">
        <f>M120+N120+O120</f>
        <v>-1417606535.4499998</v>
      </c>
      <c r="M120" s="159">
        <v>-587514711.25</v>
      </c>
      <c r="N120" s="159">
        <v>-210859116.30000001</v>
      </c>
      <c r="O120" s="159">
        <v>-619232707.89999998</v>
      </c>
      <c r="P120" s="161">
        <f>B120/1000000</f>
        <v>-9599.6544337000014</v>
      </c>
      <c r="Q120" s="161">
        <f t="shared" ref="Q120:V120" si="87">D120/1000000</f>
        <v>-7209.4550518199994</v>
      </c>
      <c r="R120" s="161">
        <f t="shared" si="87"/>
        <v>-2390.1993818800001</v>
      </c>
      <c r="S120" s="161">
        <f t="shared" si="87"/>
        <v>-1128.35871056</v>
      </c>
      <c r="T120" s="161">
        <f t="shared" si="87"/>
        <v>-444.87093536999998</v>
      </c>
      <c r="U120" s="161">
        <f t="shared" si="87"/>
        <v>-816.96973595000009</v>
      </c>
      <c r="V120" s="161">
        <f t="shared" si="87"/>
        <v>-5439.5952965500001</v>
      </c>
      <c r="W120" s="161">
        <f t="shared" si="80"/>
        <v>-4021.9887610999999</v>
      </c>
      <c r="X120" s="161">
        <f t="shared" si="80"/>
        <v>-1417.6065354499999</v>
      </c>
      <c r="Y120" s="161">
        <f t="shared" si="80"/>
        <v>-587.51471125</v>
      </c>
      <c r="Z120" s="161">
        <f>N120/1000000</f>
        <v>-210.85911630000001</v>
      </c>
      <c r="AA120" s="161">
        <f>O120/1000000</f>
        <v>-619.23270789999992</v>
      </c>
      <c r="AB120" s="161"/>
      <c r="AC120" s="161"/>
      <c r="AD120" s="161"/>
      <c r="AE120" s="161"/>
      <c r="AF120" s="161"/>
      <c r="AG120" s="162"/>
      <c r="AH120" s="222"/>
    </row>
    <row r="121" spans="1:34" s="33" customFormat="1" ht="13.8" hidden="1" thickBot="1" x14ac:dyDescent="0.3">
      <c r="A121" s="163" t="s">
        <v>127</v>
      </c>
      <c r="B121" s="164">
        <f>B119-B120</f>
        <v>1.9073486328125E-5</v>
      </c>
      <c r="C121" s="164"/>
      <c r="D121" s="164">
        <f t="shared" ref="D121:AA121" si="88">D119-D120</f>
        <v>0</v>
      </c>
      <c r="E121" s="164">
        <f t="shared" si="88"/>
        <v>1.049041748046875E-5</v>
      </c>
      <c r="F121" s="164">
        <f t="shared" si="88"/>
        <v>-5.245208740234375E-6</v>
      </c>
      <c r="G121" s="164">
        <f t="shared" si="88"/>
        <v>-8.3446502685546875E-7</v>
      </c>
      <c r="H121" s="164">
        <f t="shared" si="88"/>
        <v>0</v>
      </c>
      <c r="I121" s="164">
        <f t="shared" si="88"/>
        <v>0</v>
      </c>
      <c r="J121" s="164"/>
      <c r="K121" s="164">
        <f t="shared" si="88"/>
        <v>9.059906005859375E-6</v>
      </c>
      <c r="L121" s="164">
        <f t="shared" si="88"/>
        <v>0</v>
      </c>
      <c r="M121" s="164">
        <f t="shared" si="88"/>
        <v>0</v>
      </c>
      <c r="N121" s="164">
        <f t="shared" si="88"/>
        <v>7.7486038208007813E-7</v>
      </c>
      <c r="O121" s="164">
        <f t="shared" si="88"/>
        <v>0</v>
      </c>
      <c r="P121" s="164">
        <f t="shared" si="88"/>
        <v>2.0008883439004421E-11</v>
      </c>
      <c r="Q121" s="164">
        <f t="shared" si="88"/>
        <v>0</v>
      </c>
      <c r="R121" s="164">
        <f t="shared" si="88"/>
        <v>1.0459189070388675E-11</v>
      </c>
      <c r="S121" s="164">
        <f t="shared" si="88"/>
        <v>-5.2295945351943374E-12</v>
      </c>
      <c r="T121" s="164">
        <f t="shared" si="88"/>
        <v>-8.5265128291212022E-13</v>
      </c>
      <c r="U121" s="164">
        <f t="shared" si="88"/>
        <v>0</v>
      </c>
      <c r="V121" s="164">
        <f t="shared" si="88"/>
        <v>0</v>
      </c>
      <c r="W121" s="164">
        <f t="shared" si="88"/>
        <v>9.0949470177292824E-12</v>
      </c>
      <c r="X121" s="164">
        <f t="shared" si="88"/>
        <v>0</v>
      </c>
      <c r="Y121" s="164">
        <f t="shared" si="88"/>
        <v>0</v>
      </c>
      <c r="Z121" s="164">
        <f t="shared" si="88"/>
        <v>7.673861546209082E-13</v>
      </c>
      <c r="AA121" s="164">
        <f t="shared" si="88"/>
        <v>0</v>
      </c>
      <c r="AB121" s="165"/>
      <c r="AC121" s="165"/>
      <c r="AD121" s="165"/>
      <c r="AE121" s="165"/>
      <c r="AF121" s="165"/>
      <c r="AG121" s="166"/>
      <c r="AH121" s="222"/>
    </row>
    <row r="122" spans="1:34" ht="13.5" customHeight="1" thickTop="1" x14ac:dyDescent="0.25">
      <c r="A122" s="375" t="s">
        <v>36</v>
      </c>
      <c r="B122" s="377" t="s">
        <v>230</v>
      </c>
      <c r="C122" s="377"/>
      <c r="D122" s="377"/>
      <c r="E122" s="377"/>
      <c r="F122" s="377"/>
      <c r="G122" s="377"/>
      <c r="H122" s="377"/>
      <c r="I122" s="377" t="s">
        <v>231</v>
      </c>
      <c r="J122" s="377"/>
      <c r="K122" s="377"/>
      <c r="L122" s="377"/>
      <c r="M122" s="377"/>
      <c r="N122" s="377"/>
      <c r="O122" s="377"/>
      <c r="P122" s="377" t="s">
        <v>232</v>
      </c>
      <c r="Q122" s="377"/>
      <c r="R122" s="377"/>
      <c r="S122" s="377"/>
      <c r="T122" s="377"/>
      <c r="U122" s="377"/>
      <c r="V122" s="377" t="s">
        <v>233</v>
      </c>
      <c r="W122" s="377"/>
      <c r="X122" s="377"/>
      <c r="Y122" s="377"/>
      <c r="Z122" s="377"/>
      <c r="AA122" s="377"/>
      <c r="AB122" s="377" t="s">
        <v>37</v>
      </c>
      <c r="AC122" s="377"/>
      <c r="AD122" s="377"/>
      <c r="AE122" s="377"/>
      <c r="AF122" s="377"/>
      <c r="AG122" s="378"/>
      <c r="AH122" s="204"/>
    </row>
    <row r="123" spans="1:34" x14ac:dyDescent="0.25">
      <c r="A123" s="376"/>
      <c r="B123" s="379" t="s">
        <v>38</v>
      </c>
      <c r="C123" s="380" t="s">
        <v>39</v>
      </c>
      <c r="D123" s="381"/>
      <c r="E123" s="381"/>
      <c r="F123" s="381"/>
      <c r="G123" s="381"/>
      <c r="H123" s="382"/>
      <c r="I123" s="379" t="s">
        <v>38</v>
      </c>
      <c r="J123" s="198"/>
      <c r="K123" s="383" t="s">
        <v>39</v>
      </c>
      <c r="L123" s="383"/>
      <c r="M123" s="383"/>
      <c r="N123" s="383"/>
      <c r="O123" s="383"/>
      <c r="P123" s="379" t="s">
        <v>38</v>
      </c>
      <c r="Q123" s="383" t="s">
        <v>40</v>
      </c>
      <c r="R123" s="383"/>
      <c r="S123" s="383"/>
      <c r="T123" s="383"/>
      <c r="U123" s="383"/>
      <c r="V123" s="379" t="s">
        <v>38</v>
      </c>
      <c r="W123" s="383" t="s">
        <v>40</v>
      </c>
      <c r="X123" s="383"/>
      <c r="Y123" s="383"/>
      <c r="Z123" s="383"/>
      <c r="AA123" s="383"/>
      <c r="AB123" s="379" t="s">
        <v>38</v>
      </c>
      <c r="AC123" s="383" t="s">
        <v>40</v>
      </c>
      <c r="AD123" s="383"/>
      <c r="AE123" s="383"/>
      <c r="AF123" s="383"/>
      <c r="AG123" s="384"/>
      <c r="AH123" s="204"/>
    </row>
    <row r="124" spans="1:34" x14ac:dyDescent="0.25">
      <c r="A124" s="376"/>
      <c r="B124" s="379"/>
      <c r="C124" s="385" t="s">
        <v>41</v>
      </c>
      <c r="D124" s="379" t="s">
        <v>42</v>
      </c>
      <c r="E124" s="379" t="s">
        <v>43</v>
      </c>
      <c r="F124" s="387" t="s">
        <v>44</v>
      </c>
      <c r="G124" s="387"/>
      <c r="H124" s="387"/>
      <c r="I124" s="379"/>
      <c r="J124" s="385" t="s">
        <v>41</v>
      </c>
      <c r="K124" s="379" t="s">
        <v>42</v>
      </c>
      <c r="L124" s="379" t="s">
        <v>43</v>
      </c>
      <c r="M124" s="387" t="s">
        <v>44</v>
      </c>
      <c r="N124" s="387"/>
      <c r="O124" s="387"/>
      <c r="P124" s="379"/>
      <c r="Q124" s="379" t="s">
        <v>42</v>
      </c>
      <c r="R124" s="388" t="s">
        <v>43</v>
      </c>
      <c r="S124" s="387" t="s">
        <v>44</v>
      </c>
      <c r="T124" s="387"/>
      <c r="U124" s="387"/>
      <c r="V124" s="379"/>
      <c r="W124" s="379" t="s">
        <v>42</v>
      </c>
      <c r="X124" s="388" t="s">
        <v>43</v>
      </c>
      <c r="Y124" s="387" t="s">
        <v>44</v>
      </c>
      <c r="Z124" s="387"/>
      <c r="AA124" s="387"/>
      <c r="AB124" s="379"/>
      <c r="AC124" s="388" t="s">
        <v>42</v>
      </c>
      <c r="AD124" s="388" t="s">
        <v>43</v>
      </c>
      <c r="AE124" s="389" t="s">
        <v>44</v>
      </c>
      <c r="AF124" s="389"/>
      <c r="AG124" s="390"/>
      <c r="AH124" s="205"/>
    </row>
    <row r="125" spans="1:34" ht="54.75" customHeight="1" x14ac:dyDescent="0.25">
      <c r="A125" s="376"/>
      <c r="B125" s="379"/>
      <c r="C125" s="386"/>
      <c r="D125" s="379"/>
      <c r="E125" s="379"/>
      <c r="F125" s="199" t="s">
        <v>45</v>
      </c>
      <c r="G125" s="199" t="s">
        <v>46</v>
      </c>
      <c r="H125" s="199" t="s">
        <v>47</v>
      </c>
      <c r="I125" s="379"/>
      <c r="J125" s="386"/>
      <c r="K125" s="379"/>
      <c r="L125" s="379"/>
      <c r="M125" s="199" t="s">
        <v>45</v>
      </c>
      <c r="N125" s="199" t="s">
        <v>46</v>
      </c>
      <c r="O125" s="199" t="s">
        <v>47</v>
      </c>
      <c r="P125" s="379"/>
      <c r="Q125" s="379"/>
      <c r="R125" s="388"/>
      <c r="S125" s="199" t="s">
        <v>45</v>
      </c>
      <c r="T125" s="199" t="s">
        <v>46</v>
      </c>
      <c r="U125" s="199" t="s">
        <v>47</v>
      </c>
      <c r="V125" s="379"/>
      <c r="W125" s="379"/>
      <c r="X125" s="388"/>
      <c r="Y125" s="199" t="s">
        <v>45</v>
      </c>
      <c r="Z125" s="199" t="s">
        <v>46</v>
      </c>
      <c r="AA125" s="199" t="s">
        <v>47</v>
      </c>
      <c r="AB125" s="379"/>
      <c r="AC125" s="388"/>
      <c r="AD125" s="388"/>
      <c r="AE125" s="8" t="s">
        <v>45</v>
      </c>
      <c r="AF125" s="8" t="s">
        <v>46</v>
      </c>
      <c r="AG125" s="9" t="s">
        <v>85</v>
      </c>
      <c r="AH125" s="206"/>
    </row>
    <row r="126" spans="1:34" x14ac:dyDescent="0.25">
      <c r="A126" s="10" t="s">
        <v>28</v>
      </c>
      <c r="B126" s="11"/>
      <c r="C126" s="11"/>
      <c r="D126" s="12"/>
      <c r="E126" s="11"/>
      <c r="F126" s="13"/>
      <c r="G126" s="13"/>
      <c r="H126" s="13"/>
      <c r="I126" s="11"/>
      <c r="J126" s="11"/>
      <c r="K126" s="11"/>
      <c r="L126" s="11"/>
      <c r="M126" s="13"/>
      <c r="N126" s="13"/>
      <c r="O126" s="13"/>
      <c r="P126" s="11" t="s">
        <v>49</v>
      </c>
      <c r="Q126" s="11" t="s">
        <v>50</v>
      </c>
      <c r="R126" s="11" t="s">
        <v>51</v>
      </c>
      <c r="S126" s="13">
        <v>4</v>
      </c>
      <c r="T126" s="13">
        <v>5</v>
      </c>
      <c r="U126" s="13">
        <v>6</v>
      </c>
      <c r="V126" s="11" t="s">
        <v>52</v>
      </c>
      <c r="W126" s="11" t="s">
        <v>53</v>
      </c>
      <c r="X126" s="11" t="s">
        <v>54</v>
      </c>
      <c r="Y126" s="13">
        <v>10</v>
      </c>
      <c r="Z126" s="13">
        <v>11</v>
      </c>
      <c r="AA126" s="13">
        <v>12</v>
      </c>
      <c r="AB126" s="11" t="s">
        <v>55</v>
      </c>
      <c r="AC126" s="11" t="s">
        <v>56</v>
      </c>
      <c r="AD126" s="11" t="s">
        <v>57</v>
      </c>
      <c r="AE126" s="13" t="s">
        <v>58</v>
      </c>
      <c r="AF126" s="13" t="s">
        <v>59</v>
      </c>
      <c r="AG126" s="14" t="s">
        <v>60</v>
      </c>
      <c r="AH126" s="207"/>
    </row>
    <row r="127" spans="1:34" s="33" customFormat="1" ht="26.4" x14ac:dyDescent="0.25">
      <c r="A127" s="27" t="s">
        <v>128</v>
      </c>
      <c r="B127" s="167">
        <v>9599654433.7000008</v>
      </c>
      <c r="C127" s="167"/>
      <c r="D127" s="167">
        <v>7209455051.8199997</v>
      </c>
      <c r="E127" s="168">
        <v>2390199381.8800001</v>
      </c>
      <c r="F127" s="167">
        <v>1128358710.5599999</v>
      </c>
      <c r="G127" s="167">
        <v>444870935.37</v>
      </c>
      <c r="H127" s="167">
        <v>816969735.95000005</v>
      </c>
      <c r="I127" s="167">
        <v>5439595296.5500002</v>
      </c>
      <c r="J127" s="167"/>
      <c r="K127" s="167">
        <v>4021988761.0999999</v>
      </c>
      <c r="L127" s="168">
        <v>1417606535.4499998</v>
      </c>
      <c r="M127" s="167">
        <v>587514711.25</v>
      </c>
      <c r="N127" s="167">
        <v>210859116.30000001</v>
      </c>
      <c r="O127" s="167">
        <v>619232707.89999998</v>
      </c>
      <c r="P127" s="30">
        <f t="shared" ref="P127:P136" si="89">B127/1000000</f>
        <v>9599.6544337000014</v>
      </c>
      <c r="Q127" s="30">
        <f t="shared" ref="Q127:S135" si="90">D127/1000000</f>
        <v>7209.4550518199994</v>
      </c>
      <c r="R127" s="30">
        <f>E127/1000000</f>
        <v>2390.1993818800001</v>
      </c>
      <c r="S127" s="30">
        <f>F127/1000000</f>
        <v>1128.35871056</v>
      </c>
      <c r="T127" s="30">
        <f t="shared" ref="T127:V135" si="91">G127/1000000</f>
        <v>444.87093536999998</v>
      </c>
      <c r="U127" s="30">
        <f t="shared" si="91"/>
        <v>816.96973595000009</v>
      </c>
      <c r="V127" s="30">
        <f t="shared" si="91"/>
        <v>5439.5952965500001</v>
      </c>
      <c r="W127" s="30">
        <f t="shared" ref="W127:Y135" si="92">K127/1000000</f>
        <v>4021.9887610999999</v>
      </c>
      <c r="X127" s="30">
        <f>L127/1000000</f>
        <v>1417.6065354499999</v>
      </c>
      <c r="Y127" s="30">
        <f>M127/1000000</f>
        <v>587.51471125</v>
      </c>
      <c r="Z127" s="30">
        <f t="shared" ref="Z127:AA135" si="93">N127/1000000</f>
        <v>210.85911630000001</v>
      </c>
      <c r="AA127" s="30">
        <f t="shared" si="93"/>
        <v>619.23270789999992</v>
      </c>
      <c r="AB127" s="30">
        <f t="shared" ref="AB127:AB129" si="94">V127/P127%</f>
        <v>56.664490728479407</v>
      </c>
      <c r="AC127" s="30">
        <f t="shared" ref="AC127:AC129" si="95">W127/Q127%</f>
        <v>55.787694523245058</v>
      </c>
      <c r="AD127" s="30">
        <f t="shared" ref="AD127:AD128" si="96">X127/R127%</f>
        <v>59.309133212769396</v>
      </c>
      <c r="AE127" s="30">
        <f t="shared" ref="AE127:AE128" si="97">Y127/S127%</f>
        <v>52.068079570052582</v>
      </c>
      <c r="AF127" s="30">
        <f t="shared" ref="AF127:AF128" si="98">Z127/T127%</f>
        <v>47.397818004142728</v>
      </c>
      <c r="AG127" s="31">
        <f t="shared" ref="AG127:AG128" si="99">AA127/U127%</f>
        <v>75.796284813406842</v>
      </c>
      <c r="AH127" s="209"/>
    </row>
    <row r="128" spans="1:34" s="33" customFormat="1" x14ac:dyDescent="0.25">
      <c r="A128" s="34" t="s">
        <v>129</v>
      </c>
      <c r="B128" s="167">
        <v>372247567.92000002</v>
      </c>
      <c r="C128" s="167"/>
      <c r="D128" s="167">
        <v>-325638250</v>
      </c>
      <c r="E128" s="169">
        <v>697885817.91999996</v>
      </c>
      <c r="F128" s="167">
        <v>599500000</v>
      </c>
      <c r="G128" s="167">
        <v>65661450.990000002</v>
      </c>
      <c r="H128" s="167">
        <v>32724366.93</v>
      </c>
      <c r="I128" s="167">
        <v>-609915400</v>
      </c>
      <c r="J128" s="167"/>
      <c r="K128" s="167">
        <v>-1003680300</v>
      </c>
      <c r="L128" s="169">
        <v>393764900</v>
      </c>
      <c r="M128" s="167">
        <v>367800000</v>
      </c>
      <c r="N128" s="167">
        <v>26814900</v>
      </c>
      <c r="O128" s="167">
        <v>-850000</v>
      </c>
      <c r="P128" s="24">
        <f t="shared" si="89"/>
        <v>372.24756791999999</v>
      </c>
      <c r="Q128" s="24">
        <f t="shared" si="90"/>
        <v>-325.63825000000003</v>
      </c>
      <c r="R128" s="24">
        <f t="shared" si="90"/>
        <v>697.88581791999991</v>
      </c>
      <c r="S128" s="24">
        <f t="shared" si="90"/>
        <v>599.5</v>
      </c>
      <c r="T128" s="24">
        <f t="shared" si="91"/>
        <v>65.661450990000006</v>
      </c>
      <c r="U128" s="24">
        <f t="shared" si="91"/>
        <v>32.724366930000002</v>
      </c>
      <c r="V128" s="24">
        <f t="shared" si="91"/>
        <v>-609.91539999999998</v>
      </c>
      <c r="W128" s="24">
        <f t="shared" si="92"/>
        <v>-1003.6803</v>
      </c>
      <c r="X128" s="24">
        <f t="shared" si="92"/>
        <v>393.76490000000001</v>
      </c>
      <c r="Y128" s="24">
        <f t="shared" si="92"/>
        <v>367.8</v>
      </c>
      <c r="Z128" s="24">
        <f t="shared" si="93"/>
        <v>26.814900000000002</v>
      </c>
      <c r="AA128" s="24">
        <f t="shared" si="93"/>
        <v>-0.85</v>
      </c>
      <c r="AB128" s="24">
        <f t="shared" si="94"/>
        <v>-163.84671185577156</v>
      </c>
      <c r="AC128" s="24">
        <f t="shared" si="95"/>
        <v>308.21941218514712</v>
      </c>
      <c r="AD128" s="24">
        <f t="shared" si="96"/>
        <v>56.422539316472836</v>
      </c>
      <c r="AE128" s="24">
        <f t="shared" si="97"/>
        <v>61.351125938281903</v>
      </c>
      <c r="AF128" s="24">
        <f t="shared" si="98"/>
        <v>40.838116727094274</v>
      </c>
      <c r="AG128" s="26">
        <f t="shared" si="99"/>
        <v>-2.5974528455148325</v>
      </c>
      <c r="AH128" s="208"/>
    </row>
    <row r="129" spans="1:34" s="33" customFormat="1" x14ac:dyDescent="0.25">
      <c r="A129" s="34" t="s">
        <v>130</v>
      </c>
      <c r="B129" s="167">
        <v>4838877200</v>
      </c>
      <c r="C129" s="167"/>
      <c r="D129" s="167">
        <v>4838877200</v>
      </c>
      <c r="E129" s="169">
        <v>0</v>
      </c>
      <c r="F129" s="167"/>
      <c r="G129" s="167"/>
      <c r="H129" s="167">
        <v>0</v>
      </c>
      <c r="I129" s="167">
        <v>4838877200</v>
      </c>
      <c r="J129" s="167"/>
      <c r="K129" s="167">
        <v>4838877200</v>
      </c>
      <c r="L129" s="169">
        <v>0</v>
      </c>
      <c r="M129" s="167"/>
      <c r="N129" s="167"/>
      <c r="O129" s="167">
        <v>0</v>
      </c>
      <c r="P129" s="24">
        <f t="shared" si="89"/>
        <v>4838.8771999999999</v>
      </c>
      <c r="Q129" s="24">
        <f t="shared" si="90"/>
        <v>4838.8771999999999</v>
      </c>
      <c r="R129" s="24">
        <f t="shared" si="90"/>
        <v>0</v>
      </c>
      <c r="S129" s="24">
        <f t="shared" si="90"/>
        <v>0</v>
      </c>
      <c r="T129" s="24">
        <f t="shared" si="91"/>
        <v>0</v>
      </c>
      <c r="U129" s="24">
        <f t="shared" si="91"/>
        <v>0</v>
      </c>
      <c r="V129" s="24">
        <f t="shared" si="91"/>
        <v>4838.8771999999999</v>
      </c>
      <c r="W129" s="24">
        <f t="shared" si="92"/>
        <v>4838.8771999999999</v>
      </c>
      <c r="X129" s="24">
        <f t="shared" si="92"/>
        <v>0</v>
      </c>
      <c r="Y129" s="24">
        <f t="shared" si="92"/>
        <v>0</v>
      </c>
      <c r="Z129" s="24">
        <f t="shared" si="93"/>
        <v>0</v>
      </c>
      <c r="AA129" s="24">
        <f t="shared" si="93"/>
        <v>0</v>
      </c>
      <c r="AB129" s="24">
        <f t="shared" si="94"/>
        <v>100</v>
      </c>
      <c r="AC129" s="24">
        <f t="shared" si="95"/>
        <v>100</v>
      </c>
      <c r="AD129" s="47" t="s">
        <v>64</v>
      </c>
      <c r="AE129" s="47" t="s">
        <v>64</v>
      </c>
      <c r="AF129" s="47" t="s">
        <v>64</v>
      </c>
      <c r="AG129" s="42" t="s">
        <v>64</v>
      </c>
      <c r="AH129" s="208"/>
    </row>
    <row r="130" spans="1:34" s="33" customFormat="1" ht="26.4" x14ac:dyDescent="0.25">
      <c r="A130" s="34" t="s">
        <v>131</v>
      </c>
      <c r="B130" s="167">
        <v>16964550</v>
      </c>
      <c r="C130" s="167"/>
      <c r="D130" s="167">
        <v>10664550</v>
      </c>
      <c r="E130" s="169">
        <v>6300000</v>
      </c>
      <c r="F130" s="167">
        <v>6300000</v>
      </c>
      <c r="G130" s="167"/>
      <c r="H130" s="167">
        <v>0</v>
      </c>
      <c r="I130" s="167">
        <v>16684550</v>
      </c>
      <c r="J130" s="167"/>
      <c r="K130" s="167">
        <v>10664550</v>
      </c>
      <c r="L130" s="169">
        <v>6020000</v>
      </c>
      <c r="M130" s="167">
        <v>6020000</v>
      </c>
      <c r="N130" s="167"/>
      <c r="O130" s="167">
        <v>0</v>
      </c>
      <c r="P130" s="24">
        <f t="shared" si="89"/>
        <v>16.964549999999999</v>
      </c>
      <c r="Q130" s="24">
        <f t="shared" si="90"/>
        <v>10.66455</v>
      </c>
      <c r="R130" s="24">
        <f t="shared" si="90"/>
        <v>6.3</v>
      </c>
      <c r="S130" s="24">
        <f t="shared" si="90"/>
        <v>6.3</v>
      </c>
      <c r="T130" s="24">
        <f t="shared" si="91"/>
        <v>0</v>
      </c>
      <c r="U130" s="24">
        <f t="shared" si="91"/>
        <v>0</v>
      </c>
      <c r="V130" s="24">
        <f t="shared" si="91"/>
        <v>16.684550000000002</v>
      </c>
      <c r="W130" s="24">
        <f t="shared" si="92"/>
        <v>10.66455</v>
      </c>
      <c r="X130" s="24">
        <f t="shared" si="92"/>
        <v>6.02</v>
      </c>
      <c r="Y130" s="24">
        <f t="shared" si="92"/>
        <v>6.02</v>
      </c>
      <c r="Z130" s="24">
        <f t="shared" si="93"/>
        <v>0</v>
      </c>
      <c r="AA130" s="24">
        <f t="shared" si="93"/>
        <v>0</v>
      </c>
      <c r="AB130" s="24">
        <f t="shared" ref="AB130:AE130" si="100">V130/P130%</f>
        <v>98.349499397272552</v>
      </c>
      <c r="AC130" s="24">
        <f t="shared" si="100"/>
        <v>100</v>
      </c>
      <c r="AD130" s="24">
        <f t="shared" si="100"/>
        <v>95.555555555555543</v>
      </c>
      <c r="AE130" s="24">
        <f t="shared" si="100"/>
        <v>95.555555555555543</v>
      </c>
      <c r="AF130" s="47" t="s">
        <v>64</v>
      </c>
      <c r="AG130" s="42" t="s">
        <v>64</v>
      </c>
      <c r="AH130" s="208"/>
    </row>
    <row r="131" spans="1:34" s="33" customFormat="1" ht="26.4" x14ac:dyDescent="0.25">
      <c r="A131" s="34" t="s">
        <v>132</v>
      </c>
      <c r="B131" s="167">
        <v>-6250000</v>
      </c>
      <c r="C131" s="167"/>
      <c r="D131" s="167"/>
      <c r="E131" s="169">
        <v>-6250000</v>
      </c>
      <c r="F131" s="167"/>
      <c r="G131" s="167"/>
      <c r="H131" s="167">
        <v>-6250000</v>
      </c>
      <c r="I131" s="167"/>
      <c r="J131" s="167"/>
      <c r="K131" s="167"/>
      <c r="L131" s="169">
        <v>0</v>
      </c>
      <c r="M131" s="167"/>
      <c r="N131" s="167"/>
      <c r="O131" s="167">
        <v>0</v>
      </c>
      <c r="P131" s="24">
        <f t="shared" si="89"/>
        <v>-6.25</v>
      </c>
      <c r="Q131" s="24">
        <f t="shared" si="90"/>
        <v>0</v>
      </c>
      <c r="R131" s="24">
        <f t="shared" si="90"/>
        <v>-6.25</v>
      </c>
      <c r="S131" s="24">
        <f t="shared" si="90"/>
        <v>0</v>
      </c>
      <c r="T131" s="24">
        <f t="shared" si="91"/>
        <v>0</v>
      </c>
      <c r="U131" s="24">
        <f t="shared" si="91"/>
        <v>-6.25</v>
      </c>
      <c r="V131" s="24">
        <f t="shared" si="91"/>
        <v>0</v>
      </c>
      <c r="W131" s="24">
        <f t="shared" si="92"/>
        <v>0</v>
      </c>
      <c r="X131" s="24">
        <f t="shared" si="92"/>
        <v>0</v>
      </c>
      <c r="Y131" s="24">
        <f t="shared" si="92"/>
        <v>0</v>
      </c>
      <c r="Z131" s="24">
        <f t="shared" si="93"/>
        <v>0</v>
      </c>
      <c r="AA131" s="24">
        <f t="shared" si="93"/>
        <v>0</v>
      </c>
      <c r="AB131" s="24">
        <f t="shared" ref="AB131:AB134" si="101">V131/P131%</f>
        <v>0</v>
      </c>
      <c r="AC131" s="47" t="s">
        <v>64</v>
      </c>
      <c r="AD131" s="24">
        <f t="shared" ref="AD131:AD134" si="102">X131/R131%</f>
        <v>0</v>
      </c>
      <c r="AE131" s="47" t="s">
        <v>64</v>
      </c>
      <c r="AF131" s="47" t="s">
        <v>64</v>
      </c>
      <c r="AG131" s="26">
        <f t="shared" ref="AG131:AG134" si="103">AA131/U131%</f>
        <v>0</v>
      </c>
      <c r="AH131" s="208"/>
    </row>
    <row r="132" spans="1:34" s="33" customFormat="1" x14ac:dyDescent="0.25">
      <c r="A132" s="34" t="s">
        <v>133</v>
      </c>
      <c r="B132" s="167">
        <v>450000</v>
      </c>
      <c r="C132" s="167"/>
      <c r="D132" s="167"/>
      <c r="E132" s="169">
        <v>450000</v>
      </c>
      <c r="F132" s="167"/>
      <c r="G132" s="167"/>
      <c r="H132" s="167">
        <v>450000</v>
      </c>
      <c r="I132" s="167">
        <v>3843496.07</v>
      </c>
      <c r="J132" s="167"/>
      <c r="K132" s="167">
        <v>3843496.07</v>
      </c>
      <c r="L132" s="169">
        <v>0</v>
      </c>
      <c r="M132" s="167"/>
      <c r="N132" s="167"/>
      <c r="O132" s="167">
        <v>0</v>
      </c>
      <c r="P132" s="24">
        <f t="shared" si="89"/>
        <v>0.45</v>
      </c>
      <c r="Q132" s="24">
        <f t="shared" si="90"/>
        <v>0</v>
      </c>
      <c r="R132" s="24">
        <f t="shared" si="90"/>
        <v>0.45</v>
      </c>
      <c r="S132" s="24">
        <f t="shared" si="90"/>
        <v>0</v>
      </c>
      <c r="T132" s="24">
        <f t="shared" si="91"/>
        <v>0</v>
      </c>
      <c r="U132" s="24">
        <f t="shared" si="91"/>
        <v>0.45</v>
      </c>
      <c r="V132" s="24">
        <f t="shared" si="91"/>
        <v>3.84349607</v>
      </c>
      <c r="W132" s="24">
        <f t="shared" si="92"/>
        <v>3.84349607</v>
      </c>
      <c r="X132" s="24">
        <f t="shared" si="92"/>
        <v>0</v>
      </c>
      <c r="Y132" s="24">
        <f t="shared" si="92"/>
        <v>0</v>
      </c>
      <c r="Z132" s="24">
        <f t="shared" si="93"/>
        <v>0</v>
      </c>
      <c r="AA132" s="24">
        <f t="shared" si="93"/>
        <v>0</v>
      </c>
      <c r="AB132" s="24">
        <f t="shared" si="101"/>
        <v>854.11023777777768</v>
      </c>
      <c r="AC132" s="47" t="s">
        <v>64</v>
      </c>
      <c r="AD132" s="24">
        <f t="shared" si="102"/>
        <v>0</v>
      </c>
      <c r="AE132" s="47" t="s">
        <v>64</v>
      </c>
      <c r="AF132" s="47" t="s">
        <v>64</v>
      </c>
      <c r="AG132" s="26">
        <f t="shared" si="103"/>
        <v>0</v>
      </c>
      <c r="AH132" s="208"/>
    </row>
    <row r="133" spans="1:34" s="33" customFormat="1" ht="26.4" hidden="1" x14ac:dyDescent="0.25">
      <c r="A133" s="34" t="s">
        <v>134</v>
      </c>
      <c r="B133" s="167"/>
      <c r="C133" s="167"/>
      <c r="D133" s="167"/>
      <c r="E133" s="169">
        <f t="shared" ref="E133" si="104">F133+G133+H133</f>
        <v>0</v>
      </c>
      <c r="F133" s="167"/>
      <c r="G133" s="167"/>
      <c r="H133" s="167"/>
      <c r="I133" s="167"/>
      <c r="J133" s="167"/>
      <c r="K133" s="167"/>
      <c r="L133" s="169">
        <f t="shared" ref="L133" si="105">M133+N133+O133</f>
        <v>0</v>
      </c>
      <c r="M133" s="167"/>
      <c r="N133" s="167"/>
      <c r="O133" s="167"/>
      <c r="P133" s="24">
        <f t="shared" si="89"/>
        <v>0</v>
      </c>
      <c r="Q133" s="24">
        <f t="shared" si="90"/>
        <v>0</v>
      </c>
      <c r="R133" s="24">
        <f t="shared" si="90"/>
        <v>0</v>
      </c>
      <c r="S133" s="24">
        <f t="shared" si="90"/>
        <v>0</v>
      </c>
      <c r="T133" s="24">
        <f t="shared" si="91"/>
        <v>0</v>
      </c>
      <c r="U133" s="24">
        <f t="shared" si="91"/>
        <v>0</v>
      </c>
      <c r="V133" s="24">
        <f t="shared" si="91"/>
        <v>0</v>
      </c>
      <c r="W133" s="24">
        <f t="shared" si="92"/>
        <v>0</v>
      </c>
      <c r="X133" s="24">
        <f t="shared" si="92"/>
        <v>0</v>
      </c>
      <c r="Y133" s="24">
        <f t="shared" si="92"/>
        <v>0</v>
      </c>
      <c r="Z133" s="24">
        <f t="shared" si="93"/>
        <v>0</v>
      </c>
      <c r="AA133" s="24">
        <f t="shared" si="93"/>
        <v>0</v>
      </c>
      <c r="AB133" s="24" t="s">
        <v>64</v>
      </c>
      <c r="AC133" s="24" t="s">
        <v>64</v>
      </c>
      <c r="AD133" s="24" t="s">
        <v>64</v>
      </c>
      <c r="AE133" s="24" t="s">
        <v>64</v>
      </c>
      <c r="AF133" s="24" t="s">
        <v>64</v>
      </c>
      <c r="AG133" s="26" t="s">
        <v>64</v>
      </c>
      <c r="AH133" s="208"/>
    </row>
    <row r="134" spans="1:34" s="33" customFormat="1" ht="13.8" thickBot="1" x14ac:dyDescent="0.3">
      <c r="A134" s="170" t="s">
        <v>135</v>
      </c>
      <c r="B134" s="171">
        <v>4377365115.7799997</v>
      </c>
      <c r="C134" s="171"/>
      <c r="D134" s="171">
        <v>2685551551.8200002</v>
      </c>
      <c r="E134" s="172">
        <v>1691813563.96</v>
      </c>
      <c r="F134" s="171">
        <v>522558710.56</v>
      </c>
      <c r="G134" s="171">
        <v>379209484.38</v>
      </c>
      <c r="H134" s="171">
        <v>790045369.01999998</v>
      </c>
      <c r="I134" s="171">
        <v>1190105450.48</v>
      </c>
      <c r="J134" s="171"/>
      <c r="K134" s="171">
        <v>172283815.03</v>
      </c>
      <c r="L134" s="172">
        <v>1017821635.45</v>
      </c>
      <c r="M134" s="171">
        <v>213694711.25</v>
      </c>
      <c r="N134" s="171">
        <v>184044216.30000001</v>
      </c>
      <c r="O134" s="171">
        <v>620082707.89999998</v>
      </c>
      <c r="P134" s="173">
        <f t="shared" si="89"/>
        <v>4377.3651157799995</v>
      </c>
      <c r="Q134" s="173">
        <f t="shared" si="90"/>
        <v>2685.55155182</v>
      </c>
      <c r="R134" s="173">
        <f t="shared" si="90"/>
        <v>1691.81356396</v>
      </c>
      <c r="S134" s="173">
        <f t="shared" si="90"/>
        <v>522.55871056000001</v>
      </c>
      <c r="T134" s="173">
        <f t="shared" si="91"/>
        <v>379.20948437999999</v>
      </c>
      <c r="U134" s="173">
        <f t="shared" si="91"/>
        <v>790.04536901999995</v>
      </c>
      <c r="V134" s="173">
        <f t="shared" si="91"/>
        <v>1190.1054504799999</v>
      </c>
      <c r="W134" s="173">
        <f t="shared" si="92"/>
        <v>172.28381503</v>
      </c>
      <c r="X134" s="173">
        <f t="shared" si="92"/>
        <v>1017.82163545</v>
      </c>
      <c r="Y134" s="173">
        <f t="shared" si="92"/>
        <v>213.69471125000001</v>
      </c>
      <c r="Z134" s="173">
        <f t="shared" si="93"/>
        <v>184.04421630000002</v>
      </c>
      <c r="AA134" s="173">
        <f t="shared" si="93"/>
        <v>620.08270789999995</v>
      </c>
      <c r="AB134" s="173">
        <f t="shared" si="101"/>
        <v>27.187712676508959</v>
      </c>
      <c r="AC134" s="173">
        <f t="shared" ref="AC134" si="106">W134/Q134%</f>
        <v>6.4152116131691139</v>
      </c>
      <c r="AD134" s="173">
        <f t="shared" si="102"/>
        <v>60.161572003690637</v>
      </c>
      <c r="AE134" s="173">
        <f t="shared" ref="AE134" si="107">Y134/S134%</f>
        <v>40.893914297399064</v>
      </c>
      <c r="AF134" s="173">
        <f t="shared" ref="AF134" si="108">Z134/T134%</f>
        <v>48.533653265795472</v>
      </c>
      <c r="AG134" s="174">
        <f t="shared" si="103"/>
        <v>78.486974573266892</v>
      </c>
      <c r="AH134" s="208"/>
    </row>
    <row r="135" spans="1:34" s="33" customFormat="1" ht="13.8" hidden="1" thickTop="1" x14ac:dyDescent="0.25">
      <c r="A135" s="175" t="s">
        <v>123</v>
      </c>
      <c r="B135" s="167">
        <f>+B119+B127</f>
        <v>1.9073486328125E-5</v>
      </c>
      <c r="C135" s="167">
        <f t="shared" ref="C135:O135" si="109">+C119+C127</f>
        <v>0</v>
      </c>
      <c r="D135" s="167">
        <f t="shared" si="109"/>
        <v>0</v>
      </c>
      <c r="E135" s="167">
        <f t="shared" si="109"/>
        <v>1.049041748046875E-5</v>
      </c>
      <c r="F135" s="167">
        <f t="shared" si="109"/>
        <v>-5.245208740234375E-6</v>
      </c>
      <c r="G135" s="167">
        <f t="shared" si="109"/>
        <v>-8.3446502685546875E-7</v>
      </c>
      <c r="H135" s="167">
        <f t="shared" si="109"/>
        <v>0</v>
      </c>
      <c r="I135" s="167">
        <f t="shared" si="109"/>
        <v>0</v>
      </c>
      <c r="J135" s="167">
        <f t="shared" si="109"/>
        <v>0</v>
      </c>
      <c r="K135" s="167">
        <f t="shared" si="109"/>
        <v>9.059906005859375E-6</v>
      </c>
      <c r="L135" s="167">
        <f t="shared" si="109"/>
        <v>0</v>
      </c>
      <c r="M135" s="167">
        <f t="shared" si="109"/>
        <v>0</v>
      </c>
      <c r="N135" s="167">
        <f t="shared" si="109"/>
        <v>7.7486038208007813E-7</v>
      </c>
      <c r="O135" s="167">
        <f t="shared" si="109"/>
        <v>0</v>
      </c>
      <c r="P135" s="176">
        <f t="shared" si="89"/>
        <v>1.9073486328125002E-11</v>
      </c>
      <c r="Q135" s="176">
        <f t="shared" si="90"/>
        <v>0</v>
      </c>
      <c r="R135" s="176">
        <f t="shared" si="90"/>
        <v>1.049041748046875E-11</v>
      </c>
      <c r="S135" s="176">
        <f t="shared" si="90"/>
        <v>-5.2452087402343749E-12</v>
      </c>
      <c r="T135" s="176">
        <f t="shared" si="91"/>
        <v>-8.3446502685546874E-13</v>
      </c>
      <c r="U135" s="176">
        <f t="shared" si="91"/>
        <v>0</v>
      </c>
      <c r="V135" s="176">
        <f t="shared" si="91"/>
        <v>0</v>
      </c>
      <c r="W135" s="176">
        <f t="shared" si="92"/>
        <v>9.0599060058593755E-12</v>
      </c>
      <c r="X135" s="176">
        <f t="shared" si="92"/>
        <v>0</v>
      </c>
      <c r="Y135" s="176">
        <f t="shared" si="92"/>
        <v>0</v>
      </c>
      <c r="Z135" s="176">
        <f t="shared" si="93"/>
        <v>7.7486038208007808E-13</v>
      </c>
      <c r="AA135" s="176">
        <f t="shared" si="93"/>
        <v>0</v>
      </c>
      <c r="AB135" s="176">
        <f t="shared" ref="AB135:AG135" si="110">V135/P135%</f>
        <v>0</v>
      </c>
      <c r="AC135" s="176" t="e">
        <f t="shared" si="110"/>
        <v>#DIV/0!</v>
      </c>
      <c r="AD135" s="176">
        <f t="shared" si="110"/>
        <v>0</v>
      </c>
      <c r="AE135" s="176">
        <f t="shared" si="110"/>
        <v>0</v>
      </c>
      <c r="AF135" s="176">
        <f t="shared" si="110"/>
        <v>-92.857142857142847</v>
      </c>
      <c r="AG135" s="177" t="e">
        <f t="shared" si="110"/>
        <v>#DIV/0!</v>
      </c>
      <c r="AH135" s="208"/>
    </row>
    <row r="136" spans="1:34" s="33" customFormat="1" ht="13.8" hidden="1" thickTop="1" x14ac:dyDescent="0.25">
      <c r="A136" s="178"/>
      <c r="B136" s="167">
        <f>+B127+B120</f>
        <v>0</v>
      </c>
      <c r="C136" s="167">
        <f t="shared" ref="C136:O136" si="111">+C127+C120</f>
        <v>0</v>
      </c>
      <c r="D136" s="167">
        <f t="shared" si="111"/>
        <v>0</v>
      </c>
      <c r="E136" s="167">
        <f t="shared" si="111"/>
        <v>0</v>
      </c>
      <c r="F136" s="167">
        <f t="shared" si="111"/>
        <v>0</v>
      </c>
      <c r="G136" s="167">
        <f t="shared" si="111"/>
        <v>0</v>
      </c>
      <c r="H136" s="167">
        <f t="shared" si="111"/>
        <v>0</v>
      </c>
      <c r="I136" s="167">
        <f t="shared" si="111"/>
        <v>0</v>
      </c>
      <c r="J136" s="167">
        <f t="shared" si="111"/>
        <v>0</v>
      </c>
      <c r="K136" s="167">
        <f t="shared" si="111"/>
        <v>0</v>
      </c>
      <c r="L136" s="167">
        <f t="shared" si="111"/>
        <v>0</v>
      </c>
      <c r="M136" s="167">
        <f t="shared" si="111"/>
        <v>0</v>
      </c>
      <c r="N136" s="167">
        <f t="shared" si="111"/>
        <v>0</v>
      </c>
      <c r="O136" s="167">
        <f t="shared" si="111"/>
        <v>0</v>
      </c>
      <c r="P136" s="167">
        <f t="shared" si="89"/>
        <v>0</v>
      </c>
      <c r="Q136" s="167"/>
      <c r="R136" s="167"/>
      <c r="S136" s="167"/>
      <c r="T136" s="167"/>
      <c r="U136" s="167"/>
      <c r="V136" s="167"/>
      <c r="W136" s="167"/>
      <c r="X136" s="167"/>
      <c r="Y136" s="167"/>
      <c r="Z136" s="167"/>
      <c r="AA136" s="167"/>
      <c r="AB136" s="179"/>
      <c r="AC136" s="179"/>
      <c r="AD136" s="179"/>
      <c r="AE136" s="179"/>
      <c r="AF136" s="179"/>
      <c r="AG136" s="180"/>
      <c r="AH136" s="179"/>
    </row>
    <row r="137" spans="1:34" s="33" customFormat="1" hidden="1" x14ac:dyDescent="0.25">
      <c r="A137" s="178"/>
      <c r="B137" s="167"/>
      <c r="C137" s="167"/>
      <c r="D137" s="167"/>
      <c r="E137" s="167"/>
      <c r="F137" s="167"/>
      <c r="G137" s="167"/>
      <c r="H137" s="167"/>
      <c r="I137" s="167"/>
      <c r="J137" s="167"/>
      <c r="K137" s="167"/>
      <c r="L137" s="167"/>
      <c r="M137" s="167"/>
      <c r="N137" s="167"/>
      <c r="O137" s="167"/>
      <c r="P137" s="167"/>
      <c r="Q137" s="167"/>
      <c r="R137" s="167"/>
      <c r="S137" s="167"/>
      <c r="T137" s="167"/>
      <c r="U137" s="167"/>
      <c r="V137" s="167"/>
      <c r="W137" s="167"/>
      <c r="X137" s="167"/>
      <c r="Y137" s="167"/>
      <c r="Z137" s="167"/>
      <c r="AA137" s="167"/>
      <c r="AB137" s="179"/>
      <c r="AC137" s="179"/>
      <c r="AD137" s="179"/>
      <c r="AE137" s="179"/>
      <c r="AF137" s="179"/>
      <c r="AG137" s="179"/>
      <c r="AH137" s="179"/>
    </row>
    <row r="138" spans="1:34" s="33" customFormat="1" hidden="1" x14ac:dyDescent="0.25">
      <c r="A138" s="178"/>
      <c r="B138" s="167"/>
      <c r="C138" s="167"/>
      <c r="D138" s="167"/>
      <c r="E138" s="167"/>
      <c r="F138" s="167"/>
      <c r="G138" s="167"/>
      <c r="H138" s="167"/>
      <c r="I138" s="167"/>
      <c r="J138" s="167"/>
      <c r="K138" s="167"/>
      <c r="L138" s="167"/>
      <c r="M138" s="167"/>
      <c r="N138" s="167"/>
      <c r="O138" s="167"/>
      <c r="P138" s="167"/>
      <c r="Q138" s="167"/>
      <c r="R138" s="167"/>
      <c r="S138" s="167"/>
      <c r="T138" s="167"/>
      <c r="U138" s="167"/>
      <c r="V138" s="167"/>
      <c r="W138" s="167"/>
      <c r="X138" s="167"/>
      <c r="Y138" s="167"/>
      <c r="Z138" s="167"/>
      <c r="AA138" s="167"/>
      <c r="AB138" s="179"/>
      <c r="AC138" s="179"/>
      <c r="AD138" s="179"/>
      <c r="AE138" s="179"/>
      <c r="AF138" s="179"/>
      <c r="AG138" s="179"/>
      <c r="AH138" s="179"/>
    </row>
    <row r="139" spans="1:34" s="33" customFormat="1" hidden="1" x14ac:dyDescent="0.25">
      <c r="A139" s="178"/>
      <c r="B139" s="167"/>
      <c r="C139" s="167"/>
      <c r="D139" s="167"/>
      <c r="E139" s="167"/>
      <c r="F139" s="167"/>
      <c r="G139" s="167"/>
      <c r="H139" s="167"/>
      <c r="I139" s="167"/>
      <c r="J139" s="167"/>
      <c r="K139" s="167"/>
      <c r="L139" s="167"/>
      <c r="M139" s="167"/>
      <c r="N139" s="167"/>
      <c r="O139" s="167"/>
      <c r="P139" s="167"/>
      <c r="Q139" s="167"/>
      <c r="R139" s="167"/>
      <c r="S139" s="167"/>
      <c r="T139" s="167"/>
      <c r="U139" s="167"/>
      <c r="V139" s="167"/>
      <c r="W139" s="167"/>
      <c r="X139" s="167"/>
      <c r="Y139" s="167"/>
      <c r="Z139" s="167"/>
      <c r="AA139" s="167"/>
      <c r="AB139" s="179"/>
      <c r="AC139" s="179"/>
      <c r="AD139" s="179"/>
      <c r="AE139" s="179"/>
      <c r="AF139" s="179"/>
      <c r="AG139" s="179"/>
      <c r="AH139" s="179"/>
    </row>
    <row r="140" spans="1:34" s="181" customFormat="1" ht="15.6" customHeight="1" thickTop="1" thickBot="1" x14ac:dyDescent="0.3">
      <c r="A140" s="391" t="s">
        <v>136</v>
      </c>
      <c r="B140" s="391"/>
      <c r="C140" s="391"/>
      <c r="D140" s="391"/>
      <c r="E140" s="391"/>
      <c r="F140" s="391"/>
      <c r="G140" s="391"/>
      <c r="H140" s="391"/>
      <c r="I140" s="391"/>
      <c r="J140" s="391"/>
      <c r="K140" s="391"/>
      <c r="L140" s="391"/>
      <c r="M140" s="391"/>
      <c r="N140" s="391"/>
      <c r="O140" s="391"/>
      <c r="P140" s="391"/>
      <c r="Q140" s="391"/>
      <c r="R140" s="391"/>
      <c r="S140" s="391"/>
      <c r="T140" s="391"/>
      <c r="U140" s="391"/>
      <c r="V140" s="391"/>
      <c r="W140" s="391"/>
      <c r="X140" s="391"/>
      <c r="Y140" s="391"/>
      <c r="Z140" s="391"/>
      <c r="AA140" s="391"/>
      <c r="AB140" s="391"/>
      <c r="AC140" s="391"/>
      <c r="AD140" s="391"/>
      <c r="AE140" s="391"/>
      <c r="AF140" s="391"/>
      <c r="AG140" s="391"/>
      <c r="AH140" s="200"/>
    </row>
    <row r="141" spans="1:34" s="181" customFormat="1" ht="13.8" thickTop="1" x14ac:dyDescent="0.25">
      <c r="A141" s="375" t="s">
        <v>36</v>
      </c>
      <c r="B141" s="377" t="s">
        <v>137</v>
      </c>
      <c r="C141" s="377"/>
      <c r="D141" s="377"/>
      <c r="E141" s="377"/>
      <c r="F141" s="377"/>
      <c r="G141" s="377"/>
      <c r="H141" s="377"/>
      <c r="I141" s="377" t="s">
        <v>234</v>
      </c>
      <c r="J141" s="377"/>
      <c r="K141" s="377"/>
      <c r="L141" s="377"/>
      <c r="M141" s="377"/>
      <c r="N141" s="377"/>
      <c r="O141" s="377"/>
      <c r="P141" s="377" t="s">
        <v>138</v>
      </c>
      <c r="Q141" s="377"/>
      <c r="R141" s="377"/>
      <c r="S141" s="377"/>
      <c r="T141" s="377"/>
      <c r="U141" s="377"/>
      <c r="V141" s="377" t="s">
        <v>235</v>
      </c>
      <c r="W141" s="377"/>
      <c r="X141" s="377"/>
      <c r="Y141" s="377"/>
      <c r="Z141" s="377"/>
      <c r="AA141" s="377"/>
      <c r="AB141" s="377" t="s">
        <v>139</v>
      </c>
      <c r="AC141" s="377"/>
      <c r="AD141" s="377"/>
      <c r="AE141" s="377"/>
      <c r="AF141" s="377"/>
      <c r="AG141" s="378"/>
      <c r="AH141" s="204"/>
    </row>
    <row r="142" spans="1:34" s="181" customFormat="1" x14ac:dyDescent="0.25">
      <c r="A142" s="376"/>
      <c r="B142" s="379" t="s">
        <v>38</v>
      </c>
      <c r="C142" s="383" t="s">
        <v>39</v>
      </c>
      <c r="D142" s="383"/>
      <c r="E142" s="383"/>
      <c r="F142" s="383"/>
      <c r="G142" s="383"/>
      <c r="H142" s="383"/>
      <c r="I142" s="379" t="s">
        <v>38</v>
      </c>
      <c r="J142" s="198"/>
      <c r="K142" s="383" t="s">
        <v>39</v>
      </c>
      <c r="L142" s="383"/>
      <c r="M142" s="383"/>
      <c r="N142" s="383"/>
      <c r="O142" s="383"/>
      <c r="P142" s="379" t="s">
        <v>38</v>
      </c>
      <c r="Q142" s="383" t="s">
        <v>40</v>
      </c>
      <c r="R142" s="383"/>
      <c r="S142" s="383"/>
      <c r="T142" s="383"/>
      <c r="U142" s="383"/>
      <c r="V142" s="379" t="s">
        <v>38</v>
      </c>
      <c r="W142" s="383" t="s">
        <v>40</v>
      </c>
      <c r="X142" s="383"/>
      <c r="Y142" s="383"/>
      <c r="Z142" s="383"/>
      <c r="AA142" s="383"/>
      <c r="AB142" s="379" t="s">
        <v>38</v>
      </c>
      <c r="AC142" s="383" t="s">
        <v>40</v>
      </c>
      <c r="AD142" s="383"/>
      <c r="AE142" s="383"/>
      <c r="AF142" s="383"/>
      <c r="AG142" s="384"/>
      <c r="AH142" s="204"/>
    </row>
    <row r="143" spans="1:34" s="181" customFormat="1" x14ac:dyDescent="0.25">
      <c r="A143" s="376"/>
      <c r="B143" s="379"/>
      <c r="C143" s="392" t="s">
        <v>41</v>
      </c>
      <c r="D143" s="379" t="s">
        <v>42</v>
      </c>
      <c r="E143" s="379" t="s">
        <v>43</v>
      </c>
      <c r="F143" s="387" t="s">
        <v>44</v>
      </c>
      <c r="G143" s="387"/>
      <c r="H143" s="387"/>
      <c r="I143" s="379"/>
      <c r="J143" s="392" t="s">
        <v>41</v>
      </c>
      <c r="K143" s="379" t="s">
        <v>42</v>
      </c>
      <c r="L143" s="379" t="s">
        <v>43</v>
      </c>
      <c r="M143" s="387" t="s">
        <v>44</v>
      </c>
      <c r="N143" s="387"/>
      <c r="O143" s="387"/>
      <c r="P143" s="379"/>
      <c r="Q143" s="379" t="s">
        <v>42</v>
      </c>
      <c r="R143" s="388" t="s">
        <v>43</v>
      </c>
      <c r="S143" s="387" t="s">
        <v>44</v>
      </c>
      <c r="T143" s="387"/>
      <c r="U143" s="387"/>
      <c r="V143" s="379"/>
      <c r="W143" s="379" t="s">
        <v>42</v>
      </c>
      <c r="X143" s="388" t="s">
        <v>43</v>
      </c>
      <c r="Y143" s="387" t="s">
        <v>44</v>
      </c>
      <c r="Z143" s="387"/>
      <c r="AA143" s="387"/>
      <c r="AB143" s="379"/>
      <c r="AC143" s="388" t="s">
        <v>42</v>
      </c>
      <c r="AD143" s="388" t="s">
        <v>43</v>
      </c>
      <c r="AE143" s="389" t="s">
        <v>44</v>
      </c>
      <c r="AF143" s="389"/>
      <c r="AG143" s="390"/>
      <c r="AH143" s="205"/>
    </row>
    <row r="144" spans="1:34" s="181" customFormat="1" ht="48" customHeight="1" x14ac:dyDescent="0.25">
      <c r="A144" s="376"/>
      <c r="B144" s="379"/>
      <c r="C144" s="392"/>
      <c r="D144" s="379"/>
      <c r="E144" s="379"/>
      <c r="F144" s="199" t="s">
        <v>45</v>
      </c>
      <c r="G144" s="199" t="s">
        <v>46</v>
      </c>
      <c r="H144" s="199" t="s">
        <v>47</v>
      </c>
      <c r="I144" s="379"/>
      <c r="J144" s="392"/>
      <c r="K144" s="379"/>
      <c r="L144" s="379"/>
      <c r="M144" s="199" t="s">
        <v>45</v>
      </c>
      <c r="N144" s="199" t="s">
        <v>46</v>
      </c>
      <c r="O144" s="199" t="s">
        <v>47</v>
      </c>
      <c r="P144" s="379"/>
      <c r="Q144" s="379"/>
      <c r="R144" s="388"/>
      <c r="S144" s="199" t="s">
        <v>45</v>
      </c>
      <c r="T144" s="199" t="s">
        <v>46</v>
      </c>
      <c r="U144" s="199" t="s">
        <v>47</v>
      </c>
      <c r="V144" s="379"/>
      <c r="W144" s="379"/>
      <c r="X144" s="388"/>
      <c r="Y144" s="199" t="s">
        <v>45</v>
      </c>
      <c r="Z144" s="199" t="s">
        <v>46</v>
      </c>
      <c r="AA144" s="199" t="s">
        <v>47</v>
      </c>
      <c r="AB144" s="379"/>
      <c r="AC144" s="388"/>
      <c r="AD144" s="388"/>
      <c r="AE144" s="8" t="s">
        <v>45</v>
      </c>
      <c r="AF144" s="8" t="s">
        <v>46</v>
      </c>
      <c r="AG144" s="9" t="s">
        <v>48</v>
      </c>
      <c r="AH144" s="206"/>
    </row>
    <row r="145" spans="1:36" s="33" customFormat="1" ht="26.4" x14ac:dyDescent="0.25">
      <c r="A145" s="27" t="s">
        <v>140</v>
      </c>
      <c r="B145" s="182">
        <f>D145+E145</f>
        <v>4484776894.9800005</v>
      </c>
      <c r="C145" s="183"/>
      <c r="D145" s="183">
        <v>2685551677.5900002</v>
      </c>
      <c r="E145" s="182">
        <f>F145+G145+H145</f>
        <v>1799225217.3900001</v>
      </c>
      <c r="F145" s="183">
        <v>474183634.55000001</v>
      </c>
      <c r="G145" s="183">
        <v>486124000.88999999</v>
      </c>
      <c r="H145" s="183">
        <v>838917581.95000005</v>
      </c>
      <c r="I145" s="182">
        <f>K145+L145</f>
        <v>3294839205.3000002</v>
      </c>
      <c r="J145" s="183"/>
      <c r="K145" s="183">
        <v>2513267862.5599999</v>
      </c>
      <c r="L145" s="182">
        <f>M145+N145+O145</f>
        <v>781571342.74000001</v>
      </c>
      <c r="M145" s="183">
        <v>260488923.30000001</v>
      </c>
      <c r="N145" s="183">
        <v>302247654.58999997</v>
      </c>
      <c r="O145" s="183">
        <v>218834764.85000002</v>
      </c>
      <c r="P145" s="30">
        <f>B145/1000000</f>
        <v>4484.7768949800002</v>
      </c>
      <c r="Q145" s="30">
        <f t="shared" ref="Q145:V147" si="112">D145/1000000</f>
        <v>2685.5516775900001</v>
      </c>
      <c r="R145" s="30">
        <f t="shared" si="112"/>
        <v>1799.2252173900001</v>
      </c>
      <c r="S145" s="30">
        <f t="shared" si="112"/>
        <v>474.18363455000002</v>
      </c>
      <c r="T145" s="30">
        <f t="shared" si="112"/>
        <v>486.12400088999999</v>
      </c>
      <c r="U145" s="30">
        <f t="shared" si="112"/>
        <v>838.91758195</v>
      </c>
      <c r="V145" s="30">
        <f t="shared" si="112"/>
        <v>3294.8392053000002</v>
      </c>
      <c r="W145" s="30">
        <f t="shared" ref="W145:AA148" si="113">K145/1000000</f>
        <v>2513.2678625600001</v>
      </c>
      <c r="X145" s="30">
        <f t="shared" si="113"/>
        <v>781.57134273999998</v>
      </c>
      <c r="Y145" s="30">
        <f t="shared" si="113"/>
        <v>260.48892330000001</v>
      </c>
      <c r="Z145" s="30">
        <f t="shared" si="113"/>
        <v>302.24765458999997</v>
      </c>
      <c r="AA145" s="30">
        <f t="shared" si="113"/>
        <v>218.83476485000003</v>
      </c>
      <c r="AB145" s="30">
        <f>V145-P145</f>
        <v>-1189.9376896799999</v>
      </c>
      <c r="AC145" s="30">
        <f>W145-Q145</f>
        <v>-172.28381502999991</v>
      </c>
      <c r="AD145" s="30">
        <f>X145-R145</f>
        <v>-1017.6538746500001</v>
      </c>
      <c r="AE145" s="30">
        <f t="shared" ref="AE145:AG148" si="114">Y145-S145</f>
        <v>-213.69471125000001</v>
      </c>
      <c r="AF145" s="30">
        <f t="shared" si="114"/>
        <v>-183.87634630000002</v>
      </c>
      <c r="AG145" s="31">
        <f t="shared" si="114"/>
        <v>-620.08281709999994</v>
      </c>
      <c r="AH145" s="209"/>
    </row>
    <row r="146" spans="1:36" x14ac:dyDescent="0.25">
      <c r="A146" s="104" t="s">
        <v>141</v>
      </c>
      <c r="B146" s="184">
        <f>D146+E146</f>
        <v>1716768851.8000002</v>
      </c>
      <c r="C146" s="185"/>
      <c r="D146" s="146">
        <v>286708960.94</v>
      </c>
      <c r="E146" s="184">
        <f t="shared" ref="E146:E153" si="115">F146+G146+H146</f>
        <v>1430059890.8600001</v>
      </c>
      <c r="F146" s="185">
        <v>546244372.11000001</v>
      </c>
      <c r="G146" s="185">
        <v>191723481.91999999</v>
      </c>
      <c r="H146" s="185">
        <v>692092036.83000004</v>
      </c>
      <c r="I146" s="184">
        <f>K146+L146</f>
        <v>212292841.52000001</v>
      </c>
      <c r="J146" s="185"/>
      <c r="K146" s="146">
        <v>137985.51999999999</v>
      </c>
      <c r="L146" s="184">
        <f t="shared" ref="L146:L148" si="116">M146+N146+O146</f>
        <v>212154856</v>
      </c>
      <c r="M146" s="185">
        <v>37540806.210000001</v>
      </c>
      <c r="N146" s="185">
        <v>59811440.700000003</v>
      </c>
      <c r="O146" s="185">
        <v>114802609.08999999</v>
      </c>
      <c r="P146" s="25">
        <f>B146/1000000</f>
        <v>1716.7688518000002</v>
      </c>
      <c r="Q146" s="25">
        <f t="shared" si="112"/>
        <v>286.70896094</v>
      </c>
      <c r="R146" s="25">
        <f t="shared" si="112"/>
        <v>1430.0598908600002</v>
      </c>
      <c r="S146" s="25">
        <f t="shared" si="112"/>
        <v>546.24437210999997</v>
      </c>
      <c r="T146" s="25">
        <f t="shared" si="112"/>
        <v>191.72348191999998</v>
      </c>
      <c r="U146" s="25">
        <f t="shared" si="112"/>
        <v>692.0920368300001</v>
      </c>
      <c r="V146" s="24">
        <f t="shared" si="112"/>
        <v>212.29284152000002</v>
      </c>
      <c r="W146" s="24">
        <f t="shared" si="113"/>
        <v>0.13798552</v>
      </c>
      <c r="X146" s="24">
        <f t="shared" si="113"/>
        <v>212.154856</v>
      </c>
      <c r="Y146" s="24">
        <f t="shared" si="113"/>
        <v>37.54080621</v>
      </c>
      <c r="Z146" s="24">
        <f t="shared" si="113"/>
        <v>59.811440700000006</v>
      </c>
      <c r="AA146" s="24">
        <f t="shared" si="113"/>
        <v>114.80260908999999</v>
      </c>
      <c r="AB146" s="24">
        <f t="shared" ref="AB146:AG153" si="117">V146-P146</f>
        <v>-1504.4760102800001</v>
      </c>
      <c r="AC146" s="24">
        <f t="shared" si="117"/>
        <v>-286.57097542000002</v>
      </c>
      <c r="AD146" s="24">
        <f t="shared" si="117"/>
        <v>-1217.9050348600003</v>
      </c>
      <c r="AE146" s="24">
        <f t="shared" si="114"/>
        <v>-508.70356589999994</v>
      </c>
      <c r="AF146" s="24">
        <f t="shared" si="114"/>
        <v>-131.91204121999999</v>
      </c>
      <c r="AG146" s="26">
        <f t="shared" si="114"/>
        <v>-577.28942774000006</v>
      </c>
      <c r="AH146" s="208"/>
    </row>
    <row r="147" spans="1:36" x14ac:dyDescent="0.25">
      <c r="A147" s="104" t="s">
        <v>142</v>
      </c>
      <c r="B147" s="184">
        <f>D147+E147</f>
        <v>300673839.02999997</v>
      </c>
      <c r="C147" s="185"/>
      <c r="D147" s="254">
        <v>286708960.94</v>
      </c>
      <c r="E147" s="184">
        <f t="shared" si="115"/>
        <v>13964878.09</v>
      </c>
      <c r="F147" s="185">
        <v>8745711.9000000004</v>
      </c>
      <c r="G147" s="185">
        <v>4185880.33</v>
      </c>
      <c r="H147" s="146">
        <v>1033285.86</v>
      </c>
      <c r="I147" s="184">
        <f>K147+L147</f>
        <v>74274706.61999999</v>
      </c>
      <c r="J147" s="185"/>
      <c r="K147" s="254">
        <v>137985.51999999999</v>
      </c>
      <c r="L147" s="184">
        <f t="shared" si="116"/>
        <v>74136721.099999994</v>
      </c>
      <c r="M147" s="185">
        <v>29525567.52</v>
      </c>
      <c r="N147" s="185">
        <v>44605367</v>
      </c>
      <c r="O147" s="146">
        <v>5786.58</v>
      </c>
      <c r="P147" s="25">
        <f>B147/1000000</f>
        <v>300.67383902999995</v>
      </c>
      <c r="Q147" s="25">
        <f t="shared" si="112"/>
        <v>286.70896094</v>
      </c>
      <c r="R147" s="25">
        <f t="shared" si="112"/>
        <v>13.964878089999999</v>
      </c>
      <c r="S147" s="25">
        <f t="shared" si="112"/>
        <v>8.7457118999999999</v>
      </c>
      <c r="T147" s="25">
        <f t="shared" si="112"/>
        <v>4.1858803299999998</v>
      </c>
      <c r="U147" s="25">
        <f t="shared" si="112"/>
        <v>1.0332858599999999</v>
      </c>
      <c r="V147" s="24">
        <f t="shared" si="112"/>
        <v>74.274706619999989</v>
      </c>
      <c r="W147" s="24">
        <f t="shared" si="113"/>
        <v>0.13798552</v>
      </c>
      <c r="X147" s="24">
        <f t="shared" si="113"/>
        <v>74.136721099999988</v>
      </c>
      <c r="Y147" s="24">
        <f t="shared" si="113"/>
        <v>29.525567519999999</v>
      </c>
      <c r="Z147" s="24">
        <f t="shared" si="113"/>
        <v>44.605367000000001</v>
      </c>
      <c r="AA147" s="24">
        <f t="shared" si="113"/>
        <v>5.7865799999999995E-3</v>
      </c>
      <c r="AB147" s="24">
        <f t="shared" si="117"/>
        <v>-226.39913240999996</v>
      </c>
      <c r="AC147" s="24">
        <f t="shared" si="117"/>
        <v>-286.57097542000002</v>
      </c>
      <c r="AD147" s="24">
        <f t="shared" si="117"/>
        <v>60.171843009999989</v>
      </c>
      <c r="AE147" s="24">
        <f t="shared" si="114"/>
        <v>20.779855619999999</v>
      </c>
      <c r="AF147" s="24">
        <f t="shared" si="114"/>
        <v>40.419486669999998</v>
      </c>
      <c r="AG147" s="26">
        <f t="shared" si="114"/>
        <v>-1.0274992799999998</v>
      </c>
      <c r="AH147" s="208"/>
    </row>
    <row r="148" spans="1:36" x14ac:dyDescent="0.25">
      <c r="A148" s="104" t="s">
        <v>143</v>
      </c>
      <c r="B148" s="184">
        <f>E148</f>
        <v>1416095012.77</v>
      </c>
      <c r="C148" s="185"/>
      <c r="D148" s="185"/>
      <c r="E148" s="184">
        <f t="shared" si="115"/>
        <v>1416095012.77</v>
      </c>
      <c r="F148" s="186">
        <f>F146-F147</f>
        <v>537498660.21000004</v>
      </c>
      <c r="G148" s="186">
        <f>G146-G147</f>
        <v>187537601.58999997</v>
      </c>
      <c r="H148" s="186">
        <f>H146-H147</f>
        <v>691058750.97000003</v>
      </c>
      <c r="I148" s="184">
        <f>L148</f>
        <v>138018134.90000001</v>
      </c>
      <c r="J148" s="185"/>
      <c r="K148" s="185"/>
      <c r="L148" s="184">
        <f t="shared" si="116"/>
        <v>138018134.90000001</v>
      </c>
      <c r="M148" s="186">
        <f>M146-M147</f>
        <v>8015238.6900000013</v>
      </c>
      <c r="N148" s="186">
        <f>N146-N147</f>
        <v>15206073.700000003</v>
      </c>
      <c r="O148" s="186">
        <f>O146-O147</f>
        <v>114796822.50999999</v>
      </c>
      <c r="P148" s="25">
        <f>B148/1000000</f>
        <v>1416.09501277</v>
      </c>
      <c r="Q148" s="25"/>
      <c r="R148" s="25">
        <f>E148/1000000</f>
        <v>1416.09501277</v>
      </c>
      <c r="S148" s="25">
        <f>F148/1000000</f>
        <v>537.49866021000003</v>
      </c>
      <c r="T148" s="25">
        <f>G148/1000000</f>
        <v>187.53760158999998</v>
      </c>
      <c r="U148" s="25">
        <f>H148/1000000</f>
        <v>691.05875097000001</v>
      </c>
      <c r="V148" s="24">
        <f>I148/1000000</f>
        <v>138.01813490000001</v>
      </c>
      <c r="W148" s="24"/>
      <c r="X148" s="24">
        <f>L148/1000000</f>
        <v>138.01813490000001</v>
      </c>
      <c r="Y148" s="24">
        <f>M148/1000000</f>
        <v>8.0152386900000021</v>
      </c>
      <c r="Z148" s="24">
        <f t="shared" si="113"/>
        <v>15.206073700000003</v>
      </c>
      <c r="AA148" s="24">
        <f t="shared" si="113"/>
        <v>114.79682250999998</v>
      </c>
      <c r="AB148" s="24">
        <f t="shared" si="117"/>
        <v>-1278.0768778700001</v>
      </c>
      <c r="AC148" s="47" t="s">
        <v>64</v>
      </c>
      <c r="AD148" s="24">
        <f t="shared" si="117"/>
        <v>-1278.0768778700001</v>
      </c>
      <c r="AE148" s="24">
        <f t="shared" si="114"/>
        <v>-529.48342151999998</v>
      </c>
      <c r="AF148" s="24">
        <f t="shared" si="114"/>
        <v>-172.33152788999999</v>
      </c>
      <c r="AG148" s="26">
        <f t="shared" si="114"/>
        <v>-576.26192846000004</v>
      </c>
      <c r="AH148" s="208"/>
    </row>
    <row r="149" spans="1:36" s="33" customFormat="1" ht="26.4" x14ac:dyDescent="0.25">
      <c r="A149" s="27" t="s">
        <v>152</v>
      </c>
      <c r="B149" s="182">
        <f>D149+E149</f>
        <v>206515389.31</v>
      </c>
      <c r="C149" s="187"/>
      <c r="D149" s="187"/>
      <c r="E149" s="182">
        <f t="shared" si="115"/>
        <v>206515389.31</v>
      </c>
      <c r="F149" s="183">
        <v>46892440.869999997</v>
      </c>
      <c r="G149" s="183">
        <v>69024258.860000014</v>
      </c>
      <c r="H149" s="183">
        <v>90598689.579999983</v>
      </c>
      <c r="I149" s="182">
        <f>K149+L149</f>
        <v>366441024.36000001</v>
      </c>
      <c r="J149" s="187"/>
      <c r="K149" s="187"/>
      <c r="L149" s="182">
        <f t="shared" ref="L149:L153" si="118">M149+N149+O149</f>
        <v>366441024.36000001</v>
      </c>
      <c r="M149" s="183">
        <v>57944218.700000003</v>
      </c>
      <c r="N149" s="183">
        <v>193333567.62000003</v>
      </c>
      <c r="O149" s="183">
        <v>115163238.03999999</v>
      </c>
      <c r="P149" s="30">
        <f t="shared" ref="P149:P153" si="119">B149/1000000</f>
        <v>206.51538930999999</v>
      </c>
      <c r="Q149" s="30">
        <f t="shared" ref="Q149:V153" si="120">D149/1000000</f>
        <v>0</v>
      </c>
      <c r="R149" s="30">
        <f t="shared" si="120"/>
        <v>206.51538930999999</v>
      </c>
      <c r="S149" s="30">
        <f t="shared" si="120"/>
        <v>46.892440869999994</v>
      </c>
      <c r="T149" s="30">
        <f t="shared" si="120"/>
        <v>69.024258860000018</v>
      </c>
      <c r="U149" s="30">
        <f t="shared" si="120"/>
        <v>90.598689579999984</v>
      </c>
      <c r="V149" s="30">
        <f t="shared" si="120"/>
        <v>366.44102436000003</v>
      </c>
      <c r="W149" s="30">
        <f t="shared" ref="W149:AA153" si="121">K149/1000000</f>
        <v>0</v>
      </c>
      <c r="X149" s="30">
        <f t="shared" si="121"/>
        <v>366.44102436000003</v>
      </c>
      <c r="Y149" s="30">
        <f t="shared" si="121"/>
        <v>57.9442187</v>
      </c>
      <c r="Z149" s="30">
        <f t="shared" si="121"/>
        <v>193.33356762000003</v>
      </c>
      <c r="AA149" s="30">
        <f t="shared" si="121"/>
        <v>115.16323804</v>
      </c>
      <c r="AB149" s="30">
        <f t="shared" si="117"/>
        <v>159.92563505000004</v>
      </c>
      <c r="AC149" s="30">
        <f t="shared" si="117"/>
        <v>0</v>
      </c>
      <c r="AD149" s="30">
        <f t="shared" si="117"/>
        <v>159.92563505000004</v>
      </c>
      <c r="AE149" s="30">
        <f t="shared" si="117"/>
        <v>11.051777830000006</v>
      </c>
      <c r="AF149" s="30">
        <f t="shared" si="117"/>
        <v>124.30930876000001</v>
      </c>
      <c r="AG149" s="31">
        <f t="shared" si="117"/>
        <v>24.564548460000012</v>
      </c>
      <c r="AH149" s="209"/>
    </row>
    <row r="150" spans="1:36" s="33" customFormat="1" x14ac:dyDescent="0.25">
      <c r="A150" s="27" t="s">
        <v>144</v>
      </c>
      <c r="B150" s="182">
        <f>D150+E150-E151</f>
        <v>40414870909.910004</v>
      </c>
      <c r="C150" s="187"/>
      <c r="D150" s="188">
        <f>D151+D152+D153</f>
        <v>37480175315.080002</v>
      </c>
      <c r="E150" s="182">
        <f t="shared" si="115"/>
        <v>3646162259.8299999</v>
      </c>
      <c r="F150" s="188">
        <f>F151+F152+F153</f>
        <v>3307714090</v>
      </c>
      <c r="G150" s="188">
        <f>G151+G152+G153</f>
        <v>312998169.82999998</v>
      </c>
      <c r="H150" s="188">
        <f>H151+H152+H153</f>
        <v>25450000</v>
      </c>
      <c r="I150" s="182">
        <f>K150+L150-L151</f>
        <v>44335578640.080002</v>
      </c>
      <c r="J150" s="187"/>
      <c r="K150" s="188">
        <f>K151+K152+K153</f>
        <v>41015372215.080002</v>
      </c>
      <c r="L150" s="182">
        <f t="shared" si="118"/>
        <v>4031673090</v>
      </c>
      <c r="M150" s="188">
        <f>M151+M152+M153</f>
        <v>3675514090</v>
      </c>
      <c r="N150" s="188">
        <f>N151+N152+N153</f>
        <v>331559000</v>
      </c>
      <c r="O150" s="188">
        <f>O151+O152+O153</f>
        <v>24600000</v>
      </c>
      <c r="P150" s="30">
        <f t="shared" si="119"/>
        <v>40414.870909910002</v>
      </c>
      <c r="Q150" s="30">
        <f t="shared" si="120"/>
        <v>37480.17531508</v>
      </c>
      <c r="R150" s="30">
        <f t="shared" si="120"/>
        <v>3646.16225983</v>
      </c>
      <c r="S150" s="30">
        <f t="shared" si="120"/>
        <v>3307.7140899999999</v>
      </c>
      <c r="T150" s="30">
        <f t="shared" si="120"/>
        <v>312.99816982999999</v>
      </c>
      <c r="U150" s="30">
        <f t="shared" si="120"/>
        <v>25.45</v>
      </c>
      <c r="V150" s="30">
        <f t="shared" si="120"/>
        <v>44335.578640079999</v>
      </c>
      <c r="W150" s="30">
        <f t="shared" si="121"/>
        <v>41015.372215080002</v>
      </c>
      <c r="X150" s="30">
        <f t="shared" si="121"/>
        <v>4031.6730899999998</v>
      </c>
      <c r="Y150" s="30">
        <f t="shared" si="121"/>
        <v>3675.5140900000001</v>
      </c>
      <c r="Z150" s="30">
        <f t="shared" si="121"/>
        <v>331.55900000000003</v>
      </c>
      <c r="AA150" s="30">
        <f t="shared" si="121"/>
        <v>24.6</v>
      </c>
      <c r="AB150" s="30">
        <f t="shared" si="117"/>
        <v>3920.7077301699974</v>
      </c>
      <c r="AC150" s="30">
        <f t="shared" si="117"/>
        <v>3535.1969000000026</v>
      </c>
      <c r="AD150" s="30">
        <f t="shared" si="117"/>
        <v>385.51083016999974</v>
      </c>
      <c r="AE150" s="30">
        <f t="shared" si="117"/>
        <v>367.80000000000018</v>
      </c>
      <c r="AF150" s="30">
        <f t="shared" si="117"/>
        <v>18.560830170000031</v>
      </c>
      <c r="AG150" s="31">
        <f t="shared" si="117"/>
        <v>-0.84999999999999787</v>
      </c>
      <c r="AH150" s="209"/>
      <c r="AI150" s="4">
        <f t="shared" ref="AI150:AI153" si="122">AD150*1000</f>
        <v>385510.83016999974</v>
      </c>
      <c r="AJ150" s="64"/>
    </row>
    <row r="151" spans="1:36" x14ac:dyDescent="0.25">
      <c r="A151" s="34" t="s">
        <v>145</v>
      </c>
      <c r="B151" s="184">
        <f>D151</f>
        <v>15131770815.08</v>
      </c>
      <c r="C151" s="256"/>
      <c r="D151" s="146">
        <v>15131770815.08</v>
      </c>
      <c r="E151" s="184">
        <f t="shared" si="115"/>
        <v>711466665</v>
      </c>
      <c r="F151" s="146">
        <v>711466665</v>
      </c>
      <c r="G151" s="146"/>
      <c r="H151" s="146"/>
      <c r="I151" s="184">
        <f>K151</f>
        <v>19970648015.080002</v>
      </c>
      <c r="J151" s="185"/>
      <c r="K151" s="146">
        <v>19970648015.080002</v>
      </c>
      <c r="L151" s="184">
        <f t="shared" si="118"/>
        <v>711466665</v>
      </c>
      <c r="M151" s="146">
        <v>711466665</v>
      </c>
      <c r="N151" s="146"/>
      <c r="O151" s="146"/>
      <c r="P151" s="24">
        <f t="shared" si="119"/>
        <v>15131.770815080001</v>
      </c>
      <c r="Q151" s="24">
        <f t="shared" si="120"/>
        <v>15131.770815080001</v>
      </c>
      <c r="R151" s="24">
        <f t="shared" si="120"/>
        <v>711.46666500000003</v>
      </c>
      <c r="S151" s="24">
        <f t="shared" si="120"/>
        <v>711.46666500000003</v>
      </c>
      <c r="T151" s="24">
        <f t="shared" si="120"/>
        <v>0</v>
      </c>
      <c r="U151" s="24">
        <f t="shared" si="120"/>
        <v>0</v>
      </c>
      <c r="V151" s="24">
        <f t="shared" si="120"/>
        <v>19970.648015080002</v>
      </c>
      <c r="W151" s="24">
        <f t="shared" si="121"/>
        <v>19970.648015080002</v>
      </c>
      <c r="X151" s="24">
        <f t="shared" si="121"/>
        <v>711.46666500000003</v>
      </c>
      <c r="Y151" s="24">
        <f t="shared" si="121"/>
        <v>711.46666500000003</v>
      </c>
      <c r="Z151" s="24">
        <f t="shared" si="121"/>
        <v>0</v>
      </c>
      <c r="AA151" s="24">
        <f t="shared" si="121"/>
        <v>0</v>
      </c>
      <c r="AB151" s="24">
        <f t="shared" si="117"/>
        <v>4838.8772000000008</v>
      </c>
      <c r="AC151" s="24">
        <f t="shared" si="117"/>
        <v>4838.8772000000008</v>
      </c>
      <c r="AD151" s="24">
        <f t="shared" si="117"/>
        <v>0</v>
      </c>
      <c r="AE151" s="24">
        <f t="shared" si="117"/>
        <v>0</v>
      </c>
      <c r="AF151" s="24">
        <f t="shared" si="117"/>
        <v>0</v>
      </c>
      <c r="AG151" s="26">
        <f t="shared" si="117"/>
        <v>0</v>
      </c>
      <c r="AH151" s="208"/>
      <c r="AI151" s="4">
        <f t="shared" si="122"/>
        <v>0</v>
      </c>
    </row>
    <row r="152" spans="1:36" x14ac:dyDescent="0.25">
      <c r="A152" s="34" t="s">
        <v>146</v>
      </c>
      <c r="B152" s="184">
        <f>D152+E152</f>
        <v>24534846025</v>
      </c>
      <c r="C152" s="185"/>
      <c r="D152" s="146">
        <v>21608404500</v>
      </c>
      <c r="E152" s="184">
        <f t="shared" si="115"/>
        <v>2926441525</v>
      </c>
      <c r="F152" s="185">
        <v>2596247425</v>
      </c>
      <c r="G152" s="185">
        <v>304744100</v>
      </c>
      <c r="H152" s="185">
        <v>25450000</v>
      </c>
      <c r="I152" s="184">
        <f>K152+L152</f>
        <v>23924930625</v>
      </c>
      <c r="J152" s="185"/>
      <c r="K152" s="146">
        <v>20604724200</v>
      </c>
      <c r="L152" s="184">
        <f t="shared" si="118"/>
        <v>3320206425</v>
      </c>
      <c r="M152" s="185">
        <v>2964047425</v>
      </c>
      <c r="N152" s="185">
        <v>331559000</v>
      </c>
      <c r="O152" s="185">
        <v>24600000</v>
      </c>
      <c r="P152" s="24">
        <f t="shared" si="119"/>
        <v>24534.846024999999</v>
      </c>
      <c r="Q152" s="24">
        <f t="shared" si="120"/>
        <v>21608.404500000001</v>
      </c>
      <c r="R152" s="24">
        <f t="shared" si="120"/>
        <v>2926.4415250000002</v>
      </c>
      <c r="S152" s="24">
        <f t="shared" si="120"/>
        <v>2596.247425</v>
      </c>
      <c r="T152" s="24">
        <f t="shared" si="120"/>
        <v>304.7441</v>
      </c>
      <c r="U152" s="24">
        <f t="shared" si="120"/>
        <v>25.45</v>
      </c>
      <c r="V152" s="24">
        <f t="shared" si="120"/>
        <v>23924.930625000001</v>
      </c>
      <c r="W152" s="24">
        <f t="shared" si="121"/>
        <v>20604.724200000001</v>
      </c>
      <c r="X152" s="24">
        <f t="shared" si="121"/>
        <v>3320.2064249999999</v>
      </c>
      <c r="Y152" s="24">
        <f t="shared" si="121"/>
        <v>2964.0474250000002</v>
      </c>
      <c r="Z152" s="24">
        <f t="shared" si="121"/>
        <v>331.55900000000003</v>
      </c>
      <c r="AA152" s="24">
        <f t="shared" si="121"/>
        <v>24.6</v>
      </c>
      <c r="AB152" s="24">
        <f t="shared" si="117"/>
        <v>-609.91539999999804</v>
      </c>
      <c r="AC152" s="189">
        <f t="shared" si="117"/>
        <v>-1003.6803</v>
      </c>
      <c r="AD152" s="24">
        <f t="shared" si="117"/>
        <v>393.76489999999967</v>
      </c>
      <c r="AE152" s="24">
        <f t="shared" si="117"/>
        <v>367.80000000000018</v>
      </c>
      <c r="AF152" s="24">
        <f t="shared" si="117"/>
        <v>26.814900000000023</v>
      </c>
      <c r="AG152" s="26">
        <f t="shared" si="117"/>
        <v>-0.84999999999999787</v>
      </c>
      <c r="AH152" s="208"/>
      <c r="AI152" s="4">
        <f t="shared" si="122"/>
        <v>393764.89999999967</v>
      </c>
    </row>
    <row r="153" spans="1:36" ht="13.8" thickBot="1" x14ac:dyDescent="0.3">
      <c r="A153" s="170" t="s">
        <v>147</v>
      </c>
      <c r="B153" s="190">
        <f>D153+E153</f>
        <v>748254069.83000004</v>
      </c>
      <c r="C153" s="191"/>
      <c r="D153" s="255">
        <v>740000000</v>
      </c>
      <c r="E153" s="190">
        <f t="shared" si="115"/>
        <v>8254069.8299999991</v>
      </c>
      <c r="F153" s="191"/>
      <c r="G153" s="191">
        <v>8254069.8299999991</v>
      </c>
      <c r="H153" s="191"/>
      <c r="I153" s="190">
        <f>K153+L153</f>
        <v>440000000</v>
      </c>
      <c r="J153" s="191"/>
      <c r="K153" s="255">
        <v>440000000</v>
      </c>
      <c r="L153" s="190">
        <f t="shared" si="118"/>
        <v>0</v>
      </c>
      <c r="M153" s="191"/>
      <c r="N153" s="191"/>
      <c r="O153" s="191"/>
      <c r="P153" s="173">
        <f t="shared" si="119"/>
        <v>748.25406983000005</v>
      </c>
      <c r="Q153" s="173">
        <f t="shared" si="120"/>
        <v>740</v>
      </c>
      <c r="R153" s="173">
        <f t="shared" si="120"/>
        <v>8.2540698299999988</v>
      </c>
      <c r="S153" s="173">
        <f t="shared" si="120"/>
        <v>0</v>
      </c>
      <c r="T153" s="173">
        <f t="shared" si="120"/>
        <v>8.2540698299999988</v>
      </c>
      <c r="U153" s="173">
        <f t="shared" si="120"/>
        <v>0</v>
      </c>
      <c r="V153" s="173">
        <f t="shared" si="120"/>
        <v>440</v>
      </c>
      <c r="W153" s="173">
        <f t="shared" si="121"/>
        <v>440</v>
      </c>
      <c r="X153" s="173">
        <f t="shared" si="121"/>
        <v>0</v>
      </c>
      <c r="Y153" s="173">
        <f t="shared" si="121"/>
        <v>0</v>
      </c>
      <c r="Z153" s="173">
        <f t="shared" si="121"/>
        <v>0</v>
      </c>
      <c r="AA153" s="173">
        <f t="shared" si="121"/>
        <v>0</v>
      </c>
      <c r="AB153" s="173">
        <f t="shared" si="117"/>
        <v>-308.25406983000005</v>
      </c>
      <c r="AC153" s="173">
        <f t="shared" si="117"/>
        <v>-300</v>
      </c>
      <c r="AD153" s="173">
        <f t="shared" si="117"/>
        <v>-8.2540698299999988</v>
      </c>
      <c r="AE153" s="173">
        <f t="shared" si="117"/>
        <v>0</v>
      </c>
      <c r="AF153" s="173">
        <f t="shared" si="117"/>
        <v>-8.2540698299999988</v>
      </c>
      <c r="AG153" s="174">
        <f t="shared" si="117"/>
        <v>0</v>
      </c>
      <c r="AH153" s="208"/>
      <c r="AI153" s="4">
        <f t="shared" si="122"/>
        <v>-8254.0698299999985</v>
      </c>
    </row>
    <row r="154" spans="1:36" ht="13.8" thickTop="1" x14ac:dyDescent="0.25"/>
    <row r="155" spans="1:36" x14ac:dyDescent="0.25">
      <c r="V155" s="4">
        <f>V149/P149%</f>
        <v>177.44005692957629</v>
      </c>
      <c r="X155" s="45">
        <f>X152/R152%</f>
        <v>113.45541664291412</v>
      </c>
    </row>
    <row r="159" spans="1:36" x14ac:dyDescent="0.25">
      <c r="X159" s="6"/>
    </row>
  </sheetData>
  <mergeCells count="135">
    <mergeCell ref="AC142:AG142"/>
    <mergeCell ref="Q143:Q144"/>
    <mergeCell ref="AD143:AD144"/>
    <mergeCell ref="AE143:AG143"/>
    <mergeCell ref="R143:R144"/>
    <mergeCell ref="S143:U143"/>
    <mergeCell ref="W143:W144"/>
    <mergeCell ref="X143:X144"/>
    <mergeCell ref="Y143:AA143"/>
    <mergeCell ref="AC143:AC144"/>
    <mergeCell ref="A140:AG140"/>
    <mergeCell ref="A141:A144"/>
    <mergeCell ref="B141:H141"/>
    <mergeCell ref="I141:O141"/>
    <mergeCell ref="P141:U141"/>
    <mergeCell ref="V141:AA141"/>
    <mergeCell ref="AB141:AG141"/>
    <mergeCell ref="B142:B144"/>
    <mergeCell ref="C142:H142"/>
    <mergeCell ref="I142:I144"/>
    <mergeCell ref="K142:O142"/>
    <mergeCell ref="P142:P144"/>
    <mergeCell ref="Q142:U142"/>
    <mergeCell ref="V142:V144"/>
    <mergeCell ref="W142:AA142"/>
    <mergeCell ref="AB142:AB144"/>
    <mergeCell ref="C143:C144"/>
    <mergeCell ref="D143:D144"/>
    <mergeCell ref="E143:E144"/>
    <mergeCell ref="F143:H143"/>
    <mergeCell ref="J143:J144"/>
    <mergeCell ref="K143:K144"/>
    <mergeCell ref="L143:L144"/>
    <mergeCell ref="M143:O143"/>
    <mergeCell ref="AB123:AB125"/>
    <mergeCell ref="R124:R125"/>
    <mergeCell ref="S124:U124"/>
    <mergeCell ref="W124:W125"/>
    <mergeCell ref="X124:X125"/>
    <mergeCell ref="Y124:AA124"/>
    <mergeCell ref="AC124:AC125"/>
    <mergeCell ref="AD124:AD125"/>
    <mergeCell ref="AE124:AG124"/>
    <mergeCell ref="AC48:AC49"/>
    <mergeCell ref="AD48:AD49"/>
    <mergeCell ref="V47:V49"/>
    <mergeCell ref="W47:AA47"/>
    <mergeCell ref="AB47:AB49"/>
    <mergeCell ref="AC47:AG47"/>
    <mergeCell ref="C48:C49"/>
    <mergeCell ref="D48:D49"/>
    <mergeCell ref="E48:E49"/>
    <mergeCell ref="F48:H48"/>
    <mergeCell ref="Y48:AA48"/>
    <mergeCell ref="A122:A125"/>
    <mergeCell ref="B122:H122"/>
    <mergeCell ref="I122:O122"/>
    <mergeCell ref="P122:U122"/>
    <mergeCell ref="V122:AA122"/>
    <mergeCell ref="AB122:AG122"/>
    <mergeCell ref="B123:B125"/>
    <mergeCell ref="C123:H123"/>
    <mergeCell ref="I123:I125"/>
    <mergeCell ref="AC123:AG123"/>
    <mergeCell ref="C124:C125"/>
    <mergeCell ref="D124:D125"/>
    <mergeCell ref="E124:E125"/>
    <mergeCell ref="F124:H124"/>
    <mergeCell ref="J124:J125"/>
    <mergeCell ref="K124:K125"/>
    <mergeCell ref="L124:L125"/>
    <mergeCell ref="M124:O124"/>
    <mergeCell ref="Q124:Q125"/>
    <mergeCell ref="K123:O123"/>
    <mergeCell ref="P123:P125"/>
    <mergeCell ref="Q123:U123"/>
    <mergeCell ref="V123:V125"/>
    <mergeCell ref="W123:AA123"/>
    <mergeCell ref="AD6:AD7"/>
    <mergeCell ref="AE6:AG6"/>
    <mergeCell ref="A46:A49"/>
    <mergeCell ref="B46:H46"/>
    <mergeCell ref="I46:O46"/>
    <mergeCell ref="P46:U46"/>
    <mergeCell ref="V46:AA46"/>
    <mergeCell ref="AB46:AG46"/>
    <mergeCell ref="J48:J49"/>
    <mergeCell ref="K48:K49"/>
    <mergeCell ref="B47:B49"/>
    <mergeCell ref="C47:H47"/>
    <mergeCell ref="I47:I49"/>
    <mergeCell ref="K47:O47"/>
    <mergeCell ref="P47:P49"/>
    <mergeCell ref="Q47:U47"/>
    <mergeCell ref="L48:L49"/>
    <mergeCell ref="M48:O48"/>
    <mergeCell ref="Q48:Q49"/>
    <mergeCell ref="R48:R49"/>
    <mergeCell ref="AE48:AG48"/>
    <mergeCell ref="S48:U48"/>
    <mergeCell ref="W48:W49"/>
    <mergeCell ref="X48:X49"/>
    <mergeCell ref="V5:V7"/>
    <mergeCell ref="W5:AA5"/>
    <mergeCell ref="AB5:AB7"/>
    <mergeCell ref="R6:R7"/>
    <mergeCell ref="S6:U6"/>
    <mergeCell ref="W6:W7"/>
    <mergeCell ref="X6:X7"/>
    <mergeCell ref="Y6:AA6"/>
    <mergeCell ref="AC6:AC7"/>
    <mergeCell ref="AD1:AG1"/>
    <mergeCell ref="A2:AG2"/>
    <mergeCell ref="A4:A7"/>
    <mergeCell ref="B4:H4"/>
    <mergeCell ref="I4:O4"/>
    <mergeCell ref="P4:U4"/>
    <mergeCell ref="V4:AA4"/>
    <mergeCell ref="AB4:AG4"/>
    <mergeCell ref="B5:B7"/>
    <mergeCell ref="C5:H5"/>
    <mergeCell ref="I5:I7"/>
    <mergeCell ref="AC5:AG5"/>
    <mergeCell ref="C6:C7"/>
    <mergeCell ref="D6:D7"/>
    <mergeCell ref="E6:E7"/>
    <mergeCell ref="F6:H6"/>
    <mergeCell ref="J6:J7"/>
    <mergeCell ref="K6:K7"/>
    <mergeCell ref="L6:L7"/>
    <mergeCell ref="M6:O6"/>
    <mergeCell ref="Q6:Q7"/>
    <mergeCell ref="K5:O5"/>
    <mergeCell ref="P5:P7"/>
    <mergeCell ref="Q5:U5"/>
  </mergeCells>
  <pageMargins left="0.19685039370078741" right="0.19685039370078741" top="0.94488188976377963" bottom="0.35433070866141736" header="0.70866141732283472" footer="0.11811023622047245"/>
  <pageSetup paperSize="9" scale="69" fitToHeight="1000" orientation="landscape" r:id="rId1"/>
  <headerFooter>
    <oddFooter>&amp;C&amp;8&amp;P</oddFooter>
  </headerFooter>
  <rowBreaks count="2" manualBreakCount="2">
    <brk id="40" max="16383" man="1"/>
    <brk id="121" max="32" man="1"/>
  </rowBreaks>
  <colBreaks count="1" manualBreakCount="1">
    <brk id="33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28"/>
  <sheetViews>
    <sheetView topLeftCell="O1" zoomScaleNormal="100" workbookViewId="0">
      <selection activeCell="A2" sqref="A2:AM2"/>
    </sheetView>
  </sheetViews>
  <sheetFormatPr defaultColWidth="8.19921875" defaultRowHeight="13.8" x14ac:dyDescent="0.25"/>
  <cols>
    <col min="1" max="1" width="16.296875" style="329" customWidth="1"/>
    <col min="2" max="2" width="8.69921875" style="330" hidden="1" customWidth="1"/>
    <col min="3" max="3" width="8.3984375" style="330" hidden="1" customWidth="1"/>
    <col min="4" max="4" width="9.09765625" style="330" hidden="1" customWidth="1"/>
    <col min="5" max="7" width="0" style="330" hidden="1" customWidth="1"/>
    <col min="8" max="8" width="8.69921875" style="330" hidden="1" customWidth="1"/>
    <col min="9" max="11" width="0" style="330" hidden="1" customWidth="1"/>
    <col min="12" max="12" width="11.09765625" style="330" bestFit="1" customWidth="1"/>
    <col min="13" max="13" width="8.59765625" style="330" bestFit="1" customWidth="1"/>
    <col min="14" max="14" width="10.796875" style="330" customWidth="1"/>
    <col min="15" max="15" width="8.296875" style="330" bestFit="1" customWidth="1"/>
    <col min="16" max="16" width="8.69921875" style="330" hidden="1" customWidth="1"/>
    <col min="17" max="17" width="0" style="330" hidden="1" customWidth="1"/>
    <col min="18" max="18" width="10.19921875" style="330" hidden="1" customWidth="1"/>
    <col min="19" max="21" width="0" style="330" hidden="1" customWidth="1"/>
    <col min="22" max="22" width="11.09765625" style="330" bestFit="1" customWidth="1"/>
    <col min="23" max="23" width="8.296875" style="330" bestFit="1" customWidth="1"/>
    <col min="24" max="24" width="10.69921875" style="330" customWidth="1"/>
    <col min="25" max="25" width="8.296875" style="330" bestFit="1" customWidth="1"/>
    <col min="26" max="26" width="11.09765625" style="330" bestFit="1" customWidth="1"/>
    <col min="27" max="27" width="9.59765625" style="330" bestFit="1" customWidth="1"/>
    <col min="28" max="28" width="9" style="330" customWidth="1"/>
    <col min="29" max="29" width="8.296875" style="330" bestFit="1" customWidth="1"/>
    <col min="30" max="30" width="8.69921875" style="330" hidden="1" customWidth="1"/>
    <col min="31" max="31" width="0" style="330" hidden="1" customWidth="1"/>
    <col min="32" max="32" width="8.69921875" style="330" hidden="1" customWidth="1"/>
    <col min="33" max="35" width="0" style="330" hidden="1" customWidth="1"/>
    <col min="36" max="37" width="9.59765625" style="330" bestFit="1" customWidth="1"/>
    <col min="38" max="38" width="9.796875" style="330" customWidth="1"/>
    <col min="39" max="39" width="8.296875" style="330" bestFit="1" customWidth="1"/>
    <col min="40" max="40" width="9.296875" style="330" hidden="1" customWidth="1"/>
    <col min="41" max="46" width="0" style="330" hidden="1" customWidth="1"/>
    <col min="47" max="16384" width="8.19921875" style="330"/>
  </cols>
  <sheetData>
    <row r="1" spans="1:45" s="299" customFormat="1" x14ac:dyDescent="0.25">
      <c r="AK1" s="446" t="s">
        <v>423</v>
      </c>
      <c r="AL1" s="446"/>
      <c r="AM1" s="446"/>
    </row>
    <row r="2" spans="1:45" s="299" customFormat="1" ht="33.75" customHeight="1" x14ac:dyDescent="0.25">
      <c r="A2" s="404" t="s">
        <v>425</v>
      </c>
      <c r="B2" s="404"/>
      <c r="C2" s="404"/>
      <c r="D2" s="404"/>
      <c r="E2" s="404"/>
      <c r="F2" s="404"/>
      <c r="G2" s="404"/>
      <c r="H2" s="404"/>
      <c r="I2" s="404"/>
      <c r="J2" s="404"/>
      <c r="K2" s="404"/>
      <c r="L2" s="404"/>
      <c r="M2" s="404"/>
      <c r="N2" s="404"/>
      <c r="O2" s="404"/>
      <c r="P2" s="404"/>
      <c r="Q2" s="404"/>
      <c r="R2" s="404"/>
      <c r="S2" s="404"/>
      <c r="T2" s="404"/>
      <c r="U2" s="404"/>
      <c r="V2" s="404"/>
      <c r="W2" s="404"/>
      <c r="X2" s="404"/>
      <c r="Y2" s="404"/>
      <c r="Z2" s="404"/>
      <c r="AA2" s="404"/>
      <c r="AB2" s="404"/>
      <c r="AC2" s="404"/>
      <c r="AD2" s="404"/>
      <c r="AE2" s="404"/>
      <c r="AF2" s="404"/>
      <c r="AG2" s="404"/>
      <c r="AH2" s="404"/>
      <c r="AI2" s="404"/>
      <c r="AJ2" s="404"/>
      <c r="AK2" s="404"/>
      <c r="AL2" s="404"/>
      <c r="AM2" s="404"/>
      <c r="AN2" s="194"/>
      <c r="AO2" s="194"/>
      <c r="AP2" s="194"/>
    </row>
    <row r="3" spans="1:45" s="299" customFormat="1" ht="14.4" thickBot="1" x14ac:dyDescent="0.3">
      <c r="AM3" s="372" t="s">
        <v>424</v>
      </c>
    </row>
    <row r="4" spans="1:45" s="245" customFormat="1" ht="13.5" customHeight="1" thickTop="1" x14ac:dyDescent="0.25">
      <c r="A4" s="426" t="s">
        <v>148</v>
      </c>
      <c r="B4" s="428" t="s">
        <v>366</v>
      </c>
      <c r="C4" s="429"/>
      <c r="D4" s="429"/>
      <c r="E4" s="429"/>
      <c r="F4" s="429"/>
      <c r="G4" s="429"/>
      <c r="H4" s="429"/>
      <c r="I4" s="429"/>
      <c r="J4" s="429"/>
      <c r="K4" s="429"/>
      <c r="L4" s="429"/>
      <c r="M4" s="429"/>
      <c r="N4" s="429"/>
      <c r="O4" s="429"/>
      <c r="P4" s="429"/>
      <c r="Q4" s="429"/>
      <c r="R4" s="429"/>
      <c r="S4" s="429"/>
      <c r="T4" s="429"/>
      <c r="U4" s="429"/>
      <c r="V4" s="429"/>
      <c r="W4" s="429"/>
      <c r="X4" s="429"/>
      <c r="Y4" s="429"/>
      <c r="Z4" s="428" t="s">
        <v>367</v>
      </c>
      <c r="AA4" s="429"/>
      <c r="AB4" s="429"/>
      <c r="AC4" s="429"/>
      <c r="AD4" s="429"/>
      <c r="AE4" s="429"/>
      <c r="AF4" s="429"/>
      <c r="AG4" s="429"/>
      <c r="AH4" s="429"/>
      <c r="AI4" s="429"/>
      <c r="AJ4" s="429"/>
      <c r="AK4" s="429"/>
      <c r="AL4" s="429"/>
      <c r="AM4" s="436"/>
    </row>
    <row r="5" spans="1:45" s="245" customFormat="1" ht="12.75" customHeight="1" x14ac:dyDescent="0.25">
      <c r="A5" s="427"/>
      <c r="B5" s="430" t="s">
        <v>199</v>
      </c>
      <c r="C5" s="431"/>
      <c r="D5" s="431"/>
      <c r="E5" s="431"/>
      <c r="F5" s="431"/>
      <c r="G5" s="431"/>
      <c r="H5" s="431"/>
      <c r="I5" s="431"/>
      <c r="J5" s="431"/>
      <c r="K5" s="432"/>
      <c r="L5" s="430" t="s">
        <v>368</v>
      </c>
      <c r="M5" s="431"/>
      <c r="N5" s="431"/>
      <c r="O5" s="431"/>
      <c r="P5" s="431"/>
      <c r="Q5" s="431"/>
      <c r="R5" s="431"/>
      <c r="S5" s="431"/>
      <c r="T5" s="431"/>
      <c r="U5" s="432"/>
      <c r="V5" s="430" t="s">
        <v>355</v>
      </c>
      <c r="W5" s="431"/>
      <c r="X5" s="431"/>
      <c r="Y5" s="431"/>
      <c r="Z5" s="430" t="s">
        <v>368</v>
      </c>
      <c r="AA5" s="431"/>
      <c r="AB5" s="431"/>
      <c r="AC5" s="431"/>
      <c r="AD5" s="431"/>
      <c r="AE5" s="431"/>
      <c r="AF5" s="431"/>
      <c r="AG5" s="431"/>
      <c r="AH5" s="431"/>
      <c r="AI5" s="432"/>
      <c r="AJ5" s="402" t="s">
        <v>355</v>
      </c>
      <c r="AK5" s="402"/>
      <c r="AL5" s="402"/>
      <c r="AM5" s="407"/>
    </row>
    <row r="6" spans="1:45" s="245" customFormat="1" ht="12.75" customHeight="1" x14ac:dyDescent="0.25">
      <c r="A6" s="427"/>
      <c r="B6" s="402" t="s">
        <v>369</v>
      </c>
      <c r="C6" s="402" t="s">
        <v>370</v>
      </c>
      <c r="D6" s="402"/>
      <c r="E6" s="402"/>
      <c r="F6" s="443" t="s">
        <v>371</v>
      </c>
      <c r="G6" s="444"/>
      <c r="H6" s="445"/>
      <c r="I6" s="443" t="s">
        <v>372</v>
      </c>
      <c r="J6" s="444"/>
      <c r="K6" s="445"/>
      <c r="L6" s="402" t="s">
        <v>369</v>
      </c>
      <c r="M6" s="402" t="s">
        <v>370</v>
      </c>
      <c r="N6" s="402"/>
      <c r="O6" s="402"/>
      <c r="P6" s="443" t="s">
        <v>371</v>
      </c>
      <c r="Q6" s="444"/>
      <c r="R6" s="445"/>
      <c r="S6" s="443" t="s">
        <v>372</v>
      </c>
      <c r="T6" s="444"/>
      <c r="U6" s="445"/>
      <c r="V6" s="402" t="s">
        <v>369</v>
      </c>
      <c r="W6" s="402" t="s">
        <v>370</v>
      </c>
      <c r="X6" s="402"/>
      <c r="Y6" s="402"/>
      <c r="Z6" s="402" t="s">
        <v>369</v>
      </c>
      <c r="AA6" s="402" t="s">
        <v>370</v>
      </c>
      <c r="AB6" s="402"/>
      <c r="AC6" s="402"/>
      <c r="AD6" s="443" t="s">
        <v>371</v>
      </c>
      <c r="AE6" s="444"/>
      <c r="AF6" s="445"/>
      <c r="AG6" s="443" t="s">
        <v>372</v>
      </c>
      <c r="AH6" s="444"/>
      <c r="AI6" s="445"/>
      <c r="AJ6" s="402" t="s">
        <v>369</v>
      </c>
      <c r="AK6" s="402" t="s">
        <v>370</v>
      </c>
      <c r="AL6" s="402"/>
      <c r="AM6" s="407"/>
      <c r="AN6" s="443" t="s">
        <v>371</v>
      </c>
      <c r="AO6" s="444"/>
      <c r="AP6" s="445"/>
      <c r="AQ6" s="443" t="s">
        <v>372</v>
      </c>
      <c r="AR6" s="444"/>
      <c r="AS6" s="445"/>
    </row>
    <row r="7" spans="1:45" s="245" customFormat="1" ht="12.75" customHeight="1" x14ac:dyDescent="0.25">
      <c r="A7" s="427"/>
      <c r="B7" s="402"/>
      <c r="C7" s="295" t="s">
        <v>325</v>
      </c>
      <c r="D7" s="402" t="s">
        <v>373</v>
      </c>
      <c r="E7" s="295" t="s">
        <v>325</v>
      </c>
      <c r="F7" s="433" t="s">
        <v>370</v>
      </c>
      <c r="G7" s="434"/>
      <c r="H7" s="435"/>
      <c r="I7" s="433" t="s">
        <v>370</v>
      </c>
      <c r="J7" s="434"/>
      <c r="K7" s="435"/>
      <c r="L7" s="402"/>
      <c r="M7" s="295" t="s">
        <v>325</v>
      </c>
      <c r="N7" s="402" t="s">
        <v>373</v>
      </c>
      <c r="O7" s="295" t="s">
        <v>325</v>
      </c>
      <c r="P7" s="433" t="s">
        <v>370</v>
      </c>
      <c r="Q7" s="434"/>
      <c r="R7" s="435"/>
      <c r="S7" s="433" t="s">
        <v>370</v>
      </c>
      <c r="T7" s="434"/>
      <c r="U7" s="435"/>
      <c r="V7" s="402"/>
      <c r="W7" s="295" t="s">
        <v>325</v>
      </c>
      <c r="X7" s="402" t="s">
        <v>373</v>
      </c>
      <c r="Y7" s="295" t="s">
        <v>325</v>
      </c>
      <c r="Z7" s="402"/>
      <c r="AA7" s="295" t="s">
        <v>325</v>
      </c>
      <c r="AB7" s="402" t="s">
        <v>373</v>
      </c>
      <c r="AC7" s="295" t="s">
        <v>325</v>
      </c>
      <c r="AD7" s="433" t="s">
        <v>370</v>
      </c>
      <c r="AE7" s="434"/>
      <c r="AF7" s="435"/>
      <c r="AG7" s="433" t="s">
        <v>370</v>
      </c>
      <c r="AH7" s="434"/>
      <c r="AI7" s="435"/>
      <c r="AJ7" s="402"/>
      <c r="AK7" s="295" t="s">
        <v>325</v>
      </c>
      <c r="AL7" s="402" t="s">
        <v>373</v>
      </c>
      <c r="AM7" s="296" t="s">
        <v>325</v>
      </c>
      <c r="AN7" s="433" t="s">
        <v>370</v>
      </c>
      <c r="AO7" s="434"/>
      <c r="AP7" s="435"/>
      <c r="AQ7" s="433" t="s">
        <v>370</v>
      </c>
      <c r="AR7" s="434"/>
      <c r="AS7" s="435"/>
    </row>
    <row r="8" spans="1:45" s="245" customFormat="1" ht="26.4" x14ac:dyDescent="0.25">
      <c r="A8" s="427"/>
      <c r="B8" s="402"/>
      <c r="C8" s="295" t="s">
        <v>374</v>
      </c>
      <c r="D8" s="402"/>
      <c r="E8" s="295" t="s">
        <v>374</v>
      </c>
      <c r="F8" s="301" t="s">
        <v>360</v>
      </c>
      <c r="G8" s="301" t="s">
        <v>361</v>
      </c>
      <c r="H8" s="301" t="s">
        <v>362</v>
      </c>
      <c r="I8" s="301" t="s">
        <v>360</v>
      </c>
      <c r="J8" s="301" t="s">
        <v>361</v>
      </c>
      <c r="K8" s="301" t="s">
        <v>362</v>
      </c>
      <c r="L8" s="402"/>
      <c r="M8" s="295" t="s">
        <v>374</v>
      </c>
      <c r="N8" s="402"/>
      <c r="O8" s="295" t="s">
        <v>374</v>
      </c>
      <c r="P8" s="301" t="s">
        <v>360</v>
      </c>
      <c r="Q8" s="301" t="s">
        <v>361</v>
      </c>
      <c r="R8" s="301" t="s">
        <v>362</v>
      </c>
      <c r="S8" s="301" t="s">
        <v>360</v>
      </c>
      <c r="T8" s="301" t="s">
        <v>361</v>
      </c>
      <c r="U8" s="301" t="s">
        <v>362</v>
      </c>
      <c r="V8" s="402"/>
      <c r="W8" s="295" t="s">
        <v>374</v>
      </c>
      <c r="X8" s="402"/>
      <c r="Y8" s="295" t="s">
        <v>374</v>
      </c>
      <c r="Z8" s="402"/>
      <c r="AA8" s="295" t="s">
        <v>374</v>
      </c>
      <c r="AB8" s="402"/>
      <c r="AC8" s="295" t="s">
        <v>374</v>
      </c>
      <c r="AD8" s="301" t="s">
        <v>360</v>
      </c>
      <c r="AE8" s="301" t="s">
        <v>361</v>
      </c>
      <c r="AF8" s="301" t="s">
        <v>362</v>
      </c>
      <c r="AG8" s="301" t="s">
        <v>360</v>
      </c>
      <c r="AH8" s="301" t="s">
        <v>361</v>
      </c>
      <c r="AI8" s="301" t="s">
        <v>362</v>
      </c>
      <c r="AJ8" s="402"/>
      <c r="AK8" s="295" t="s">
        <v>374</v>
      </c>
      <c r="AL8" s="402"/>
      <c r="AM8" s="296" t="s">
        <v>374</v>
      </c>
      <c r="AN8" s="301" t="s">
        <v>360</v>
      </c>
      <c r="AO8" s="301" t="s">
        <v>361</v>
      </c>
      <c r="AP8" s="301" t="s">
        <v>362</v>
      </c>
      <c r="AQ8" s="301" t="s">
        <v>360</v>
      </c>
      <c r="AR8" s="301" t="s">
        <v>361</v>
      </c>
      <c r="AS8" s="301" t="s">
        <v>362</v>
      </c>
    </row>
    <row r="9" spans="1:45" s="238" customFormat="1" ht="10.199999999999999" x14ac:dyDescent="0.25">
      <c r="A9" s="235">
        <v>1</v>
      </c>
      <c r="B9" s="236"/>
      <c r="C9" s="236"/>
      <c r="D9" s="236"/>
      <c r="E9" s="236"/>
      <c r="F9" s="301"/>
      <c r="G9" s="301"/>
      <c r="H9" s="301"/>
      <c r="I9" s="301"/>
      <c r="J9" s="301"/>
      <c r="K9" s="301"/>
      <c r="L9" s="236">
        <v>2</v>
      </c>
      <c r="M9" s="236">
        <v>3</v>
      </c>
      <c r="N9" s="236">
        <v>4</v>
      </c>
      <c r="O9" s="236">
        <v>5</v>
      </c>
      <c r="P9" s="301"/>
      <c r="Q9" s="301"/>
      <c r="R9" s="301"/>
      <c r="S9" s="301"/>
      <c r="T9" s="301"/>
      <c r="U9" s="301"/>
      <c r="V9" s="236">
        <v>6</v>
      </c>
      <c r="W9" s="236">
        <v>7</v>
      </c>
      <c r="X9" s="236">
        <v>8</v>
      </c>
      <c r="Y9" s="236">
        <v>9</v>
      </c>
      <c r="Z9" s="236">
        <v>10</v>
      </c>
      <c r="AA9" s="236">
        <v>11</v>
      </c>
      <c r="AB9" s="236">
        <v>12</v>
      </c>
      <c r="AC9" s="236">
        <v>13</v>
      </c>
      <c r="AD9" s="301"/>
      <c r="AE9" s="301"/>
      <c r="AF9" s="301"/>
      <c r="AG9" s="301"/>
      <c r="AH9" s="301"/>
      <c r="AI9" s="301"/>
      <c r="AJ9" s="236">
        <v>14</v>
      </c>
      <c r="AK9" s="236">
        <v>15</v>
      </c>
      <c r="AL9" s="236">
        <v>16</v>
      </c>
      <c r="AM9" s="237">
        <v>17</v>
      </c>
      <c r="AN9" s="302"/>
      <c r="AO9" s="302"/>
      <c r="AP9" s="302"/>
      <c r="AQ9" s="302"/>
      <c r="AR9" s="302"/>
      <c r="AS9" s="302"/>
    </row>
    <row r="10" spans="1:45" x14ac:dyDescent="0.25">
      <c r="A10" s="323" t="s">
        <v>376</v>
      </c>
      <c r="B10" s="324">
        <v>9214.7219000000005</v>
      </c>
      <c r="C10" s="324">
        <v>0</v>
      </c>
      <c r="D10" s="324">
        <v>20.581099999999999</v>
      </c>
      <c r="E10" s="324">
        <v>0</v>
      </c>
      <c r="F10" s="325">
        <v>0</v>
      </c>
      <c r="G10" s="325">
        <v>0</v>
      </c>
      <c r="H10" s="325">
        <v>20.581099999999999</v>
      </c>
      <c r="I10" s="325">
        <v>0</v>
      </c>
      <c r="J10" s="325">
        <v>0</v>
      </c>
      <c r="K10" s="325">
        <v>0</v>
      </c>
      <c r="L10" s="324">
        <v>6320.6034</v>
      </c>
      <c r="M10" s="324">
        <v>0</v>
      </c>
      <c r="N10" s="324">
        <v>11.9686</v>
      </c>
      <c r="O10" s="324">
        <v>0</v>
      </c>
      <c r="P10" s="325">
        <v>0</v>
      </c>
      <c r="Q10" s="325">
        <v>0</v>
      </c>
      <c r="R10" s="325">
        <v>11.9686</v>
      </c>
      <c r="S10" s="325">
        <v>0</v>
      </c>
      <c r="T10" s="325">
        <v>0</v>
      </c>
      <c r="U10" s="325">
        <v>0</v>
      </c>
      <c r="V10" s="324">
        <v>-2894.1185000000005</v>
      </c>
      <c r="W10" s="324">
        <v>0</v>
      </c>
      <c r="X10" s="324">
        <v>-8.6124999999999989</v>
      </c>
      <c r="Y10" s="324">
        <v>0</v>
      </c>
      <c r="Z10" s="324">
        <v>8885.2886999999992</v>
      </c>
      <c r="AA10" s="324">
        <v>0</v>
      </c>
      <c r="AB10" s="324">
        <v>0</v>
      </c>
      <c r="AC10" s="324">
        <v>0</v>
      </c>
      <c r="AD10" s="325">
        <v>0</v>
      </c>
      <c r="AE10" s="325">
        <v>0</v>
      </c>
      <c r="AF10" s="325">
        <v>0</v>
      </c>
      <c r="AG10" s="325">
        <v>0</v>
      </c>
      <c r="AH10" s="325">
        <v>0</v>
      </c>
      <c r="AI10" s="325">
        <v>0</v>
      </c>
      <c r="AJ10" s="324">
        <v>824.01159999999891</v>
      </c>
      <c r="AK10" s="324">
        <v>0</v>
      </c>
      <c r="AL10" s="324">
        <v>0</v>
      </c>
      <c r="AM10" s="326">
        <v>0</v>
      </c>
      <c r="AN10" s="331" t="e">
        <f>AD10-#REF!</f>
        <v>#REF!</v>
      </c>
      <c r="AO10" s="325" t="e">
        <f>AE10-#REF!</f>
        <v>#REF!</v>
      </c>
      <c r="AP10" s="325" t="e">
        <f>AF10-#REF!</f>
        <v>#REF!</v>
      </c>
      <c r="AQ10" s="325" t="e">
        <f>AG10-#REF!</f>
        <v>#REF!</v>
      </c>
      <c r="AR10" s="325" t="e">
        <f>AH10-#REF!</f>
        <v>#REF!</v>
      </c>
      <c r="AS10" s="332" t="e">
        <f>AI10-#REF!</f>
        <v>#REF!</v>
      </c>
    </row>
    <row r="11" spans="1:45" ht="27.6" x14ac:dyDescent="0.25">
      <c r="A11" s="323" t="s">
        <v>377</v>
      </c>
      <c r="B11" s="324">
        <v>417.15980000000002</v>
      </c>
      <c r="C11" s="324">
        <v>0</v>
      </c>
      <c r="D11" s="324">
        <v>0</v>
      </c>
      <c r="E11" s="324">
        <v>0</v>
      </c>
      <c r="F11" s="325">
        <v>0</v>
      </c>
      <c r="G11" s="325">
        <v>0</v>
      </c>
      <c r="H11" s="325">
        <v>0</v>
      </c>
      <c r="I11" s="325">
        <v>0</v>
      </c>
      <c r="J11" s="325">
        <v>0</v>
      </c>
      <c r="K11" s="325">
        <v>0</v>
      </c>
      <c r="L11" s="324">
        <v>242.9</v>
      </c>
      <c r="M11" s="324">
        <v>0</v>
      </c>
      <c r="N11" s="324">
        <v>0</v>
      </c>
      <c r="O11" s="324">
        <v>0</v>
      </c>
      <c r="P11" s="325">
        <v>0</v>
      </c>
      <c r="Q11" s="325">
        <v>0</v>
      </c>
      <c r="R11" s="325">
        <v>0</v>
      </c>
      <c r="S11" s="325">
        <v>0</v>
      </c>
      <c r="T11" s="325">
        <v>0</v>
      </c>
      <c r="U11" s="325">
        <v>0</v>
      </c>
      <c r="V11" s="324">
        <v>-174.25980000000001</v>
      </c>
      <c r="W11" s="324">
        <v>0</v>
      </c>
      <c r="X11" s="324">
        <v>0</v>
      </c>
      <c r="Y11" s="324">
        <v>0</v>
      </c>
      <c r="Z11" s="324">
        <v>565.18399999999997</v>
      </c>
      <c r="AA11" s="324">
        <v>0</v>
      </c>
      <c r="AB11" s="324">
        <v>0</v>
      </c>
      <c r="AC11" s="324">
        <v>0</v>
      </c>
      <c r="AD11" s="325">
        <v>0</v>
      </c>
      <c r="AE11" s="325">
        <v>0</v>
      </c>
      <c r="AF11" s="325">
        <v>0</v>
      </c>
      <c r="AG11" s="325">
        <v>0</v>
      </c>
      <c r="AH11" s="325">
        <v>0</v>
      </c>
      <c r="AI11" s="325">
        <v>0</v>
      </c>
      <c r="AJ11" s="324">
        <v>100.47469999999998</v>
      </c>
      <c r="AK11" s="324">
        <v>0</v>
      </c>
      <c r="AL11" s="324">
        <v>0</v>
      </c>
      <c r="AM11" s="326">
        <v>0</v>
      </c>
      <c r="AN11" s="331" t="e">
        <f>AD11-#REF!</f>
        <v>#REF!</v>
      </c>
      <c r="AO11" s="325" t="e">
        <f>AE11-#REF!</f>
        <v>#REF!</v>
      </c>
      <c r="AP11" s="325" t="e">
        <f>AF11-#REF!</f>
        <v>#REF!</v>
      </c>
      <c r="AQ11" s="325" t="e">
        <f>AG11-#REF!</f>
        <v>#REF!</v>
      </c>
      <c r="AR11" s="325" t="e">
        <f>AH11-#REF!</f>
        <v>#REF!</v>
      </c>
      <c r="AS11" s="332" t="e">
        <f>AI11-#REF!</f>
        <v>#REF!</v>
      </c>
    </row>
    <row r="12" spans="1:45" x14ac:dyDescent="0.25">
      <c r="A12" s="323" t="s">
        <v>378</v>
      </c>
      <c r="B12" s="324">
        <v>54946.094299999997</v>
      </c>
      <c r="C12" s="324">
        <v>0</v>
      </c>
      <c r="D12" s="324">
        <v>1601.8054999999999</v>
      </c>
      <c r="E12" s="324">
        <v>0</v>
      </c>
      <c r="F12" s="325">
        <v>0</v>
      </c>
      <c r="G12" s="325">
        <v>0</v>
      </c>
      <c r="H12" s="325">
        <v>1601.8054999999999</v>
      </c>
      <c r="I12" s="325">
        <v>0</v>
      </c>
      <c r="J12" s="325">
        <v>0</v>
      </c>
      <c r="K12" s="325">
        <v>0</v>
      </c>
      <c r="L12" s="324">
        <v>54337.290999999997</v>
      </c>
      <c r="M12" s="324">
        <v>0</v>
      </c>
      <c r="N12" s="324">
        <v>2261.9798999999998</v>
      </c>
      <c r="O12" s="324">
        <v>0</v>
      </c>
      <c r="P12" s="325">
        <v>14</v>
      </c>
      <c r="Q12" s="325">
        <v>0</v>
      </c>
      <c r="R12" s="325">
        <v>2247.9798999999998</v>
      </c>
      <c r="S12" s="325">
        <v>0</v>
      </c>
      <c r="T12" s="325">
        <v>0</v>
      </c>
      <c r="U12" s="325">
        <v>0</v>
      </c>
      <c r="V12" s="324">
        <v>-608.80329999999958</v>
      </c>
      <c r="W12" s="324">
        <v>0</v>
      </c>
      <c r="X12" s="324">
        <v>660.17439999999988</v>
      </c>
      <c r="Y12" s="324">
        <v>0</v>
      </c>
      <c r="Z12" s="324">
        <v>132512.56959999999</v>
      </c>
      <c r="AA12" s="324">
        <v>92939.4611</v>
      </c>
      <c r="AB12" s="324">
        <v>12078.697200000001</v>
      </c>
      <c r="AC12" s="324">
        <v>0</v>
      </c>
      <c r="AD12" s="325">
        <v>2183.0614</v>
      </c>
      <c r="AE12" s="325">
        <v>0</v>
      </c>
      <c r="AF12" s="325">
        <v>9895.6358</v>
      </c>
      <c r="AG12" s="325">
        <v>0</v>
      </c>
      <c r="AH12" s="325">
        <v>0</v>
      </c>
      <c r="AI12" s="325">
        <v>0</v>
      </c>
      <c r="AJ12" s="324">
        <v>-7572.570000000007</v>
      </c>
      <c r="AK12" s="324">
        <v>1193.4421000000002</v>
      </c>
      <c r="AL12" s="324">
        <v>2385.8366000000005</v>
      </c>
      <c r="AM12" s="326">
        <v>0</v>
      </c>
      <c r="AN12" s="331" t="e">
        <f>AD12-#REF!</f>
        <v>#REF!</v>
      </c>
      <c r="AO12" s="325" t="e">
        <f>AE12-#REF!</f>
        <v>#REF!</v>
      </c>
      <c r="AP12" s="325" t="e">
        <f>AF12-#REF!</f>
        <v>#REF!</v>
      </c>
      <c r="AQ12" s="325" t="e">
        <f>AG12-#REF!</f>
        <v>#REF!</v>
      </c>
      <c r="AR12" s="325" t="e">
        <f>AH12-#REF!</f>
        <v>#REF!</v>
      </c>
      <c r="AS12" s="332" t="e">
        <f>AI12-#REF!</f>
        <v>#REF!</v>
      </c>
    </row>
    <row r="13" spans="1:45" x14ac:dyDescent="0.25">
      <c r="A13" s="323" t="s">
        <v>379</v>
      </c>
      <c r="B13" s="324">
        <v>574775.10100000002</v>
      </c>
      <c r="C13" s="324">
        <v>5701.6161000000002</v>
      </c>
      <c r="D13" s="324">
        <v>49515.882900000004</v>
      </c>
      <c r="E13" s="324">
        <v>3359.7161000000001</v>
      </c>
      <c r="F13" s="325">
        <v>449.44499999999999</v>
      </c>
      <c r="G13" s="325">
        <v>47.1479</v>
      </c>
      <c r="H13" s="325">
        <v>49019.29</v>
      </c>
      <c r="I13" s="325">
        <v>0</v>
      </c>
      <c r="J13" s="325">
        <v>0</v>
      </c>
      <c r="K13" s="325">
        <v>3359.7161000000001</v>
      </c>
      <c r="L13" s="324">
        <v>8733705.8891000003</v>
      </c>
      <c r="M13" s="324">
        <v>13966.436900000001</v>
      </c>
      <c r="N13" s="324">
        <v>8281616.1891000001</v>
      </c>
      <c r="O13" s="324">
        <v>0</v>
      </c>
      <c r="P13" s="325">
        <v>455727.23609999998</v>
      </c>
      <c r="Q13" s="325">
        <v>0</v>
      </c>
      <c r="R13" s="325">
        <v>7825888.9529999997</v>
      </c>
      <c r="S13" s="325">
        <v>0</v>
      </c>
      <c r="T13" s="325">
        <v>0</v>
      </c>
      <c r="U13" s="325">
        <v>0</v>
      </c>
      <c r="V13" s="324">
        <v>8158930.7881000005</v>
      </c>
      <c r="W13" s="324">
        <v>8264.8208000000013</v>
      </c>
      <c r="X13" s="324">
        <v>8232100.3062000005</v>
      </c>
      <c r="Y13" s="324">
        <v>-3359.7161000000001</v>
      </c>
      <c r="Z13" s="324">
        <v>1676665.2037</v>
      </c>
      <c r="AA13" s="324">
        <v>277154.1263</v>
      </c>
      <c r="AB13" s="324">
        <v>70118.208700000003</v>
      </c>
      <c r="AC13" s="324">
        <v>229.2517</v>
      </c>
      <c r="AD13" s="325">
        <v>27481.3681</v>
      </c>
      <c r="AE13" s="325">
        <v>0</v>
      </c>
      <c r="AF13" s="325">
        <v>42636.840600000003</v>
      </c>
      <c r="AG13" s="325">
        <v>229.2517</v>
      </c>
      <c r="AH13" s="325">
        <v>0</v>
      </c>
      <c r="AI13" s="325">
        <v>0</v>
      </c>
      <c r="AJ13" s="324">
        <v>529203.92289999989</v>
      </c>
      <c r="AK13" s="324">
        <v>145535.7641</v>
      </c>
      <c r="AL13" s="324">
        <v>-87194.816399999996</v>
      </c>
      <c r="AM13" s="326">
        <v>229.2517</v>
      </c>
      <c r="AN13" s="331" t="e">
        <f>AD13-#REF!</f>
        <v>#REF!</v>
      </c>
      <c r="AO13" s="325" t="e">
        <f>AE13-#REF!</f>
        <v>#REF!</v>
      </c>
      <c r="AP13" s="325" t="e">
        <f>AF13-#REF!</f>
        <v>#REF!</v>
      </c>
      <c r="AQ13" s="325" t="e">
        <f>AG13-#REF!</f>
        <v>#REF!</v>
      </c>
      <c r="AR13" s="325" t="e">
        <f>AH13-#REF!</f>
        <v>#REF!</v>
      </c>
      <c r="AS13" s="332" t="e">
        <f>AI13-#REF!</f>
        <v>#REF!</v>
      </c>
    </row>
    <row r="14" spans="1:45" x14ac:dyDescent="0.25">
      <c r="A14" s="323" t="s">
        <v>380</v>
      </c>
      <c r="B14" s="324">
        <v>11869.804099999999</v>
      </c>
      <c r="C14" s="324">
        <v>2.1454</v>
      </c>
      <c r="D14" s="324">
        <v>7961.4101000000001</v>
      </c>
      <c r="E14" s="324">
        <v>1.1314</v>
      </c>
      <c r="F14" s="325">
        <v>52.710500000000003</v>
      </c>
      <c r="G14" s="325">
        <v>0</v>
      </c>
      <c r="H14" s="325">
        <v>7908.6995999999999</v>
      </c>
      <c r="I14" s="325">
        <v>0</v>
      </c>
      <c r="J14" s="325">
        <v>0</v>
      </c>
      <c r="K14" s="325">
        <v>1.1314</v>
      </c>
      <c r="L14" s="324">
        <v>11778.4566</v>
      </c>
      <c r="M14" s="324">
        <v>80.882900000000006</v>
      </c>
      <c r="N14" s="324">
        <v>5600.8976999999995</v>
      </c>
      <c r="O14" s="324">
        <v>1.1000000000000001</v>
      </c>
      <c r="P14" s="325">
        <v>230.27359999999999</v>
      </c>
      <c r="Q14" s="325">
        <v>0</v>
      </c>
      <c r="R14" s="325">
        <v>5370.6241</v>
      </c>
      <c r="S14" s="325">
        <v>0</v>
      </c>
      <c r="T14" s="325">
        <v>0</v>
      </c>
      <c r="U14" s="325">
        <v>1.1000000000000001</v>
      </c>
      <c r="V14" s="324">
        <v>-91.347499999999854</v>
      </c>
      <c r="W14" s="324">
        <v>78.737500000000011</v>
      </c>
      <c r="X14" s="324">
        <v>-2360.5124000000005</v>
      </c>
      <c r="Y14" s="324">
        <v>-3.1399999999999872E-2</v>
      </c>
      <c r="Z14" s="324">
        <v>33719.003799999999</v>
      </c>
      <c r="AA14" s="324">
        <v>10957.634700000001</v>
      </c>
      <c r="AB14" s="324">
        <v>11879.324400000001</v>
      </c>
      <c r="AC14" s="324">
        <v>0</v>
      </c>
      <c r="AD14" s="325">
        <v>2159.7883999999999</v>
      </c>
      <c r="AE14" s="325">
        <v>2506.4391999999998</v>
      </c>
      <c r="AF14" s="325">
        <v>7213.0968000000003</v>
      </c>
      <c r="AG14" s="325">
        <v>0</v>
      </c>
      <c r="AH14" s="325">
        <v>0</v>
      </c>
      <c r="AI14" s="325">
        <v>0</v>
      </c>
      <c r="AJ14" s="324">
        <v>5831.8848999999973</v>
      </c>
      <c r="AK14" s="324">
        <v>466.35360000000037</v>
      </c>
      <c r="AL14" s="324">
        <v>4293.0412000000006</v>
      </c>
      <c r="AM14" s="326">
        <v>0</v>
      </c>
      <c r="AN14" s="331" t="e">
        <f>AD14-#REF!</f>
        <v>#REF!</v>
      </c>
      <c r="AO14" s="325" t="e">
        <f>AE14-#REF!</f>
        <v>#REF!</v>
      </c>
      <c r="AP14" s="325" t="e">
        <f>AF14-#REF!</f>
        <v>#REF!</v>
      </c>
      <c r="AQ14" s="325" t="e">
        <f>AG14-#REF!</f>
        <v>#REF!</v>
      </c>
      <c r="AR14" s="325" t="e">
        <f>AH14-#REF!</f>
        <v>#REF!</v>
      </c>
      <c r="AS14" s="332" t="e">
        <f>AI14-#REF!</f>
        <v>#REF!</v>
      </c>
    </row>
    <row r="15" spans="1:45" x14ac:dyDescent="0.25">
      <c r="A15" s="323" t="s">
        <v>381</v>
      </c>
      <c r="B15" s="324">
        <v>5221.1831000000002</v>
      </c>
      <c r="C15" s="324">
        <v>0</v>
      </c>
      <c r="D15" s="324">
        <v>765.11569999999995</v>
      </c>
      <c r="E15" s="324">
        <v>0</v>
      </c>
      <c r="F15" s="325">
        <v>29.2288</v>
      </c>
      <c r="G15" s="325">
        <v>0</v>
      </c>
      <c r="H15" s="325">
        <v>735.88689999999997</v>
      </c>
      <c r="I15" s="325">
        <v>0</v>
      </c>
      <c r="J15" s="325">
        <v>0</v>
      </c>
      <c r="K15" s="325">
        <v>0</v>
      </c>
      <c r="L15" s="324">
        <v>10140.4601</v>
      </c>
      <c r="M15" s="324">
        <v>0</v>
      </c>
      <c r="N15" s="324">
        <v>2504.2821000000004</v>
      </c>
      <c r="O15" s="324">
        <v>0</v>
      </c>
      <c r="P15" s="325">
        <v>1430.3331000000001</v>
      </c>
      <c r="Q15" s="325">
        <v>0</v>
      </c>
      <c r="R15" s="325">
        <v>1073.9490000000001</v>
      </c>
      <c r="S15" s="325">
        <v>0</v>
      </c>
      <c r="T15" s="325">
        <v>0</v>
      </c>
      <c r="U15" s="325">
        <v>0</v>
      </c>
      <c r="V15" s="324">
        <v>4919.277</v>
      </c>
      <c r="W15" s="324">
        <v>0</v>
      </c>
      <c r="X15" s="324">
        <v>1739.1664000000005</v>
      </c>
      <c r="Y15" s="324">
        <v>0</v>
      </c>
      <c r="Z15" s="324">
        <v>22861.462500000001</v>
      </c>
      <c r="AA15" s="324">
        <v>0</v>
      </c>
      <c r="AB15" s="324">
        <v>18664.610800000002</v>
      </c>
      <c r="AC15" s="324">
        <v>0</v>
      </c>
      <c r="AD15" s="325">
        <v>17687.893700000001</v>
      </c>
      <c r="AE15" s="325">
        <v>0</v>
      </c>
      <c r="AF15" s="325">
        <v>976.71709999999996</v>
      </c>
      <c r="AG15" s="325">
        <v>0</v>
      </c>
      <c r="AH15" s="325">
        <v>0</v>
      </c>
      <c r="AI15" s="325">
        <v>0</v>
      </c>
      <c r="AJ15" s="324">
        <v>-3041.6707999999999</v>
      </c>
      <c r="AK15" s="324">
        <v>0</v>
      </c>
      <c r="AL15" s="324">
        <v>-5153.7173000000003</v>
      </c>
      <c r="AM15" s="326">
        <v>0</v>
      </c>
      <c r="AN15" s="331" t="e">
        <f>AD15-#REF!</f>
        <v>#REF!</v>
      </c>
      <c r="AO15" s="325" t="e">
        <f>AE15-#REF!</f>
        <v>#REF!</v>
      </c>
      <c r="AP15" s="325" t="e">
        <f>AF15-#REF!</f>
        <v>#REF!</v>
      </c>
      <c r="AQ15" s="325" t="e">
        <f>AG15-#REF!</f>
        <v>#REF!</v>
      </c>
      <c r="AR15" s="325" t="e">
        <f>AH15-#REF!</f>
        <v>#REF!</v>
      </c>
      <c r="AS15" s="332" t="e">
        <f>AI15-#REF!</f>
        <v>#REF!</v>
      </c>
    </row>
    <row r="16" spans="1:45" x14ac:dyDescent="0.25">
      <c r="A16" s="323" t="s">
        <v>382</v>
      </c>
      <c r="B16" s="324">
        <v>138380.0943</v>
      </c>
      <c r="C16" s="324">
        <v>4112.6453000000001</v>
      </c>
      <c r="D16" s="324">
        <v>101428.9325</v>
      </c>
      <c r="E16" s="324">
        <v>309.65469999999999</v>
      </c>
      <c r="F16" s="325">
        <v>5502.4111999999996</v>
      </c>
      <c r="G16" s="325">
        <v>0</v>
      </c>
      <c r="H16" s="325">
        <v>95926.521299999993</v>
      </c>
      <c r="I16" s="325">
        <v>0</v>
      </c>
      <c r="J16" s="325">
        <v>0</v>
      </c>
      <c r="K16" s="325">
        <v>309.65469999999999</v>
      </c>
      <c r="L16" s="324">
        <v>58912.192499999997</v>
      </c>
      <c r="M16" s="324">
        <v>493.13099999999997</v>
      </c>
      <c r="N16" s="324">
        <v>26563.711299999999</v>
      </c>
      <c r="O16" s="324">
        <v>493.13099999999997</v>
      </c>
      <c r="P16" s="325">
        <v>2327.7638000000002</v>
      </c>
      <c r="Q16" s="325">
        <v>0</v>
      </c>
      <c r="R16" s="325">
        <v>24235.947499999998</v>
      </c>
      <c r="S16" s="325">
        <v>0</v>
      </c>
      <c r="T16" s="325">
        <v>0</v>
      </c>
      <c r="U16" s="325">
        <v>493.13099999999997</v>
      </c>
      <c r="V16" s="324">
        <v>-79467.901799999992</v>
      </c>
      <c r="W16" s="324">
        <v>-3619.5143000000003</v>
      </c>
      <c r="X16" s="324">
        <v>-74865.2212</v>
      </c>
      <c r="Y16" s="324">
        <v>183.47629999999998</v>
      </c>
      <c r="Z16" s="324">
        <v>98724.8655</v>
      </c>
      <c r="AA16" s="324">
        <v>0</v>
      </c>
      <c r="AB16" s="324">
        <v>69053.039499999999</v>
      </c>
      <c r="AC16" s="324">
        <v>0</v>
      </c>
      <c r="AD16" s="325">
        <v>9442.2085999999999</v>
      </c>
      <c r="AE16" s="325">
        <v>0</v>
      </c>
      <c r="AF16" s="325">
        <v>59610.830900000001</v>
      </c>
      <c r="AG16" s="325">
        <v>0</v>
      </c>
      <c r="AH16" s="325">
        <v>0</v>
      </c>
      <c r="AI16" s="325">
        <v>0</v>
      </c>
      <c r="AJ16" s="324">
        <v>-62344.168900000004</v>
      </c>
      <c r="AK16" s="324">
        <v>0</v>
      </c>
      <c r="AL16" s="324">
        <v>-53350.743499999997</v>
      </c>
      <c r="AM16" s="326">
        <v>0</v>
      </c>
      <c r="AN16" s="331" t="e">
        <f>AD16-#REF!</f>
        <v>#REF!</v>
      </c>
      <c r="AO16" s="325" t="e">
        <f>AE16-#REF!</f>
        <v>#REF!</v>
      </c>
      <c r="AP16" s="325" t="e">
        <f>AF16-#REF!</f>
        <v>#REF!</v>
      </c>
      <c r="AQ16" s="325" t="e">
        <f>AG16-#REF!</f>
        <v>#REF!</v>
      </c>
      <c r="AR16" s="325" t="e">
        <f>AH16-#REF!</f>
        <v>#REF!</v>
      </c>
      <c r="AS16" s="332" t="e">
        <f>AI16-#REF!</f>
        <v>#REF!</v>
      </c>
    </row>
    <row r="17" spans="1:45" ht="27.6" x14ac:dyDescent="0.25">
      <c r="A17" s="323" t="s">
        <v>383</v>
      </c>
      <c r="B17" s="324">
        <v>835.95680000000004</v>
      </c>
      <c r="C17" s="324">
        <v>0</v>
      </c>
      <c r="D17" s="324">
        <v>0</v>
      </c>
      <c r="E17" s="324">
        <v>0</v>
      </c>
      <c r="F17" s="325">
        <v>0</v>
      </c>
      <c r="G17" s="325">
        <v>0</v>
      </c>
      <c r="H17" s="325">
        <v>0</v>
      </c>
      <c r="I17" s="325">
        <v>0</v>
      </c>
      <c r="J17" s="325">
        <v>0</v>
      </c>
      <c r="K17" s="325">
        <v>0</v>
      </c>
      <c r="L17" s="324">
        <v>93.831100000000006</v>
      </c>
      <c r="M17" s="324">
        <v>0</v>
      </c>
      <c r="N17" s="324">
        <v>0</v>
      </c>
      <c r="O17" s="324">
        <v>0</v>
      </c>
      <c r="P17" s="325">
        <v>0</v>
      </c>
      <c r="Q17" s="325">
        <v>0</v>
      </c>
      <c r="R17" s="325">
        <v>0</v>
      </c>
      <c r="S17" s="325">
        <v>0</v>
      </c>
      <c r="T17" s="325">
        <v>0</v>
      </c>
      <c r="U17" s="325">
        <v>0</v>
      </c>
      <c r="V17" s="324">
        <v>-742.12570000000005</v>
      </c>
      <c r="W17" s="324">
        <v>0</v>
      </c>
      <c r="X17" s="324">
        <v>0</v>
      </c>
      <c r="Y17" s="324">
        <v>0</v>
      </c>
      <c r="Z17" s="324">
        <v>1416.2846</v>
      </c>
      <c r="AA17" s="324">
        <v>0</v>
      </c>
      <c r="AB17" s="324">
        <v>0</v>
      </c>
      <c r="AC17" s="324">
        <v>0</v>
      </c>
      <c r="AD17" s="325">
        <v>0</v>
      </c>
      <c r="AE17" s="325">
        <v>0</v>
      </c>
      <c r="AF17" s="325">
        <v>0</v>
      </c>
      <c r="AG17" s="325">
        <v>0</v>
      </c>
      <c r="AH17" s="325">
        <v>0</v>
      </c>
      <c r="AI17" s="325">
        <v>0</v>
      </c>
      <c r="AJ17" s="324">
        <v>889.77679999999998</v>
      </c>
      <c r="AK17" s="324">
        <v>0</v>
      </c>
      <c r="AL17" s="324">
        <v>0</v>
      </c>
      <c r="AM17" s="326">
        <v>0</v>
      </c>
      <c r="AN17" s="331" t="e">
        <f>AD17-#REF!</f>
        <v>#REF!</v>
      </c>
      <c r="AO17" s="325" t="e">
        <f>AE17-#REF!</f>
        <v>#REF!</v>
      </c>
      <c r="AP17" s="325" t="e">
        <f>AF17-#REF!</f>
        <v>#REF!</v>
      </c>
      <c r="AQ17" s="325" t="e">
        <f>AG17-#REF!</f>
        <v>#REF!</v>
      </c>
      <c r="AR17" s="325" t="e">
        <f>AH17-#REF!</f>
        <v>#REF!</v>
      </c>
      <c r="AS17" s="332" t="e">
        <f>AI17-#REF!</f>
        <v>#REF!</v>
      </c>
    </row>
    <row r="18" spans="1:45" x14ac:dyDescent="0.25">
      <c r="A18" s="323" t="s">
        <v>384</v>
      </c>
      <c r="B18" s="324">
        <v>629.53420000000006</v>
      </c>
      <c r="C18" s="324">
        <v>0</v>
      </c>
      <c r="D18" s="324">
        <v>5.8484999999999996</v>
      </c>
      <c r="E18" s="324">
        <v>0</v>
      </c>
      <c r="F18" s="325">
        <v>0</v>
      </c>
      <c r="G18" s="325">
        <v>0</v>
      </c>
      <c r="H18" s="325">
        <v>5.8484999999999996</v>
      </c>
      <c r="I18" s="325">
        <v>0</v>
      </c>
      <c r="J18" s="325">
        <v>0</v>
      </c>
      <c r="K18" s="325">
        <v>0</v>
      </c>
      <c r="L18" s="324">
        <v>870.41409999999996</v>
      </c>
      <c r="M18" s="324">
        <v>0</v>
      </c>
      <c r="N18" s="324">
        <v>110.54219999999999</v>
      </c>
      <c r="O18" s="324">
        <v>0</v>
      </c>
      <c r="P18" s="325">
        <v>0</v>
      </c>
      <c r="Q18" s="325">
        <v>0</v>
      </c>
      <c r="R18" s="325">
        <v>110.54219999999999</v>
      </c>
      <c r="S18" s="325">
        <v>0</v>
      </c>
      <c r="T18" s="325">
        <v>0</v>
      </c>
      <c r="U18" s="325">
        <v>0</v>
      </c>
      <c r="V18" s="324">
        <v>240.87989999999991</v>
      </c>
      <c r="W18" s="324">
        <v>0</v>
      </c>
      <c r="X18" s="324">
        <v>104.69369999999999</v>
      </c>
      <c r="Y18" s="324">
        <v>0</v>
      </c>
      <c r="Z18" s="324">
        <v>37753.1443</v>
      </c>
      <c r="AA18" s="324">
        <v>0</v>
      </c>
      <c r="AB18" s="324">
        <v>37409.502</v>
      </c>
      <c r="AC18" s="324">
        <v>0</v>
      </c>
      <c r="AD18" s="325">
        <v>37386.83</v>
      </c>
      <c r="AE18" s="325">
        <v>0</v>
      </c>
      <c r="AF18" s="325">
        <v>22.672000000000001</v>
      </c>
      <c r="AG18" s="325">
        <v>0</v>
      </c>
      <c r="AH18" s="325">
        <v>0</v>
      </c>
      <c r="AI18" s="325">
        <v>0</v>
      </c>
      <c r="AJ18" s="324">
        <v>-10592.097699999998</v>
      </c>
      <c r="AK18" s="324">
        <v>0</v>
      </c>
      <c r="AL18" s="324">
        <v>-10274.7238</v>
      </c>
      <c r="AM18" s="326">
        <v>0</v>
      </c>
      <c r="AN18" s="331" t="e">
        <f>AD18-#REF!</f>
        <v>#REF!</v>
      </c>
      <c r="AO18" s="325" t="e">
        <f>AE18-#REF!</f>
        <v>#REF!</v>
      </c>
      <c r="AP18" s="325" t="e">
        <f>AF18-#REF!</f>
        <v>#REF!</v>
      </c>
      <c r="AQ18" s="325" t="e">
        <f>AG18-#REF!</f>
        <v>#REF!</v>
      </c>
      <c r="AR18" s="325" t="e">
        <f>AH18-#REF!</f>
        <v>#REF!</v>
      </c>
      <c r="AS18" s="332" t="e">
        <f>AI18-#REF!</f>
        <v>#REF!</v>
      </c>
    </row>
    <row r="19" spans="1:45" ht="27.6" x14ac:dyDescent="0.25">
      <c r="A19" s="323" t="s">
        <v>385</v>
      </c>
      <c r="B19" s="324">
        <v>798.96050000000002</v>
      </c>
      <c r="C19" s="324">
        <v>0</v>
      </c>
      <c r="D19" s="324">
        <v>142.67000000000002</v>
      </c>
      <c r="E19" s="324">
        <v>0</v>
      </c>
      <c r="F19" s="325">
        <v>141.09</v>
      </c>
      <c r="G19" s="325">
        <v>0</v>
      </c>
      <c r="H19" s="325">
        <v>1.58</v>
      </c>
      <c r="I19" s="325">
        <v>0</v>
      </c>
      <c r="J19" s="325">
        <v>0</v>
      </c>
      <c r="K19" s="325">
        <v>0</v>
      </c>
      <c r="L19" s="324">
        <v>756.8143</v>
      </c>
      <c r="M19" s="324">
        <v>0</v>
      </c>
      <c r="N19" s="324">
        <v>3.1E-2</v>
      </c>
      <c r="O19" s="324">
        <v>0</v>
      </c>
      <c r="P19" s="325">
        <v>0</v>
      </c>
      <c r="Q19" s="325">
        <v>0</v>
      </c>
      <c r="R19" s="325">
        <v>3.1E-2</v>
      </c>
      <c r="S19" s="325">
        <v>0</v>
      </c>
      <c r="T19" s="325">
        <v>0</v>
      </c>
      <c r="U19" s="325">
        <v>0</v>
      </c>
      <c r="V19" s="324">
        <v>-42.146200000000022</v>
      </c>
      <c r="W19" s="324">
        <v>0</v>
      </c>
      <c r="X19" s="324">
        <v>-142.63900000000001</v>
      </c>
      <c r="Y19" s="324">
        <v>0</v>
      </c>
      <c r="Z19" s="324">
        <v>64376.898399999998</v>
      </c>
      <c r="AA19" s="324">
        <v>0</v>
      </c>
      <c r="AB19" s="324">
        <v>64260.873299999999</v>
      </c>
      <c r="AC19" s="324">
        <v>0</v>
      </c>
      <c r="AD19" s="325">
        <v>64251.739600000001</v>
      </c>
      <c r="AE19" s="325">
        <v>0</v>
      </c>
      <c r="AF19" s="325">
        <v>9.1336999999999993</v>
      </c>
      <c r="AG19" s="325">
        <v>0</v>
      </c>
      <c r="AH19" s="325">
        <v>0</v>
      </c>
      <c r="AI19" s="325">
        <v>0</v>
      </c>
      <c r="AJ19" s="324">
        <v>-2773.7854000000007</v>
      </c>
      <c r="AK19" s="324">
        <v>0</v>
      </c>
      <c r="AL19" s="324">
        <v>-2763.1971000000121</v>
      </c>
      <c r="AM19" s="326">
        <v>0</v>
      </c>
      <c r="AN19" s="331" t="e">
        <f>AD19-#REF!</f>
        <v>#REF!</v>
      </c>
      <c r="AO19" s="325" t="e">
        <f>AE19-#REF!</f>
        <v>#REF!</v>
      </c>
      <c r="AP19" s="325" t="e">
        <f>AF19-#REF!</f>
        <v>#REF!</v>
      </c>
      <c r="AQ19" s="325" t="e">
        <f>AG19-#REF!</f>
        <v>#REF!</v>
      </c>
      <c r="AR19" s="325" t="e">
        <f>AH19-#REF!</f>
        <v>#REF!</v>
      </c>
      <c r="AS19" s="332" t="e">
        <f>AI19-#REF!</f>
        <v>#REF!</v>
      </c>
    </row>
    <row r="20" spans="1:45" ht="27.6" x14ac:dyDescent="0.25">
      <c r="A20" s="323" t="s">
        <v>386</v>
      </c>
      <c r="B20" s="324">
        <v>10713.2724</v>
      </c>
      <c r="C20" s="324">
        <v>338.0455</v>
      </c>
      <c r="D20" s="324">
        <v>7491.3820999999998</v>
      </c>
      <c r="E20" s="324">
        <v>129.8794</v>
      </c>
      <c r="F20" s="325">
        <v>381.12419999999997</v>
      </c>
      <c r="G20" s="325">
        <v>0</v>
      </c>
      <c r="H20" s="325">
        <v>7110.2578999999996</v>
      </c>
      <c r="I20" s="325">
        <v>0</v>
      </c>
      <c r="J20" s="325">
        <v>0</v>
      </c>
      <c r="K20" s="325">
        <v>129.8794</v>
      </c>
      <c r="L20" s="324">
        <v>15050.160900000001</v>
      </c>
      <c r="M20" s="324">
        <v>935.26930000000004</v>
      </c>
      <c r="N20" s="324">
        <v>10247.267000000002</v>
      </c>
      <c r="O20" s="324">
        <v>733.87630000000001</v>
      </c>
      <c r="P20" s="325">
        <v>327.4649</v>
      </c>
      <c r="Q20" s="325">
        <v>0</v>
      </c>
      <c r="R20" s="325">
        <v>9919.8021000000008</v>
      </c>
      <c r="S20" s="325">
        <v>174.23500000000001</v>
      </c>
      <c r="T20" s="325">
        <v>0</v>
      </c>
      <c r="U20" s="325">
        <v>559.6413</v>
      </c>
      <c r="V20" s="324">
        <v>4336.8885000000009</v>
      </c>
      <c r="W20" s="324">
        <v>597.22379999999998</v>
      </c>
      <c r="X20" s="324">
        <v>2755.8849000000018</v>
      </c>
      <c r="Y20" s="324">
        <v>603.99689999999998</v>
      </c>
      <c r="Z20" s="324">
        <v>14882.447099999999</v>
      </c>
      <c r="AA20" s="324">
        <v>575.6259</v>
      </c>
      <c r="AB20" s="324">
        <v>9303.490600000001</v>
      </c>
      <c r="AC20" s="324">
        <v>575.6259</v>
      </c>
      <c r="AD20" s="325">
        <v>109.2792</v>
      </c>
      <c r="AE20" s="325">
        <v>0</v>
      </c>
      <c r="AF20" s="325">
        <v>9194.2114000000001</v>
      </c>
      <c r="AG20" s="325">
        <v>0</v>
      </c>
      <c r="AH20" s="325">
        <v>0</v>
      </c>
      <c r="AI20" s="325">
        <v>575.6259</v>
      </c>
      <c r="AJ20" s="324">
        <v>7655.5139999999992</v>
      </c>
      <c r="AK20" s="324">
        <v>540.6259</v>
      </c>
      <c r="AL20" s="324">
        <v>5736.6124000000009</v>
      </c>
      <c r="AM20" s="326">
        <v>575.6259</v>
      </c>
      <c r="AN20" s="331" t="e">
        <f>AD20-#REF!</f>
        <v>#REF!</v>
      </c>
      <c r="AO20" s="325" t="e">
        <f>AE20-#REF!</f>
        <v>#REF!</v>
      </c>
      <c r="AP20" s="325" t="e">
        <f>AF20-#REF!</f>
        <v>#REF!</v>
      </c>
      <c r="AQ20" s="325" t="e">
        <f>AG20-#REF!</f>
        <v>#REF!</v>
      </c>
      <c r="AR20" s="325" t="e">
        <f>AH20-#REF!</f>
        <v>#REF!</v>
      </c>
      <c r="AS20" s="332" t="e">
        <f>AI20-#REF!</f>
        <v>#REF!</v>
      </c>
    </row>
    <row r="21" spans="1:45" ht="27.6" x14ac:dyDescent="0.25">
      <c r="A21" s="323" t="s">
        <v>387</v>
      </c>
      <c r="B21" s="324">
        <v>1928.8471</v>
      </c>
      <c r="C21" s="324">
        <v>0</v>
      </c>
      <c r="D21" s="324">
        <v>206.97720000000001</v>
      </c>
      <c r="E21" s="324">
        <v>0</v>
      </c>
      <c r="F21" s="325">
        <v>0</v>
      </c>
      <c r="G21" s="325">
        <v>0</v>
      </c>
      <c r="H21" s="325">
        <v>206.97720000000001</v>
      </c>
      <c r="I21" s="325">
        <v>0</v>
      </c>
      <c r="J21" s="325">
        <v>0</v>
      </c>
      <c r="K21" s="325">
        <v>0</v>
      </c>
      <c r="L21" s="324">
        <v>2048.5426000000002</v>
      </c>
      <c r="M21" s="324">
        <v>0</v>
      </c>
      <c r="N21" s="324">
        <v>674.10400000000004</v>
      </c>
      <c r="O21" s="324">
        <v>0</v>
      </c>
      <c r="P21" s="325">
        <v>0</v>
      </c>
      <c r="Q21" s="325">
        <v>0</v>
      </c>
      <c r="R21" s="325">
        <v>674.10400000000004</v>
      </c>
      <c r="S21" s="325">
        <v>0</v>
      </c>
      <c r="T21" s="325">
        <v>0</v>
      </c>
      <c r="U21" s="325">
        <v>0</v>
      </c>
      <c r="V21" s="324">
        <v>119.69550000000027</v>
      </c>
      <c r="W21" s="324">
        <v>0</v>
      </c>
      <c r="X21" s="324">
        <v>467.1268</v>
      </c>
      <c r="Y21" s="324">
        <v>0</v>
      </c>
      <c r="Z21" s="324">
        <v>405.84980000000002</v>
      </c>
      <c r="AA21" s="324">
        <v>0</v>
      </c>
      <c r="AB21" s="324">
        <v>0</v>
      </c>
      <c r="AC21" s="324">
        <v>0</v>
      </c>
      <c r="AD21" s="325">
        <v>0</v>
      </c>
      <c r="AE21" s="325">
        <v>0</v>
      </c>
      <c r="AF21" s="325">
        <v>0</v>
      </c>
      <c r="AG21" s="325">
        <v>0</v>
      </c>
      <c r="AH21" s="325">
        <v>0</v>
      </c>
      <c r="AI21" s="325">
        <v>0</v>
      </c>
      <c r="AJ21" s="324">
        <v>-65.52679999999998</v>
      </c>
      <c r="AK21" s="324">
        <v>0</v>
      </c>
      <c r="AL21" s="324">
        <v>0</v>
      </c>
      <c r="AM21" s="326">
        <v>0</v>
      </c>
      <c r="AN21" s="331" t="e">
        <f>AD21-#REF!</f>
        <v>#REF!</v>
      </c>
      <c r="AO21" s="325" t="e">
        <f>AE21-#REF!</f>
        <v>#REF!</v>
      </c>
      <c r="AP21" s="325" t="e">
        <f>AF21-#REF!</f>
        <v>#REF!</v>
      </c>
      <c r="AQ21" s="325" t="e">
        <f>AG21-#REF!</f>
        <v>#REF!</v>
      </c>
      <c r="AR21" s="325" t="e">
        <f>AH21-#REF!</f>
        <v>#REF!</v>
      </c>
      <c r="AS21" s="332" t="e">
        <f>AI21-#REF!</f>
        <v>#REF!</v>
      </c>
    </row>
    <row r="22" spans="1:45" ht="27.6" x14ac:dyDescent="0.25">
      <c r="A22" s="323" t="s">
        <v>388</v>
      </c>
      <c r="B22" s="324">
        <v>13705.167299999999</v>
      </c>
      <c r="C22" s="324">
        <v>0</v>
      </c>
      <c r="D22" s="324">
        <v>1629.7843</v>
      </c>
      <c r="E22" s="324">
        <v>0</v>
      </c>
      <c r="F22" s="325">
        <v>621.06240000000003</v>
      </c>
      <c r="G22" s="325">
        <v>0</v>
      </c>
      <c r="H22" s="325">
        <v>1008.7219</v>
      </c>
      <c r="I22" s="325">
        <v>0</v>
      </c>
      <c r="J22" s="325">
        <v>0</v>
      </c>
      <c r="K22" s="325">
        <v>0</v>
      </c>
      <c r="L22" s="324">
        <v>21043.361099999998</v>
      </c>
      <c r="M22" s="324">
        <v>0</v>
      </c>
      <c r="N22" s="324">
        <v>6755.0861999999997</v>
      </c>
      <c r="O22" s="324">
        <v>0</v>
      </c>
      <c r="P22" s="325">
        <v>80.420900000000003</v>
      </c>
      <c r="Q22" s="325">
        <v>0</v>
      </c>
      <c r="R22" s="325">
        <v>6674.6652999999997</v>
      </c>
      <c r="S22" s="325">
        <v>0</v>
      </c>
      <c r="T22" s="325">
        <v>0</v>
      </c>
      <c r="U22" s="325">
        <v>0</v>
      </c>
      <c r="V22" s="324">
        <v>7338.1937999999991</v>
      </c>
      <c r="W22" s="324">
        <v>0</v>
      </c>
      <c r="X22" s="324">
        <v>5125.3018999999995</v>
      </c>
      <c r="Y22" s="324">
        <v>0</v>
      </c>
      <c r="Z22" s="324">
        <v>14867.135899999999</v>
      </c>
      <c r="AA22" s="324">
        <v>0</v>
      </c>
      <c r="AB22" s="324">
        <v>3906.2704000000003</v>
      </c>
      <c r="AC22" s="324">
        <v>0</v>
      </c>
      <c r="AD22" s="325">
        <v>2186.4</v>
      </c>
      <c r="AE22" s="325">
        <v>0</v>
      </c>
      <c r="AF22" s="325">
        <v>1719.8704</v>
      </c>
      <c r="AG22" s="325">
        <v>0</v>
      </c>
      <c r="AH22" s="325">
        <v>0</v>
      </c>
      <c r="AI22" s="325">
        <v>0</v>
      </c>
      <c r="AJ22" s="324">
        <v>2228.468499999999</v>
      </c>
      <c r="AK22" s="324">
        <v>0</v>
      </c>
      <c r="AL22" s="324">
        <v>168.77770000000055</v>
      </c>
      <c r="AM22" s="326">
        <v>0</v>
      </c>
      <c r="AN22" s="331" t="e">
        <f>AD22-#REF!</f>
        <v>#REF!</v>
      </c>
      <c r="AO22" s="325" t="e">
        <f>AE22-#REF!</f>
        <v>#REF!</v>
      </c>
      <c r="AP22" s="325" t="e">
        <f>AF22-#REF!</f>
        <v>#REF!</v>
      </c>
      <c r="AQ22" s="325" t="e">
        <f>AG22-#REF!</f>
        <v>#REF!</v>
      </c>
      <c r="AR22" s="325" t="e">
        <f>AH22-#REF!</f>
        <v>#REF!</v>
      </c>
      <c r="AS22" s="332" t="e">
        <f>AI22-#REF!</f>
        <v>#REF!</v>
      </c>
    </row>
    <row r="23" spans="1:45" ht="27.6" x14ac:dyDescent="0.25">
      <c r="A23" s="323" t="s">
        <v>389</v>
      </c>
      <c r="B23" s="324">
        <v>12644.5656</v>
      </c>
      <c r="C23" s="324">
        <v>2191.8087999999998</v>
      </c>
      <c r="D23" s="324">
        <v>7394.0041999999994</v>
      </c>
      <c r="E23" s="324">
        <v>0</v>
      </c>
      <c r="F23" s="325">
        <v>4160.9119000000001</v>
      </c>
      <c r="G23" s="325">
        <v>0</v>
      </c>
      <c r="H23" s="325">
        <v>3233.0922999999998</v>
      </c>
      <c r="I23" s="325">
        <v>0</v>
      </c>
      <c r="J23" s="325">
        <v>0</v>
      </c>
      <c r="K23" s="325">
        <v>0</v>
      </c>
      <c r="L23" s="324">
        <v>4227.0298000000003</v>
      </c>
      <c r="M23" s="324">
        <v>0</v>
      </c>
      <c r="N23" s="324">
        <v>868.7192</v>
      </c>
      <c r="O23" s="324">
        <v>0</v>
      </c>
      <c r="P23" s="325">
        <v>173.63470000000001</v>
      </c>
      <c r="Q23" s="325">
        <v>0</v>
      </c>
      <c r="R23" s="325">
        <v>695.08450000000005</v>
      </c>
      <c r="S23" s="325">
        <v>0</v>
      </c>
      <c r="T23" s="325">
        <v>0</v>
      </c>
      <c r="U23" s="325">
        <v>0</v>
      </c>
      <c r="V23" s="324">
        <v>-8417.5357999999997</v>
      </c>
      <c r="W23" s="324">
        <v>-2191.8087999999998</v>
      </c>
      <c r="X23" s="324">
        <v>-6525.2849999999999</v>
      </c>
      <c r="Y23" s="324">
        <v>0</v>
      </c>
      <c r="Z23" s="324">
        <v>10356.135200000001</v>
      </c>
      <c r="AA23" s="324">
        <v>0</v>
      </c>
      <c r="AB23" s="324">
        <v>10254.900099999999</v>
      </c>
      <c r="AC23" s="324">
        <v>0</v>
      </c>
      <c r="AD23" s="325">
        <v>9993.2878999999994</v>
      </c>
      <c r="AE23" s="325">
        <v>0</v>
      </c>
      <c r="AF23" s="325">
        <v>261.61219999999997</v>
      </c>
      <c r="AG23" s="325">
        <v>0</v>
      </c>
      <c r="AH23" s="325">
        <v>0</v>
      </c>
      <c r="AI23" s="325">
        <v>0</v>
      </c>
      <c r="AJ23" s="324">
        <v>1555.8150999999998</v>
      </c>
      <c r="AK23" s="324">
        <v>-1782.1225999999999</v>
      </c>
      <c r="AL23" s="324">
        <v>7937.7540999999983</v>
      </c>
      <c r="AM23" s="326">
        <v>0</v>
      </c>
      <c r="AN23" s="331" t="e">
        <f>AD23-#REF!</f>
        <v>#REF!</v>
      </c>
      <c r="AO23" s="325" t="e">
        <f>AE23-#REF!</f>
        <v>#REF!</v>
      </c>
      <c r="AP23" s="325" t="e">
        <f>AF23-#REF!</f>
        <v>#REF!</v>
      </c>
      <c r="AQ23" s="325" t="e">
        <f>AG23-#REF!</f>
        <v>#REF!</v>
      </c>
      <c r="AR23" s="325" t="e">
        <f>AH23-#REF!</f>
        <v>#REF!</v>
      </c>
      <c r="AS23" s="332" t="e">
        <f>AI23-#REF!</f>
        <v>#REF!</v>
      </c>
    </row>
    <row r="24" spans="1:45" ht="41.4" x14ac:dyDescent="0.25">
      <c r="A24" s="323" t="s">
        <v>390</v>
      </c>
      <c r="B24" s="324">
        <v>3248.9007000000001</v>
      </c>
      <c r="C24" s="324">
        <v>0</v>
      </c>
      <c r="D24" s="324">
        <v>113.0153</v>
      </c>
      <c r="E24" s="324">
        <v>0</v>
      </c>
      <c r="F24" s="325">
        <v>0</v>
      </c>
      <c r="G24" s="325">
        <v>0</v>
      </c>
      <c r="H24" s="325">
        <v>113.0153</v>
      </c>
      <c r="I24" s="325">
        <v>0</v>
      </c>
      <c r="J24" s="325">
        <v>0</v>
      </c>
      <c r="K24" s="325">
        <v>0</v>
      </c>
      <c r="L24" s="324">
        <v>0</v>
      </c>
      <c r="M24" s="324">
        <v>0</v>
      </c>
      <c r="N24" s="324">
        <v>0</v>
      </c>
      <c r="O24" s="324">
        <v>0</v>
      </c>
      <c r="P24" s="325">
        <v>0</v>
      </c>
      <c r="Q24" s="325">
        <v>0</v>
      </c>
      <c r="R24" s="325">
        <v>0</v>
      </c>
      <c r="S24" s="325">
        <v>0</v>
      </c>
      <c r="T24" s="325">
        <v>0</v>
      </c>
      <c r="U24" s="325">
        <v>0</v>
      </c>
      <c r="V24" s="324">
        <v>-3248.9007000000001</v>
      </c>
      <c r="W24" s="324">
        <v>0</v>
      </c>
      <c r="X24" s="324">
        <v>-113.0153</v>
      </c>
      <c r="Y24" s="324">
        <v>0</v>
      </c>
      <c r="Z24" s="324">
        <v>0</v>
      </c>
      <c r="AA24" s="324">
        <v>0</v>
      </c>
      <c r="AB24" s="324">
        <v>0</v>
      </c>
      <c r="AC24" s="324">
        <v>0</v>
      </c>
      <c r="AD24" s="325">
        <v>0</v>
      </c>
      <c r="AE24" s="325">
        <v>0</v>
      </c>
      <c r="AF24" s="325">
        <v>0</v>
      </c>
      <c r="AG24" s="325">
        <v>0</v>
      </c>
      <c r="AH24" s="325">
        <v>0</v>
      </c>
      <c r="AI24" s="325">
        <v>0</v>
      </c>
      <c r="AJ24" s="324">
        <v>-61.9041</v>
      </c>
      <c r="AK24" s="324">
        <v>0</v>
      </c>
      <c r="AL24" s="324">
        <v>-11.741199999999999</v>
      </c>
      <c r="AM24" s="326">
        <v>0</v>
      </c>
      <c r="AN24" s="331" t="e">
        <f>AD24-#REF!</f>
        <v>#REF!</v>
      </c>
      <c r="AO24" s="325" t="e">
        <f>AE24-#REF!</f>
        <v>#REF!</v>
      </c>
      <c r="AP24" s="325" t="e">
        <f>AF24-#REF!</f>
        <v>#REF!</v>
      </c>
      <c r="AQ24" s="325" t="e">
        <f>AG24-#REF!</f>
        <v>#REF!</v>
      </c>
      <c r="AR24" s="325" t="e">
        <f>AH24-#REF!</f>
        <v>#REF!</v>
      </c>
      <c r="AS24" s="332" t="e">
        <f>AI24-#REF!</f>
        <v>#REF!</v>
      </c>
    </row>
    <row r="25" spans="1:45" ht="27.6" x14ac:dyDescent="0.25">
      <c r="A25" s="323" t="s">
        <v>391</v>
      </c>
      <c r="B25" s="324">
        <v>5707.9579000000003</v>
      </c>
      <c r="C25" s="324">
        <v>12.288</v>
      </c>
      <c r="D25" s="324">
        <v>0</v>
      </c>
      <c r="E25" s="324">
        <v>0</v>
      </c>
      <c r="F25" s="325">
        <v>0</v>
      </c>
      <c r="G25" s="325">
        <v>0</v>
      </c>
      <c r="H25" s="325">
        <v>0</v>
      </c>
      <c r="I25" s="325">
        <v>0</v>
      </c>
      <c r="J25" s="325">
        <v>0</v>
      </c>
      <c r="K25" s="325">
        <v>0</v>
      </c>
      <c r="L25" s="324">
        <v>5755.7846</v>
      </c>
      <c r="M25" s="324">
        <v>0</v>
      </c>
      <c r="N25" s="324">
        <v>0</v>
      </c>
      <c r="O25" s="324">
        <v>0</v>
      </c>
      <c r="P25" s="325">
        <v>0</v>
      </c>
      <c r="Q25" s="325">
        <v>0</v>
      </c>
      <c r="R25" s="325">
        <v>0</v>
      </c>
      <c r="S25" s="325">
        <v>0</v>
      </c>
      <c r="T25" s="325">
        <v>0</v>
      </c>
      <c r="U25" s="325">
        <v>0</v>
      </c>
      <c r="V25" s="324">
        <v>47.826699999999619</v>
      </c>
      <c r="W25" s="324">
        <v>-12.288</v>
      </c>
      <c r="X25" s="324">
        <v>0</v>
      </c>
      <c r="Y25" s="324">
        <v>0</v>
      </c>
      <c r="Z25" s="324">
        <v>22173.010699999999</v>
      </c>
      <c r="AA25" s="324">
        <v>3500.8177000000001</v>
      </c>
      <c r="AB25" s="324">
        <v>0</v>
      </c>
      <c r="AC25" s="324">
        <v>0</v>
      </c>
      <c r="AD25" s="325">
        <v>0</v>
      </c>
      <c r="AE25" s="325">
        <v>0</v>
      </c>
      <c r="AF25" s="325">
        <v>0</v>
      </c>
      <c r="AG25" s="325">
        <v>0</v>
      </c>
      <c r="AH25" s="325">
        <v>0</v>
      </c>
      <c r="AI25" s="325">
        <v>0</v>
      </c>
      <c r="AJ25" s="324">
        <v>16.43289999999979</v>
      </c>
      <c r="AK25" s="324">
        <v>-87.793999999999869</v>
      </c>
      <c r="AL25" s="324">
        <v>0</v>
      </c>
      <c r="AM25" s="326">
        <v>0</v>
      </c>
      <c r="AN25" s="331" t="e">
        <f>AD25-#REF!</f>
        <v>#REF!</v>
      </c>
      <c r="AO25" s="325" t="e">
        <f>AE25-#REF!</f>
        <v>#REF!</v>
      </c>
      <c r="AP25" s="325" t="e">
        <f>AF25-#REF!</f>
        <v>#REF!</v>
      </c>
      <c r="AQ25" s="325" t="e">
        <f>AG25-#REF!</f>
        <v>#REF!</v>
      </c>
      <c r="AR25" s="325" t="e">
        <f>AH25-#REF!</f>
        <v>#REF!</v>
      </c>
      <c r="AS25" s="332" t="e">
        <f>AI25-#REF!</f>
        <v>#REF!</v>
      </c>
    </row>
    <row r="26" spans="1:45" ht="27.6" x14ac:dyDescent="0.25">
      <c r="A26" s="323" t="s">
        <v>392</v>
      </c>
      <c r="B26" s="324">
        <v>6781.9949999999999</v>
      </c>
      <c r="C26" s="324">
        <v>0</v>
      </c>
      <c r="D26" s="324">
        <v>1291.6953000000001</v>
      </c>
      <c r="E26" s="324">
        <v>0</v>
      </c>
      <c r="F26" s="325">
        <v>0</v>
      </c>
      <c r="G26" s="325">
        <v>0</v>
      </c>
      <c r="H26" s="325">
        <v>1291.6953000000001</v>
      </c>
      <c r="I26" s="325">
        <v>0</v>
      </c>
      <c r="J26" s="325">
        <v>0</v>
      </c>
      <c r="K26" s="325">
        <v>0</v>
      </c>
      <c r="L26" s="324">
        <v>8098.8105999999998</v>
      </c>
      <c r="M26" s="324">
        <v>0</v>
      </c>
      <c r="N26" s="324">
        <v>2368.8150000000001</v>
      </c>
      <c r="O26" s="324">
        <v>0</v>
      </c>
      <c r="P26" s="325">
        <v>1243.9363000000001</v>
      </c>
      <c r="Q26" s="325">
        <v>0</v>
      </c>
      <c r="R26" s="325">
        <v>1124.8787</v>
      </c>
      <c r="S26" s="325">
        <v>0</v>
      </c>
      <c r="T26" s="325">
        <v>0</v>
      </c>
      <c r="U26" s="325">
        <v>0</v>
      </c>
      <c r="V26" s="324">
        <v>1316.8155999999999</v>
      </c>
      <c r="W26" s="324">
        <v>0</v>
      </c>
      <c r="X26" s="324">
        <v>1077.1197</v>
      </c>
      <c r="Y26" s="324">
        <v>0</v>
      </c>
      <c r="Z26" s="324">
        <v>2239.3440000000001</v>
      </c>
      <c r="AA26" s="324">
        <v>0</v>
      </c>
      <c r="AB26" s="324">
        <v>490.02800000000002</v>
      </c>
      <c r="AC26" s="324">
        <v>0</v>
      </c>
      <c r="AD26" s="325">
        <v>0</v>
      </c>
      <c r="AE26" s="325">
        <v>0</v>
      </c>
      <c r="AF26" s="325">
        <v>490.02800000000002</v>
      </c>
      <c r="AG26" s="325">
        <v>0</v>
      </c>
      <c r="AH26" s="325">
        <v>0</v>
      </c>
      <c r="AI26" s="325">
        <v>0</v>
      </c>
      <c r="AJ26" s="324">
        <v>346.39380000000006</v>
      </c>
      <c r="AK26" s="324">
        <v>0</v>
      </c>
      <c r="AL26" s="324">
        <v>151.60880000000003</v>
      </c>
      <c r="AM26" s="326">
        <v>0</v>
      </c>
      <c r="AN26" s="331" t="e">
        <f>AD26-#REF!</f>
        <v>#REF!</v>
      </c>
      <c r="AO26" s="325" t="e">
        <f>AE26-#REF!</f>
        <v>#REF!</v>
      </c>
      <c r="AP26" s="325" t="e">
        <f>AF26-#REF!</f>
        <v>#REF!</v>
      </c>
      <c r="AQ26" s="325" t="e">
        <f>AG26-#REF!</f>
        <v>#REF!</v>
      </c>
      <c r="AR26" s="325" t="e">
        <f>AH26-#REF!</f>
        <v>#REF!</v>
      </c>
      <c r="AS26" s="332" t="e">
        <f>AI26-#REF!</f>
        <v>#REF!</v>
      </c>
    </row>
    <row r="27" spans="1:45" s="311" customFormat="1" thickBot="1" x14ac:dyDescent="0.3">
      <c r="A27" s="242" t="s">
        <v>150</v>
      </c>
      <c r="B27" s="243">
        <v>851819.31600000011</v>
      </c>
      <c r="C27" s="243">
        <v>12358.5491</v>
      </c>
      <c r="D27" s="243">
        <v>179569.10469999997</v>
      </c>
      <c r="E27" s="243">
        <v>3800.3816000000002</v>
      </c>
      <c r="F27" s="312">
        <v>11337.984</v>
      </c>
      <c r="G27" s="312">
        <v>47.1479</v>
      </c>
      <c r="H27" s="312">
        <v>168183.97279999996</v>
      </c>
      <c r="I27" s="312">
        <v>0</v>
      </c>
      <c r="J27" s="312">
        <v>0</v>
      </c>
      <c r="K27" s="312">
        <v>3800.3816000000002</v>
      </c>
      <c r="L27" s="243">
        <v>8933382.5418000016</v>
      </c>
      <c r="M27" s="243">
        <v>15475.7201</v>
      </c>
      <c r="N27" s="243">
        <v>8339583.5933000008</v>
      </c>
      <c r="O27" s="243">
        <v>1228.1073000000001</v>
      </c>
      <c r="P27" s="312">
        <v>461555.06340000004</v>
      </c>
      <c r="Q27" s="312">
        <v>0</v>
      </c>
      <c r="R27" s="312">
        <v>7878028.5299000004</v>
      </c>
      <c r="S27" s="312">
        <v>174.23500000000001</v>
      </c>
      <c r="T27" s="312">
        <v>0</v>
      </c>
      <c r="U27" s="312">
        <v>1053.8723</v>
      </c>
      <c r="V27" s="243">
        <v>8081563.2258000011</v>
      </c>
      <c r="W27" s="243">
        <v>3117.1709999999998</v>
      </c>
      <c r="X27" s="243">
        <v>8160014.4885999998</v>
      </c>
      <c r="Y27" s="243">
        <v>-2572.2743</v>
      </c>
      <c r="Z27" s="243">
        <v>2142403.8277999996</v>
      </c>
      <c r="AA27" s="243">
        <v>385127.66570000001</v>
      </c>
      <c r="AB27" s="243">
        <v>307418.94500000001</v>
      </c>
      <c r="AC27" s="243">
        <v>804.87760000000003</v>
      </c>
      <c r="AD27" s="312">
        <v>172881.85689999998</v>
      </c>
      <c r="AE27" s="312">
        <v>2506.4391999999998</v>
      </c>
      <c r="AF27" s="312">
        <v>132030.6489</v>
      </c>
      <c r="AG27" s="312">
        <v>229.2517</v>
      </c>
      <c r="AH27" s="312">
        <v>0</v>
      </c>
      <c r="AI27" s="312">
        <v>575.6259</v>
      </c>
      <c r="AJ27" s="243">
        <v>462200.97150000004</v>
      </c>
      <c r="AK27" s="243">
        <v>145866.26910000003</v>
      </c>
      <c r="AL27" s="243">
        <v>-138075.30850000001</v>
      </c>
      <c r="AM27" s="243">
        <v>804.87760000000003</v>
      </c>
      <c r="AN27" s="312" t="e">
        <f t="shared" ref="AN27:AS27" si="0">SUM(AN10:AN26)</f>
        <v>#REF!</v>
      </c>
      <c r="AO27" s="312" t="e">
        <f t="shared" si="0"/>
        <v>#REF!</v>
      </c>
      <c r="AP27" s="312" t="e">
        <f t="shared" si="0"/>
        <v>#REF!</v>
      </c>
      <c r="AQ27" s="312" t="e">
        <f t="shared" si="0"/>
        <v>#REF!</v>
      </c>
      <c r="AR27" s="312" t="e">
        <f t="shared" si="0"/>
        <v>#REF!</v>
      </c>
      <c r="AS27" s="333" t="e">
        <f t="shared" si="0"/>
        <v>#REF!</v>
      </c>
    </row>
    <row r="28" spans="1:45" ht="14.4" thickTop="1" x14ac:dyDescent="0.25"/>
  </sheetData>
  <mergeCells count="41">
    <mergeCell ref="AL7:AL8"/>
    <mergeCell ref="AN7:AP7"/>
    <mergeCell ref="AQ7:AS7"/>
    <mergeCell ref="Z4:AM4"/>
    <mergeCell ref="AJ6:AJ8"/>
    <mergeCell ref="AK6:AM6"/>
    <mergeCell ref="AN6:AP6"/>
    <mergeCell ref="AQ6:AS6"/>
    <mergeCell ref="AG6:AI6"/>
    <mergeCell ref="AG7:AI7"/>
    <mergeCell ref="D7:D8"/>
    <mergeCell ref="F7:H7"/>
    <mergeCell ref="I7:K7"/>
    <mergeCell ref="N7:N8"/>
    <mergeCell ref="P7:R7"/>
    <mergeCell ref="S7:U7"/>
    <mergeCell ref="X7:X8"/>
    <mergeCell ref="Z6:Z8"/>
    <mergeCell ref="AA6:AC6"/>
    <mergeCell ref="AD6:AF6"/>
    <mergeCell ref="AB7:AB8"/>
    <mergeCell ref="AD7:AF7"/>
    <mergeCell ref="S6:U6"/>
    <mergeCell ref="V6:V8"/>
    <mergeCell ref="W6:Y6"/>
    <mergeCell ref="AK1:AM1"/>
    <mergeCell ref="A2:AM2"/>
    <mergeCell ref="A4:A8"/>
    <mergeCell ref="B4:Y4"/>
    <mergeCell ref="B5:K5"/>
    <mergeCell ref="L5:U5"/>
    <mergeCell ref="V5:Y5"/>
    <mergeCell ref="Z5:AI5"/>
    <mergeCell ref="AJ5:AM5"/>
    <mergeCell ref="B6:B8"/>
    <mergeCell ref="C6:E6"/>
    <mergeCell ref="F6:H6"/>
    <mergeCell ref="I6:K6"/>
    <mergeCell ref="L6:L8"/>
    <mergeCell ref="M6:O6"/>
    <mergeCell ref="P6:R6"/>
  </mergeCells>
  <pageMargins left="0.39370078740157483" right="0.39370078740157483" top="0.98425196850393704" bottom="0.59055118110236227" header="0.31496062992125984" footer="0.31496062992125984"/>
  <pageSetup paperSize="9" scale="7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132"/>
  <sheetViews>
    <sheetView zoomScale="115" zoomScaleNormal="115" workbookViewId="0">
      <selection activeCell="A4" sqref="A4:A7"/>
    </sheetView>
  </sheetViews>
  <sheetFormatPr defaultColWidth="8" defaultRowHeight="13.2" x14ac:dyDescent="0.25"/>
  <cols>
    <col min="1" max="1" width="40.8984375" style="5" customWidth="1"/>
    <col min="2" max="2" width="8.09765625" style="4" customWidth="1"/>
    <col min="3" max="3" width="8.5" style="4" bestFit="1" customWidth="1"/>
    <col min="4" max="4" width="8.09765625" style="4" customWidth="1"/>
    <col min="5" max="6" width="7.5" style="4" hidden="1" customWidth="1"/>
    <col min="7" max="7" width="7.09765625" style="4" hidden="1" customWidth="1"/>
    <col min="8" max="8" width="8.8984375" style="4" bestFit="1" customWidth="1"/>
    <col min="9" max="9" width="8" style="4"/>
    <col min="10" max="10" width="8.19921875" style="4" customWidth="1"/>
    <col min="11" max="11" width="7.69921875" style="4" hidden="1" customWidth="1"/>
    <col min="12" max="12" width="7.3984375" style="4" hidden="1" customWidth="1"/>
    <col min="13" max="13" width="7" style="4" hidden="1" customWidth="1"/>
    <col min="14" max="14" width="8.19921875" style="4" customWidth="1"/>
    <col min="15" max="15" width="7.3984375" style="4" customWidth="1"/>
    <col min="16" max="16" width="8.09765625" style="4" customWidth="1"/>
    <col min="17" max="17" width="8.19921875" style="4" customWidth="1"/>
    <col min="18" max="18" width="7.59765625" style="4" customWidth="1"/>
    <col min="19" max="19" width="8.09765625" style="4" customWidth="1"/>
    <col min="20" max="16384" width="8" style="4"/>
  </cols>
  <sheetData>
    <row r="1" spans="1:19" x14ac:dyDescent="0.25">
      <c r="Q1" s="373" t="s">
        <v>221</v>
      </c>
      <c r="R1" s="373"/>
      <c r="S1" s="373"/>
    </row>
    <row r="2" spans="1:19" ht="29.25" customHeight="1" x14ac:dyDescent="0.25">
      <c r="A2" s="374" t="s">
        <v>237</v>
      </c>
      <c r="B2" s="374"/>
      <c r="C2" s="374"/>
      <c r="D2" s="374"/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</row>
    <row r="3" spans="1:19" ht="13.8" thickBot="1" x14ac:dyDescent="0.3">
      <c r="Q3" s="210"/>
      <c r="R3" s="210"/>
      <c r="S3" s="210"/>
    </row>
    <row r="4" spans="1:19" s="5" customFormat="1" ht="27.75" customHeight="1" thickTop="1" x14ac:dyDescent="0.25">
      <c r="A4" s="375" t="s">
        <v>36</v>
      </c>
      <c r="B4" s="377" t="s">
        <v>413</v>
      </c>
      <c r="C4" s="377"/>
      <c r="D4" s="377"/>
      <c r="E4" s="377"/>
      <c r="F4" s="377"/>
      <c r="G4" s="377"/>
      <c r="H4" s="377" t="s">
        <v>414</v>
      </c>
      <c r="I4" s="377"/>
      <c r="J4" s="377"/>
      <c r="K4" s="377"/>
      <c r="L4" s="377"/>
      <c r="M4" s="377"/>
      <c r="N4" s="377" t="s">
        <v>239</v>
      </c>
      <c r="O4" s="377"/>
      <c r="P4" s="377"/>
      <c r="Q4" s="377" t="s">
        <v>317</v>
      </c>
      <c r="R4" s="377"/>
      <c r="S4" s="378"/>
    </row>
    <row r="5" spans="1:19" s="5" customFormat="1" x14ac:dyDescent="0.25">
      <c r="A5" s="376"/>
      <c r="B5" s="379" t="s">
        <v>38</v>
      </c>
      <c r="C5" s="383" t="s">
        <v>40</v>
      </c>
      <c r="D5" s="383"/>
      <c r="E5" s="383"/>
      <c r="F5" s="383"/>
      <c r="G5" s="383"/>
      <c r="H5" s="379" t="s">
        <v>38</v>
      </c>
      <c r="I5" s="383" t="s">
        <v>40</v>
      </c>
      <c r="J5" s="383"/>
      <c r="K5" s="383"/>
      <c r="L5" s="383"/>
      <c r="M5" s="383"/>
      <c r="N5" s="388" t="s">
        <v>38</v>
      </c>
      <c r="O5" s="383" t="s">
        <v>40</v>
      </c>
      <c r="P5" s="383"/>
      <c r="Q5" s="388" t="s">
        <v>38</v>
      </c>
      <c r="R5" s="383" t="s">
        <v>40</v>
      </c>
      <c r="S5" s="384"/>
    </row>
    <row r="6" spans="1:19" s="5" customFormat="1" ht="13.2" customHeight="1" x14ac:dyDescent="0.25">
      <c r="A6" s="376"/>
      <c r="B6" s="379"/>
      <c r="C6" s="379" t="s">
        <v>42</v>
      </c>
      <c r="D6" s="388" t="s">
        <v>43</v>
      </c>
      <c r="E6" s="387" t="s">
        <v>44</v>
      </c>
      <c r="F6" s="387"/>
      <c r="G6" s="387"/>
      <c r="H6" s="379"/>
      <c r="I6" s="379" t="s">
        <v>42</v>
      </c>
      <c r="J6" s="388" t="s">
        <v>43</v>
      </c>
      <c r="K6" s="387" t="s">
        <v>44</v>
      </c>
      <c r="L6" s="387"/>
      <c r="M6" s="387"/>
      <c r="N6" s="388"/>
      <c r="O6" s="388" t="s">
        <v>42</v>
      </c>
      <c r="P6" s="388" t="s">
        <v>43</v>
      </c>
      <c r="Q6" s="388"/>
      <c r="R6" s="388" t="s">
        <v>42</v>
      </c>
      <c r="S6" s="393" t="s">
        <v>43</v>
      </c>
    </row>
    <row r="7" spans="1:19" s="5" customFormat="1" ht="43.2" customHeight="1" x14ac:dyDescent="0.25">
      <c r="A7" s="376"/>
      <c r="B7" s="379"/>
      <c r="C7" s="379"/>
      <c r="D7" s="388"/>
      <c r="E7" s="262" t="s">
        <v>45</v>
      </c>
      <c r="F7" s="262" t="s">
        <v>46</v>
      </c>
      <c r="G7" s="262" t="s">
        <v>47</v>
      </c>
      <c r="H7" s="379"/>
      <c r="I7" s="379"/>
      <c r="J7" s="388"/>
      <c r="K7" s="262" t="s">
        <v>45</v>
      </c>
      <c r="L7" s="262" t="s">
        <v>46</v>
      </c>
      <c r="M7" s="262" t="s">
        <v>47</v>
      </c>
      <c r="N7" s="388"/>
      <c r="O7" s="388"/>
      <c r="P7" s="388"/>
      <c r="Q7" s="388"/>
      <c r="R7" s="388"/>
      <c r="S7" s="393"/>
    </row>
    <row r="8" spans="1:19" s="15" customFormat="1" ht="20.399999999999999" x14ac:dyDescent="0.25">
      <c r="A8" s="10" t="s">
        <v>28</v>
      </c>
      <c r="B8" s="11" t="s">
        <v>49</v>
      </c>
      <c r="C8" s="11" t="s">
        <v>50</v>
      </c>
      <c r="D8" s="11" t="s">
        <v>51</v>
      </c>
      <c r="E8" s="13"/>
      <c r="F8" s="13"/>
      <c r="G8" s="13"/>
      <c r="H8" s="11" t="s">
        <v>162</v>
      </c>
      <c r="I8" s="11" t="s">
        <v>197</v>
      </c>
      <c r="J8" s="11" t="s">
        <v>164</v>
      </c>
      <c r="K8" s="13"/>
      <c r="L8" s="13"/>
      <c r="M8" s="13"/>
      <c r="N8" s="13" t="s">
        <v>202</v>
      </c>
      <c r="O8" s="13" t="s">
        <v>203</v>
      </c>
      <c r="P8" s="13" t="s">
        <v>204</v>
      </c>
      <c r="Q8" s="264" t="s">
        <v>205</v>
      </c>
      <c r="R8" s="264" t="s">
        <v>206</v>
      </c>
      <c r="S8" s="226" t="s">
        <v>207</v>
      </c>
    </row>
    <row r="9" spans="1:19" s="5" customFormat="1" x14ac:dyDescent="0.25">
      <c r="A9" s="263" t="s">
        <v>61</v>
      </c>
      <c r="B9" s="60"/>
      <c r="C9" s="60"/>
      <c r="D9" s="60"/>
      <c r="E9" s="60"/>
      <c r="F9" s="60"/>
      <c r="G9" s="60"/>
      <c r="H9" s="60"/>
      <c r="I9" s="60"/>
      <c r="J9" s="60"/>
      <c r="K9" s="248"/>
      <c r="L9" s="248"/>
      <c r="M9" s="248"/>
      <c r="N9" s="248"/>
      <c r="O9" s="248"/>
      <c r="P9" s="248"/>
      <c r="Q9" s="248"/>
      <c r="R9" s="248"/>
      <c r="S9" s="249"/>
    </row>
    <row r="10" spans="1:19" s="33" customFormat="1" x14ac:dyDescent="0.25">
      <c r="A10" s="27" t="s">
        <v>63</v>
      </c>
      <c r="B10" s="30">
        <v>59293.513081019999</v>
      </c>
      <c r="C10" s="30">
        <v>46362.117719610003</v>
      </c>
      <c r="D10" s="30">
        <v>12932.106828079999</v>
      </c>
      <c r="E10" s="30">
        <v>9235.564906040001</v>
      </c>
      <c r="F10" s="30">
        <v>2062.0394886700001</v>
      </c>
      <c r="G10" s="30">
        <v>1276.48490229</v>
      </c>
      <c r="H10" s="30">
        <v>58493.944975230006</v>
      </c>
      <c r="I10" s="30">
        <v>45400.062653550005</v>
      </c>
      <c r="J10" s="30">
        <v>13094.224917289999</v>
      </c>
      <c r="K10" s="30">
        <v>9541.3306052099997</v>
      </c>
      <c r="L10" s="30">
        <v>2178.2882684299998</v>
      </c>
      <c r="M10" s="30">
        <v>1212.4879544400001</v>
      </c>
      <c r="N10" s="30">
        <f>H10-B10</f>
        <v>-799.56810578999284</v>
      </c>
      <c r="O10" s="30">
        <f t="shared" ref="O10:P25" si="0">I10-C10</f>
        <v>-962.05506605999835</v>
      </c>
      <c r="P10" s="30">
        <f t="shared" si="0"/>
        <v>162.11808921000011</v>
      </c>
      <c r="Q10" s="30">
        <f>H10/B10%-100</f>
        <v>-1.3484917054880015</v>
      </c>
      <c r="R10" s="30">
        <f t="shared" ref="R10:S25" si="1">I10/C10%-100</f>
        <v>-2.0750887003875391</v>
      </c>
      <c r="S10" s="31">
        <f t="shared" si="1"/>
        <v>1.253609263867105</v>
      </c>
    </row>
    <row r="11" spans="1:19" x14ac:dyDescent="0.25">
      <c r="A11" s="250" t="s">
        <v>29</v>
      </c>
      <c r="B11" s="24">
        <v>15877.24988682</v>
      </c>
      <c r="C11" s="24">
        <v>15877.24988682</v>
      </c>
      <c r="D11" s="24">
        <v>0</v>
      </c>
      <c r="E11" s="24">
        <v>0</v>
      </c>
      <c r="F11" s="24">
        <v>0</v>
      </c>
      <c r="G11" s="24">
        <v>0</v>
      </c>
      <c r="H11" s="24">
        <v>11885.041492660001</v>
      </c>
      <c r="I11" s="24">
        <v>11885.041492660001</v>
      </c>
      <c r="J11" s="24">
        <v>0</v>
      </c>
      <c r="K11" s="24">
        <v>0</v>
      </c>
      <c r="L11" s="24">
        <v>0</v>
      </c>
      <c r="M11" s="24">
        <v>0</v>
      </c>
      <c r="N11" s="24">
        <f>H11-B11</f>
        <v>-3992.2083941599994</v>
      </c>
      <c r="O11" s="24">
        <f t="shared" si="0"/>
        <v>-3992.2083941599994</v>
      </c>
      <c r="P11" s="24">
        <f t="shared" si="0"/>
        <v>0</v>
      </c>
      <c r="Q11" s="24">
        <f>H11/B11%-100</f>
        <v>-25.144205845585418</v>
      </c>
      <c r="R11" s="24">
        <f t="shared" si="1"/>
        <v>-25.144205845585418</v>
      </c>
      <c r="S11" s="42" t="s">
        <v>64</v>
      </c>
    </row>
    <row r="12" spans="1:19" x14ac:dyDescent="0.25">
      <c r="A12" s="250" t="s">
        <v>65</v>
      </c>
      <c r="B12" s="24">
        <v>23195.499780120001</v>
      </c>
      <c r="C12" s="24">
        <v>15400.472689419999</v>
      </c>
      <c r="D12" s="24">
        <v>7795.0270906999995</v>
      </c>
      <c r="E12" s="24">
        <v>5798.1320733699995</v>
      </c>
      <c r="F12" s="24">
        <v>1272.5439502300001</v>
      </c>
      <c r="G12" s="24">
        <v>506.43116673000003</v>
      </c>
      <c r="H12" s="24">
        <v>24466.047472689999</v>
      </c>
      <c r="I12" s="24">
        <v>16336.98651755</v>
      </c>
      <c r="J12" s="24">
        <v>8129.0609551399994</v>
      </c>
      <c r="K12" s="24">
        <v>6000.7661295899998</v>
      </c>
      <c r="L12" s="24">
        <v>1283.85622128</v>
      </c>
      <c r="M12" s="24">
        <v>510.40473982999998</v>
      </c>
      <c r="N12" s="24">
        <f t="shared" ref="N12:P44" si="2">H12-B12</f>
        <v>1270.5476925699986</v>
      </c>
      <c r="O12" s="24">
        <f t="shared" si="0"/>
        <v>936.51382813000055</v>
      </c>
      <c r="P12" s="24">
        <f t="shared" si="0"/>
        <v>334.03386443999989</v>
      </c>
      <c r="Q12" s="24">
        <f t="shared" ref="Q12:S44" si="3">H12/B12%-100</f>
        <v>5.4775611847731795</v>
      </c>
      <c r="R12" s="24">
        <f t="shared" si="1"/>
        <v>6.0810719710790266</v>
      </c>
      <c r="S12" s="26">
        <f t="shared" si="1"/>
        <v>4.2852174925540112</v>
      </c>
    </row>
    <row r="13" spans="1:19" x14ac:dyDescent="0.25">
      <c r="A13" s="250" t="s">
        <v>66</v>
      </c>
      <c r="B13" s="24">
        <v>3638.93001086</v>
      </c>
      <c r="C13" s="24">
        <v>3358.6497737099999</v>
      </c>
      <c r="D13" s="24">
        <v>280.28023714999995</v>
      </c>
      <c r="E13" s="24">
        <v>25.12281505</v>
      </c>
      <c r="F13" s="24">
        <v>110.29534601</v>
      </c>
      <c r="G13" s="24">
        <v>137.88168521</v>
      </c>
      <c r="H13" s="24">
        <v>4925.1823151600001</v>
      </c>
      <c r="I13" s="24">
        <v>4568.83356895</v>
      </c>
      <c r="J13" s="24">
        <v>356.34874621000006</v>
      </c>
      <c r="K13" s="24">
        <v>30.489444859999999</v>
      </c>
      <c r="L13" s="24">
        <v>103.58877299</v>
      </c>
      <c r="M13" s="24">
        <v>146.20201930000002</v>
      </c>
      <c r="N13" s="24">
        <f t="shared" si="2"/>
        <v>1286.2523043000001</v>
      </c>
      <c r="O13" s="24">
        <f t="shared" si="0"/>
        <v>1210.1837952400001</v>
      </c>
      <c r="P13" s="24">
        <f t="shared" si="0"/>
        <v>76.06850906000011</v>
      </c>
      <c r="Q13" s="24">
        <f t="shared" si="3"/>
        <v>35.346992122995431</v>
      </c>
      <c r="R13" s="24">
        <f t="shared" si="1"/>
        <v>36.031854369359223</v>
      </c>
      <c r="S13" s="26">
        <f t="shared" si="1"/>
        <v>27.140161516022232</v>
      </c>
    </row>
    <row r="14" spans="1:19" x14ac:dyDescent="0.25">
      <c r="A14" s="250" t="s">
        <v>30</v>
      </c>
      <c r="B14" s="24">
        <v>3402.8579076000001</v>
      </c>
      <c r="C14" s="24">
        <v>2229.8034033399999</v>
      </c>
      <c r="D14" s="24">
        <v>1173.0545042599997</v>
      </c>
      <c r="E14" s="24">
        <v>747.18019723999998</v>
      </c>
      <c r="F14" s="24">
        <v>309.79681748000002</v>
      </c>
      <c r="G14" s="24">
        <v>4.1068391499999999</v>
      </c>
      <c r="H14" s="24">
        <v>3512.6764925700004</v>
      </c>
      <c r="I14" s="24">
        <v>2368.2918683000003</v>
      </c>
      <c r="J14" s="24">
        <v>1144.3846242699999</v>
      </c>
      <c r="K14" s="24">
        <v>820.54844204999995</v>
      </c>
      <c r="L14" s="24">
        <v>333.65806261</v>
      </c>
      <c r="M14" s="24">
        <v>18.847999600000001</v>
      </c>
      <c r="N14" s="24">
        <f t="shared" si="2"/>
        <v>109.8185849700003</v>
      </c>
      <c r="O14" s="24">
        <f t="shared" si="0"/>
        <v>138.48846496000033</v>
      </c>
      <c r="P14" s="24">
        <f t="shared" si="0"/>
        <v>-28.669879989999799</v>
      </c>
      <c r="Q14" s="24">
        <f t="shared" si="3"/>
        <v>3.2272456844210211</v>
      </c>
      <c r="R14" s="24">
        <f t="shared" si="1"/>
        <v>6.2107926085573126</v>
      </c>
      <c r="S14" s="26">
        <f t="shared" si="1"/>
        <v>-2.4440364779201502</v>
      </c>
    </row>
    <row r="15" spans="1:19" x14ac:dyDescent="0.25">
      <c r="A15" s="250" t="s">
        <v>208</v>
      </c>
      <c r="B15" s="24">
        <v>7337.3718035699994</v>
      </c>
      <c r="C15" s="24">
        <v>6485.6206693000004</v>
      </c>
      <c r="D15" s="24">
        <v>851.75113426999997</v>
      </c>
      <c r="E15" s="24">
        <v>620.59639813000001</v>
      </c>
      <c r="F15" s="24">
        <v>-8.5225999999999998E-4</v>
      </c>
      <c r="G15" s="24">
        <v>281.78647023000002</v>
      </c>
      <c r="H15" s="24">
        <v>7472.0665681299997</v>
      </c>
      <c r="I15" s="24">
        <v>6637.08563641</v>
      </c>
      <c r="J15" s="24">
        <v>834.98093172000006</v>
      </c>
      <c r="K15" s="24">
        <v>616.69298838999998</v>
      </c>
      <c r="L15" s="24">
        <v>1.0525199999999999E-3</v>
      </c>
      <c r="M15" s="24">
        <v>235.05709336000001</v>
      </c>
      <c r="N15" s="24">
        <f t="shared" si="2"/>
        <v>134.69476456000029</v>
      </c>
      <c r="O15" s="24">
        <f t="shared" si="0"/>
        <v>151.46496710999963</v>
      </c>
      <c r="P15" s="24">
        <f t="shared" si="0"/>
        <v>-16.770202549999908</v>
      </c>
      <c r="Q15" s="24">
        <f t="shared" si="3"/>
        <v>1.8357358488289321</v>
      </c>
      <c r="R15" s="24">
        <f t="shared" si="1"/>
        <v>2.3353966387051628</v>
      </c>
      <c r="S15" s="26">
        <f>J15/D15%-100</f>
        <v>-1.9689087428539693</v>
      </c>
    </row>
    <row r="16" spans="1:19" s="120" customFormat="1" x14ac:dyDescent="0.25">
      <c r="A16" s="251" t="s">
        <v>209</v>
      </c>
      <c r="B16" s="253">
        <f>125363514.15/1000000</f>
        <v>125.36351415</v>
      </c>
      <c r="C16" s="253"/>
      <c r="D16" s="253">
        <f>125363514.15/1000000</f>
        <v>125.36351415</v>
      </c>
      <c r="E16" s="117">
        <f>95753488.64/1000000</f>
        <v>95.75348864</v>
      </c>
      <c r="F16" s="117">
        <v>0</v>
      </c>
      <c r="G16" s="117">
        <f>27525926.06/1000000</f>
        <v>27.52592606</v>
      </c>
      <c r="H16" s="253">
        <v>122.21423416</v>
      </c>
      <c r="I16" s="253"/>
      <c r="J16" s="253">
        <v>122.21423416</v>
      </c>
      <c r="K16" s="117">
        <v>97.985962709999995</v>
      </c>
      <c r="L16" s="117">
        <v>5.2520000000000005E-5</v>
      </c>
      <c r="M16" s="117">
        <v>27.377498920000001</v>
      </c>
      <c r="N16" s="117">
        <f>H16-B16</f>
        <v>-3.1492799899999966</v>
      </c>
      <c r="O16" s="117">
        <f t="shared" si="0"/>
        <v>0</v>
      </c>
      <c r="P16" s="117">
        <f t="shared" si="0"/>
        <v>-3.1492799899999966</v>
      </c>
      <c r="Q16" s="117">
        <f t="shared" si="3"/>
        <v>-2.5121184671257879</v>
      </c>
      <c r="R16" s="47" t="s">
        <v>64</v>
      </c>
      <c r="S16" s="119">
        <f t="shared" si="1"/>
        <v>-2.5121184671257879</v>
      </c>
    </row>
    <row r="17" spans="1:19" s="120" customFormat="1" x14ac:dyDescent="0.25">
      <c r="A17" s="251" t="s">
        <v>210</v>
      </c>
      <c r="B17" s="117">
        <v>5426.5315679399991</v>
      </c>
      <c r="C17" s="117">
        <v>5426.5315679399991</v>
      </c>
      <c r="D17" s="117"/>
      <c r="E17" s="117"/>
      <c r="F17" s="117"/>
      <c r="G17" s="117"/>
      <c r="H17" s="253">
        <v>5596.5685001600004</v>
      </c>
      <c r="I17" s="253">
        <v>5596.5685001600004</v>
      </c>
      <c r="J17" s="253"/>
      <c r="K17" s="117"/>
      <c r="L17" s="117"/>
      <c r="M17" s="117"/>
      <c r="N17" s="117">
        <f t="shared" si="2"/>
        <v>170.03693222000129</v>
      </c>
      <c r="O17" s="117">
        <f t="shared" si="0"/>
        <v>170.03693222000129</v>
      </c>
      <c r="P17" s="117">
        <f t="shared" si="0"/>
        <v>0</v>
      </c>
      <c r="Q17" s="117">
        <f t="shared" si="3"/>
        <v>3.1334367098236555</v>
      </c>
      <c r="R17" s="117">
        <f t="shared" si="1"/>
        <v>3.1334367098236555</v>
      </c>
      <c r="S17" s="259" t="s">
        <v>64</v>
      </c>
    </row>
    <row r="18" spans="1:19" s="120" customFormat="1" x14ac:dyDescent="0.25">
      <c r="A18" s="251" t="s">
        <v>211</v>
      </c>
      <c r="B18" s="117">
        <v>1057.8685897999999</v>
      </c>
      <c r="C18" s="117">
        <v>1057.8685897999999</v>
      </c>
      <c r="D18" s="117"/>
      <c r="E18" s="117"/>
      <c r="F18" s="117"/>
      <c r="G18" s="117"/>
      <c r="H18" s="253">
        <v>1039.2220849800001</v>
      </c>
      <c r="I18" s="253">
        <v>1039.2220849800001</v>
      </c>
      <c r="J18" s="253"/>
      <c r="K18" s="117"/>
      <c r="L18" s="117"/>
      <c r="M18" s="117"/>
      <c r="N18" s="117">
        <f t="shared" si="2"/>
        <v>-18.646504819999791</v>
      </c>
      <c r="O18" s="117">
        <f t="shared" si="0"/>
        <v>-18.646504819999791</v>
      </c>
      <c r="P18" s="117">
        <f t="shared" si="0"/>
        <v>0</v>
      </c>
      <c r="Q18" s="117">
        <f t="shared" si="3"/>
        <v>-1.7626484990470317</v>
      </c>
      <c r="R18" s="117">
        <f t="shared" si="1"/>
        <v>-1.7626484990470317</v>
      </c>
      <c r="S18" s="259" t="s">
        <v>64</v>
      </c>
    </row>
    <row r="19" spans="1:19" s="120" customFormat="1" x14ac:dyDescent="0.25">
      <c r="A19" s="251" t="s">
        <v>212</v>
      </c>
      <c r="B19" s="253">
        <v>726.38762011999995</v>
      </c>
      <c r="C19" s="253"/>
      <c r="D19" s="253">
        <v>726.38762011999995</v>
      </c>
      <c r="E19" s="117">
        <f>524842909.49/1000000</f>
        <v>524.84290949000001</v>
      </c>
      <c r="F19" s="117">
        <f>-852.26/1000000</f>
        <v>-8.5225999999999998E-4</v>
      </c>
      <c r="G19" s="117">
        <f>254260544.17/1000000</f>
        <v>254.26054416999997</v>
      </c>
      <c r="H19" s="253">
        <v>712.76669756000001</v>
      </c>
      <c r="I19" s="253"/>
      <c r="J19" s="253">
        <v>712.76669756000001</v>
      </c>
      <c r="K19" s="117">
        <v>518.70702568000002</v>
      </c>
      <c r="L19" s="117">
        <v>1E-3</v>
      </c>
      <c r="M19" s="117">
        <v>207.67959443999999</v>
      </c>
      <c r="N19" s="117">
        <f t="shared" si="2"/>
        <v>-13.62092255999994</v>
      </c>
      <c r="O19" s="117">
        <f t="shared" si="0"/>
        <v>0</v>
      </c>
      <c r="P19" s="117">
        <f t="shared" si="0"/>
        <v>-13.62092255999994</v>
      </c>
      <c r="Q19" s="117">
        <f t="shared" si="3"/>
        <v>-1.8751589623388298</v>
      </c>
      <c r="R19" s="261" t="s">
        <v>64</v>
      </c>
      <c r="S19" s="119">
        <f t="shared" si="1"/>
        <v>-1.8751589623388298</v>
      </c>
    </row>
    <row r="20" spans="1:19" ht="26.4" x14ac:dyDescent="0.25">
      <c r="A20" s="250" t="s">
        <v>213</v>
      </c>
      <c r="B20" s="24">
        <v>1880.8959210999999</v>
      </c>
      <c r="C20" s="24">
        <v>1880.8959210999999</v>
      </c>
      <c r="D20" s="24">
        <v>0</v>
      </c>
      <c r="E20" s="24">
        <v>0</v>
      </c>
      <c r="F20" s="24">
        <v>0</v>
      </c>
      <c r="G20" s="24">
        <v>0</v>
      </c>
      <c r="H20" s="24">
        <v>2243.4881155100002</v>
      </c>
      <c r="I20" s="24">
        <v>2243.4881155100002</v>
      </c>
      <c r="J20" s="24"/>
      <c r="K20" s="24">
        <v>0</v>
      </c>
      <c r="L20" s="24">
        <v>0</v>
      </c>
      <c r="M20" s="24">
        <v>0</v>
      </c>
      <c r="N20" s="30">
        <f t="shared" si="2"/>
        <v>362.59219441000027</v>
      </c>
      <c r="O20" s="24">
        <f t="shared" si="0"/>
        <v>362.59219441000027</v>
      </c>
      <c r="P20" s="24">
        <f t="shared" si="0"/>
        <v>0</v>
      </c>
      <c r="Q20" s="30">
        <f t="shared" si="3"/>
        <v>19.277632023251272</v>
      </c>
      <c r="R20" s="24">
        <f t="shared" si="1"/>
        <v>19.277632023251272</v>
      </c>
      <c r="S20" s="259" t="s">
        <v>64</v>
      </c>
    </row>
    <row r="21" spans="1:19" s="120" customFormat="1" ht="26.4" x14ac:dyDescent="0.25">
      <c r="A21" s="251" t="s">
        <v>214</v>
      </c>
      <c r="B21" s="253">
        <v>1694.777421</v>
      </c>
      <c r="C21" s="253">
        <v>1694.777421</v>
      </c>
      <c r="D21" s="117"/>
      <c r="E21" s="117"/>
      <c r="F21" s="117"/>
      <c r="G21" s="117"/>
      <c r="H21" s="253">
        <v>2056.9651170000002</v>
      </c>
      <c r="I21" s="253">
        <v>2056.9651170000002</v>
      </c>
      <c r="J21" s="253"/>
      <c r="K21" s="117"/>
      <c r="L21" s="117"/>
      <c r="M21" s="117"/>
      <c r="N21" s="118">
        <f t="shared" si="2"/>
        <v>362.18769600000019</v>
      </c>
      <c r="O21" s="117">
        <f t="shared" si="0"/>
        <v>362.18769600000019</v>
      </c>
      <c r="P21" s="117">
        <f t="shared" si="0"/>
        <v>0</v>
      </c>
      <c r="Q21" s="118">
        <f t="shared" si="3"/>
        <v>21.370811972836663</v>
      </c>
      <c r="R21" s="118">
        <f t="shared" si="1"/>
        <v>21.370811972836663</v>
      </c>
      <c r="S21" s="259" t="s">
        <v>64</v>
      </c>
    </row>
    <row r="22" spans="1:19" x14ac:dyDescent="0.25">
      <c r="A22" s="250" t="s">
        <v>33</v>
      </c>
      <c r="B22" s="24">
        <v>316.82921400999999</v>
      </c>
      <c r="C22" s="24">
        <v>127.29702172</v>
      </c>
      <c r="D22" s="24">
        <v>189.53219229000001</v>
      </c>
      <c r="E22" s="24">
        <v>132.19028976000001</v>
      </c>
      <c r="F22" s="24">
        <v>36.491582369999996</v>
      </c>
      <c r="G22" s="24">
        <v>4.6487835099999995</v>
      </c>
      <c r="H22" s="24">
        <v>343.70423492999998</v>
      </c>
      <c r="I22" s="24">
        <v>152.22846616999999</v>
      </c>
      <c r="J22" s="24">
        <v>191.47576876000002</v>
      </c>
      <c r="K22" s="24">
        <v>145.56005133000002</v>
      </c>
      <c r="L22" s="24">
        <v>39.89364939</v>
      </c>
      <c r="M22" s="24">
        <v>4.0784915699999997</v>
      </c>
      <c r="N22" s="24">
        <f t="shared" si="2"/>
        <v>26.875020919999997</v>
      </c>
      <c r="O22" s="24">
        <f t="shared" si="0"/>
        <v>24.931444449999987</v>
      </c>
      <c r="P22" s="24">
        <f t="shared" si="0"/>
        <v>1.9435764700000107</v>
      </c>
      <c r="Q22" s="24">
        <f t="shared" si="3"/>
        <v>8.4824945843383546</v>
      </c>
      <c r="R22" s="30">
        <f t="shared" si="1"/>
        <v>19.585253537854712</v>
      </c>
      <c r="S22" s="26">
        <f t="shared" si="1"/>
        <v>1.0254598158323347</v>
      </c>
    </row>
    <row r="23" spans="1:19" ht="39.6" x14ac:dyDescent="0.25">
      <c r="A23" s="250" t="s">
        <v>67</v>
      </c>
      <c r="B23" s="24">
        <v>0.15963370000000002</v>
      </c>
      <c r="C23" s="24">
        <v>4.2095430000000003E-2</v>
      </c>
      <c r="D23" s="24">
        <v>0.11753827000000001</v>
      </c>
      <c r="E23" s="24">
        <v>-2.2241110000000001E-2</v>
      </c>
      <c r="F23" s="24">
        <v>0.22199017999999998</v>
      </c>
      <c r="G23" s="24">
        <v>5.9339320000000001E-2</v>
      </c>
      <c r="H23" s="24">
        <v>0.23176654999999999</v>
      </c>
      <c r="I23" s="24">
        <v>4.6617980000000003E-2</v>
      </c>
      <c r="J23" s="24">
        <v>0.18514857000000001</v>
      </c>
      <c r="K23" s="24">
        <v>-6.8984899999999988E-2</v>
      </c>
      <c r="L23" s="24">
        <v>0.16786114000000002</v>
      </c>
      <c r="M23" s="24">
        <v>1.866203E-2</v>
      </c>
      <c r="N23" s="24">
        <f t="shared" si="2"/>
        <v>7.2132849999999971E-2</v>
      </c>
      <c r="O23" s="24">
        <f t="shared" si="0"/>
        <v>4.5225500000000002E-3</v>
      </c>
      <c r="P23" s="24">
        <f t="shared" si="0"/>
        <v>6.7610299999999998E-2</v>
      </c>
      <c r="Q23" s="30">
        <f t="shared" si="3"/>
        <v>45.186480047759318</v>
      </c>
      <c r="R23" s="30">
        <f t="shared" si="1"/>
        <v>10.743565275375502</v>
      </c>
      <c r="S23" s="31">
        <f t="shared" si="1"/>
        <v>57.521945830919549</v>
      </c>
    </row>
    <row r="24" spans="1:19" ht="39.6" x14ac:dyDescent="0.25">
      <c r="A24" s="250" t="s">
        <v>223</v>
      </c>
      <c r="B24" s="24">
        <v>1304.3966132099999</v>
      </c>
      <c r="C24" s="24">
        <v>47.817555369999994</v>
      </c>
      <c r="D24" s="24">
        <v>1257.2905245100001</v>
      </c>
      <c r="E24" s="24">
        <v>929.31241447000002</v>
      </c>
      <c r="F24" s="24">
        <v>151.72176512999999</v>
      </c>
      <c r="G24" s="24">
        <v>200.13242341999998</v>
      </c>
      <c r="H24" s="24">
        <v>1212.14104103</v>
      </c>
      <c r="I24" s="24">
        <v>45.824369659999995</v>
      </c>
      <c r="J24" s="24">
        <v>1167.0281380399999</v>
      </c>
      <c r="K24" s="24">
        <v>889.92551114000003</v>
      </c>
      <c r="L24" s="24">
        <v>202.02694713999998</v>
      </c>
      <c r="M24" s="24">
        <v>165.33806622999998</v>
      </c>
      <c r="N24" s="24">
        <f t="shared" si="2"/>
        <v>-92.255572179999945</v>
      </c>
      <c r="O24" s="24">
        <f t="shared" si="0"/>
        <v>-1.9931857099999988</v>
      </c>
      <c r="P24" s="24">
        <f t="shared" si="0"/>
        <v>-90.262386470000138</v>
      </c>
      <c r="Q24" s="24">
        <f t="shared" si="3"/>
        <v>-7.0726626584047523</v>
      </c>
      <c r="R24" s="24">
        <f t="shared" si="1"/>
        <v>-4.168313696878144</v>
      </c>
      <c r="S24" s="26">
        <f t="shared" si="1"/>
        <v>-7.1791192815342271</v>
      </c>
    </row>
    <row r="25" spans="1:19" ht="26.4" x14ac:dyDescent="0.25">
      <c r="A25" s="250" t="s">
        <v>240</v>
      </c>
      <c r="B25" s="24">
        <v>506.50016864999998</v>
      </c>
      <c r="C25" s="24">
        <v>372.50868733999999</v>
      </c>
      <c r="D25" s="24">
        <v>133.99148131000001</v>
      </c>
      <c r="E25" s="24">
        <v>73.921443189999991</v>
      </c>
      <c r="F25" s="24">
        <v>43.870408349999998</v>
      </c>
      <c r="G25" s="24">
        <v>0</v>
      </c>
      <c r="H25" s="24">
        <v>904.55402889000004</v>
      </c>
      <c r="I25" s="24">
        <v>678.28884825</v>
      </c>
      <c r="J25" s="24">
        <v>226.26518063999998</v>
      </c>
      <c r="K25" s="24">
        <v>91.111124140000001</v>
      </c>
      <c r="L25" s="24">
        <v>42.880357170000003</v>
      </c>
      <c r="M25" s="24">
        <v>0</v>
      </c>
      <c r="N25" s="24">
        <f t="shared" si="2"/>
        <v>398.05386024000006</v>
      </c>
      <c r="O25" s="24">
        <f t="shared" si="0"/>
        <v>305.78016091000001</v>
      </c>
      <c r="P25" s="24">
        <f t="shared" si="0"/>
        <v>92.273699329999971</v>
      </c>
      <c r="Q25" s="24">
        <f t="shared" si="3"/>
        <v>78.589087403653338</v>
      </c>
      <c r="R25" s="24">
        <f t="shared" si="1"/>
        <v>82.086719398011013</v>
      </c>
      <c r="S25" s="26">
        <f t="shared" si="1"/>
        <v>68.865347578714648</v>
      </c>
    </row>
    <row r="26" spans="1:19" s="120" customFormat="1" ht="26.4" x14ac:dyDescent="0.25">
      <c r="A26" s="251" t="s">
        <v>215</v>
      </c>
      <c r="B26" s="117">
        <v>267.98295461999999</v>
      </c>
      <c r="C26" s="117">
        <v>133.99147331</v>
      </c>
      <c r="D26" s="117">
        <v>133.99148131000001</v>
      </c>
      <c r="E26" s="117">
        <f>73921443.19/1000000</f>
        <v>73.921443189999991</v>
      </c>
      <c r="F26" s="117">
        <f>43870408.35/1000000</f>
        <v>43.870408349999998</v>
      </c>
      <c r="G26" s="117">
        <v>0</v>
      </c>
      <c r="H26" s="253">
        <v>390.82167334000002</v>
      </c>
      <c r="I26" s="253">
        <v>164.55649270000001</v>
      </c>
      <c r="J26" s="253">
        <v>226.26518064000001</v>
      </c>
      <c r="K26" s="117">
        <v>91.111124140000001</v>
      </c>
      <c r="L26" s="117">
        <v>42.880357170000003</v>
      </c>
      <c r="M26" s="117">
        <v>0</v>
      </c>
      <c r="N26" s="117">
        <f t="shared" si="2"/>
        <v>122.83871872000003</v>
      </c>
      <c r="O26" s="117">
        <f t="shared" si="2"/>
        <v>30.565019390000003</v>
      </c>
      <c r="P26" s="117">
        <f t="shared" si="2"/>
        <v>92.273699329999999</v>
      </c>
      <c r="Q26" s="117">
        <f t="shared" si="3"/>
        <v>45.838258218395055</v>
      </c>
      <c r="R26" s="117">
        <f t="shared" si="3"/>
        <v>22.811167483236318</v>
      </c>
      <c r="S26" s="119">
        <f t="shared" si="3"/>
        <v>68.865347578714676</v>
      </c>
    </row>
    <row r="27" spans="1:19" s="120" customFormat="1" ht="26.4" x14ac:dyDescent="0.25">
      <c r="A27" s="251" t="s">
        <v>216</v>
      </c>
      <c r="B27" s="117">
        <v>4.7071014199999999</v>
      </c>
      <c r="C27" s="117">
        <v>4.7071014199999999</v>
      </c>
      <c r="D27" s="117"/>
      <c r="E27" s="117"/>
      <c r="F27" s="117"/>
      <c r="G27" s="117"/>
      <c r="H27" s="253">
        <v>61.625368260000002</v>
      </c>
      <c r="I27" s="253">
        <v>61.625368260000002</v>
      </c>
      <c r="J27" s="253"/>
      <c r="K27" s="117"/>
      <c r="L27" s="117"/>
      <c r="M27" s="117"/>
      <c r="N27" s="117">
        <f t="shared" si="2"/>
        <v>56.918266840000001</v>
      </c>
      <c r="O27" s="117">
        <f t="shared" si="2"/>
        <v>56.918266840000001</v>
      </c>
      <c r="P27" s="117">
        <f t="shared" si="2"/>
        <v>0</v>
      </c>
      <c r="Q27" s="287" t="s">
        <v>335</v>
      </c>
      <c r="R27" s="287" t="s">
        <v>335</v>
      </c>
      <c r="S27" s="260" t="s">
        <v>64</v>
      </c>
    </row>
    <row r="28" spans="1:19" s="120" customFormat="1" x14ac:dyDescent="0.25">
      <c r="A28" s="251" t="s">
        <v>217</v>
      </c>
      <c r="B28" s="117">
        <v>233.81011261</v>
      </c>
      <c r="C28" s="117">
        <v>233.81011261</v>
      </c>
      <c r="D28" s="117"/>
      <c r="E28" s="117"/>
      <c r="F28" s="117"/>
      <c r="G28" s="117"/>
      <c r="H28" s="253">
        <v>452.10698729000001</v>
      </c>
      <c r="I28" s="253">
        <v>452.10698729000001</v>
      </c>
      <c r="J28" s="253"/>
      <c r="K28" s="117"/>
      <c r="L28" s="117"/>
      <c r="M28" s="117"/>
      <c r="N28" s="117">
        <f t="shared" si="2"/>
        <v>218.29687468</v>
      </c>
      <c r="O28" s="117">
        <f t="shared" si="2"/>
        <v>218.29687468</v>
      </c>
      <c r="P28" s="117">
        <f t="shared" si="2"/>
        <v>0</v>
      </c>
      <c r="Q28" s="117">
        <f t="shared" si="3"/>
        <v>93.365026962765967</v>
      </c>
      <c r="R28" s="117">
        <f t="shared" si="3"/>
        <v>93.365026962765967</v>
      </c>
      <c r="S28" s="259" t="s">
        <v>64</v>
      </c>
    </row>
    <row r="29" spans="1:19" ht="26.4" x14ac:dyDescent="0.25">
      <c r="A29" s="250" t="s">
        <v>68</v>
      </c>
      <c r="B29" s="24">
        <v>204.46702313</v>
      </c>
      <c r="C29" s="24">
        <v>81.202210109999996</v>
      </c>
      <c r="D29" s="24">
        <v>123.26481302000001</v>
      </c>
      <c r="E29" s="24">
        <v>46.502802810000006</v>
      </c>
      <c r="F29" s="24">
        <v>19.63195726</v>
      </c>
      <c r="G29" s="24">
        <v>31.829931089999999</v>
      </c>
      <c r="H29" s="24">
        <v>250.44520867</v>
      </c>
      <c r="I29" s="24">
        <v>106.34855198000001</v>
      </c>
      <c r="J29" s="24">
        <v>144.09665669</v>
      </c>
      <c r="K29" s="24">
        <v>58.120725200000003</v>
      </c>
      <c r="L29" s="24">
        <v>15.113301570000001</v>
      </c>
      <c r="M29" s="24">
        <v>50.030786249999998</v>
      </c>
      <c r="N29" s="24">
        <f t="shared" si="2"/>
        <v>45.978185539999998</v>
      </c>
      <c r="O29" s="24">
        <f t="shared" si="2"/>
        <v>25.146341870000015</v>
      </c>
      <c r="P29" s="24">
        <f>J29-D29</f>
        <v>20.831843669999998</v>
      </c>
      <c r="Q29" s="24">
        <f t="shared" si="3"/>
        <v>22.486846453849481</v>
      </c>
      <c r="R29" s="24">
        <f t="shared" si="3"/>
        <v>30.967558439524851</v>
      </c>
      <c r="S29" s="26">
        <f t="shared" si="3"/>
        <v>16.900073232269435</v>
      </c>
    </row>
    <row r="30" spans="1:19" s="120" customFormat="1" ht="26.4" x14ac:dyDescent="0.25">
      <c r="A30" s="251" t="s">
        <v>218</v>
      </c>
      <c r="B30" s="117">
        <v>52.74077759</v>
      </c>
      <c r="C30" s="117">
        <v>1.7948189099999998</v>
      </c>
      <c r="D30" s="117">
        <v>50.945958680000004</v>
      </c>
      <c r="E30" s="117">
        <f>28860761.91/1000000</f>
        <v>28.860761910000001</v>
      </c>
      <c r="F30" s="117">
        <f>1884826.92/1000000</f>
        <v>1.8848269199999999</v>
      </c>
      <c r="G30" s="117">
        <f>15967137.6/1000000</f>
        <v>15.967137599999999</v>
      </c>
      <c r="H30" s="253">
        <v>92.714500200000003</v>
      </c>
      <c r="I30" s="253">
        <v>1.9882742</v>
      </c>
      <c r="J30" s="253">
        <v>90.726225999999997</v>
      </c>
      <c r="K30" s="117">
        <v>30.575795660000001</v>
      </c>
      <c r="L30" s="117">
        <v>2.898279</v>
      </c>
      <c r="M30" s="117">
        <v>17.471884020000001</v>
      </c>
      <c r="N30" s="117">
        <f t="shared" si="2"/>
        <v>39.973722610000003</v>
      </c>
      <c r="O30" s="117">
        <f t="shared" si="2"/>
        <v>0.19345529000000017</v>
      </c>
      <c r="P30" s="117">
        <f>J30-D30</f>
        <v>39.780267319999993</v>
      </c>
      <c r="Q30" s="117">
        <f t="shared" si="3"/>
        <v>75.79281997082137</v>
      </c>
      <c r="R30" s="117">
        <f t="shared" si="3"/>
        <v>10.778540883547976</v>
      </c>
      <c r="S30" s="119">
        <f t="shared" si="3"/>
        <v>78.083263816599157</v>
      </c>
    </row>
    <row r="31" spans="1:19" s="120" customFormat="1" ht="26.4" x14ac:dyDescent="0.25">
      <c r="A31" s="251" t="s">
        <v>219</v>
      </c>
      <c r="B31" s="117">
        <v>151.72624554000001</v>
      </c>
      <c r="C31" s="117">
        <v>79.407391200000006</v>
      </c>
      <c r="D31" s="117">
        <v>72.318854340000001</v>
      </c>
      <c r="E31" s="117">
        <f>17642040.9/1000000</f>
        <v>17.642040899999998</v>
      </c>
      <c r="F31" s="117">
        <f>17747130.34/1000000</f>
        <v>17.747130339999998</v>
      </c>
      <c r="G31" s="117">
        <f>15862793.49/1000000</f>
        <v>15.86279349</v>
      </c>
      <c r="H31" s="253">
        <v>157.73070847</v>
      </c>
      <c r="I31" s="253">
        <v>104.36027778</v>
      </c>
      <c r="J31" s="253">
        <v>53.370430689999999</v>
      </c>
      <c r="K31" s="117">
        <v>26.487430839999998</v>
      </c>
      <c r="L31" s="117">
        <v>9.3435754399999986</v>
      </c>
      <c r="M31" s="117">
        <v>13.7852111</v>
      </c>
      <c r="N31" s="117">
        <f t="shared" si="2"/>
        <v>6.0044629299999883</v>
      </c>
      <c r="O31" s="117">
        <f t="shared" si="2"/>
        <v>24.952886579999998</v>
      </c>
      <c r="P31" s="117">
        <f>J31-D31</f>
        <v>-18.948423650000002</v>
      </c>
      <c r="Q31" s="117">
        <f t="shared" si="3"/>
        <v>3.9574319582151816</v>
      </c>
      <c r="R31" s="117">
        <f t="shared" si="3"/>
        <v>31.423884103121111</v>
      </c>
      <c r="S31" s="119">
        <f t="shared" si="3"/>
        <v>-26.201222105809151</v>
      </c>
    </row>
    <row r="32" spans="1:19" x14ac:dyDescent="0.25">
      <c r="A32" s="250" t="s">
        <v>69</v>
      </c>
      <c r="B32" s="24">
        <v>937.08164148000003</v>
      </c>
      <c r="C32" s="24">
        <v>5.8600778199999999</v>
      </c>
      <c r="D32" s="24">
        <v>931.22156366000002</v>
      </c>
      <c r="E32" s="24">
        <v>682.23495300000002</v>
      </c>
      <c r="F32" s="24">
        <v>78.100656950000001</v>
      </c>
      <c r="G32" s="24">
        <v>99.355177099999992</v>
      </c>
      <c r="H32" s="24">
        <v>688.73214890999998</v>
      </c>
      <c r="I32" s="24">
        <v>1.4998247199999999</v>
      </c>
      <c r="J32" s="24">
        <v>687.23232418999999</v>
      </c>
      <c r="K32" s="24">
        <v>745.93770970000003</v>
      </c>
      <c r="L32" s="24">
        <v>117.74537706</v>
      </c>
      <c r="M32" s="24">
        <v>67.538476900000006</v>
      </c>
      <c r="N32" s="24">
        <f t="shared" si="2"/>
        <v>-248.34949257000005</v>
      </c>
      <c r="O32" s="24">
        <f t="shared" si="2"/>
        <v>-4.3602530999999995</v>
      </c>
      <c r="P32" s="24">
        <f t="shared" si="2"/>
        <v>-243.98923947000003</v>
      </c>
      <c r="Q32" s="24">
        <f t="shared" si="3"/>
        <v>-26.502439230136233</v>
      </c>
      <c r="R32" s="24">
        <f t="shared" si="3"/>
        <v>-74.406061385717237</v>
      </c>
      <c r="S32" s="26">
        <f t="shared" si="3"/>
        <v>-26.20098685333744</v>
      </c>
    </row>
    <row r="33" spans="1:19" x14ac:dyDescent="0.25">
      <c r="A33" s="250" t="s">
        <v>34</v>
      </c>
      <c r="B33" s="24">
        <v>0.98768555000000002</v>
      </c>
      <c r="C33" s="24">
        <v>0.87895714000000003</v>
      </c>
      <c r="D33" s="24">
        <v>0.10872841</v>
      </c>
      <c r="E33" s="24">
        <v>0</v>
      </c>
      <c r="F33" s="24">
        <v>0</v>
      </c>
      <c r="G33" s="24">
        <v>8.5228210000000013E-2</v>
      </c>
      <c r="H33" s="24">
        <v>0.89298106999999993</v>
      </c>
      <c r="I33" s="24">
        <v>0.82075380000000009</v>
      </c>
      <c r="J33" s="24">
        <v>7.222727000000001E-2</v>
      </c>
      <c r="K33" s="24">
        <v>0</v>
      </c>
      <c r="L33" s="24">
        <v>0</v>
      </c>
      <c r="M33" s="24">
        <v>0.10872841</v>
      </c>
      <c r="N33" s="24">
        <f t="shared" si="2"/>
        <v>-9.4704480000000091E-2</v>
      </c>
      <c r="O33" s="24">
        <f t="shared" si="2"/>
        <v>-5.8203339999999937E-2</v>
      </c>
      <c r="P33" s="24">
        <f t="shared" si="2"/>
        <v>-3.6501139999999987E-2</v>
      </c>
      <c r="Q33" s="24">
        <f t="shared" si="3"/>
        <v>-9.5885254168191523</v>
      </c>
      <c r="R33" s="24">
        <f t="shared" si="3"/>
        <v>-6.6218632685548044</v>
      </c>
      <c r="S33" s="26">
        <f t="shared" si="3"/>
        <v>-33.57093146124366</v>
      </c>
    </row>
    <row r="34" spans="1:19" x14ac:dyDescent="0.25">
      <c r="A34" s="250" t="s">
        <v>70</v>
      </c>
      <c r="B34" s="24">
        <v>674.72526650999998</v>
      </c>
      <c r="C34" s="24">
        <v>493.64400531000001</v>
      </c>
      <c r="D34" s="24">
        <v>181.0812612</v>
      </c>
      <c r="E34" s="24">
        <v>144.5701402</v>
      </c>
      <c r="F34" s="24">
        <v>39.007024749999999</v>
      </c>
      <c r="G34" s="24">
        <v>4.0948912000000002</v>
      </c>
      <c r="H34" s="24">
        <v>564.45424462000005</v>
      </c>
      <c r="I34" s="24">
        <v>376.01253010000005</v>
      </c>
      <c r="J34" s="24">
        <v>188.44171452</v>
      </c>
      <c r="K34" s="24">
        <v>133.05738516</v>
      </c>
      <c r="L34" s="24">
        <v>39.297494590000007</v>
      </c>
      <c r="M34" s="24">
        <v>8.7263814499999999</v>
      </c>
      <c r="N34" s="24">
        <f t="shared" si="2"/>
        <v>-110.27102188999993</v>
      </c>
      <c r="O34" s="24">
        <f t="shared" si="2"/>
        <v>-117.63147520999996</v>
      </c>
      <c r="P34" s="24">
        <f t="shared" si="2"/>
        <v>7.3604533200000049</v>
      </c>
      <c r="Q34" s="24">
        <f t="shared" si="3"/>
        <v>-16.343099534477801</v>
      </c>
      <c r="R34" s="24">
        <f t="shared" si="3"/>
        <v>-23.829211728425506</v>
      </c>
      <c r="S34" s="26">
        <f t="shared" si="3"/>
        <v>4.0647239097095422</v>
      </c>
    </row>
    <row r="35" spans="1:19" x14ac:dyDescent="0.25">
      <c r="A35" s="250" t="s">
        <v>35</v>
      </c>
      <c r="B35" s="24">
        <v>15.560524710000001</v>
      </c>
      <c r="C35" s="24">
        <v>0.17476568000000001</v>
      </c>
      <c r="D35" s="46">
        <v>15.385759030000001</v>
      </c>
      <c r="E35" s="24">
        <v>35.94169093</v>
      </c>
      <c r="F35" s="24">
        <v>0.35884221999999999</v>
      </c>
      <c r="G35" s="24">
        <v>6.0729671200000004</v>
      </c>
      <c r="H35" s="24">
        <v>24.286863839999999</v>
      </c>
      <c r="I35" s="24">
        <v>-0.73450848999999996</v>
      </c>
      <c r="J35" s="46">
        <v>25.021372329999998</v>
      </c>
      <c r="K35" s="24">
        <v>9.1900785500000008</v>
      </c>
      <c r="L35" s="24">
        <v>5.9170970000000003E-2</v>
      </c>
      <c r="M35" s="24">
        <v>6.1365095099999998</v>
      </c>
      <c r="N35" s="24">
        <f t="shared" si="2"/>
        <v>8.7263391299999977</v>
      </c>
      <c r="O35" s="24">
        <f t="shared" si="2"/>
        <v>-0.90927416999999999</v>
      </c>
      <c r="P35" s="24">
        <f t="shared" si="2"/>
        <v>9.6356132999999975</v>
      </c>
      <c r="Q35" s="30">
        <f t="shared" si="3"/>
        <v>56.079979901911656</v>
      </c>
      <c r="R35" s="30">
        <f t="shared" si="3"/>
        <v>-520.28188257557201</v>
      </c>
      <c r="S35" s="31">
        <f t="shared" si="3"/>
        <v>62.62683096239806</v>
      </c>
    </row>
    <row r="36" spans="1:19" s="252" customFormat="1" ht="26.4" x14ac:dyDescent="0.25">
      <c r="A36" s="250" t="s">
        <v>72</v>
      </c>
      <c r="B36" s="24">
        <v>0</v>
      </c>
      <c r="C36" s="24">
        <v>0</v>
      </c>
      <c r="D36" s="24">
        <v>0</v>
      </c>
      <c r="E36" s="24">
        <v>-0.118071</v>
      </c>
      <c r="F36" s="24">
        <v>0</v>
      </c>
      <c r="G36" s="24">
        <v>0</v>
      </c>
      <c r="H36" s="24">
        <v>0</v>
      </c>
      <c r="I36" s="24">
        <v>0</v>
      </c>
      <c r="J36" s="24">
        <v>-0.36887105999999997</v>
      </c>
      <c r="K36" s="24"/>
      <c r="L36" s="24"/>
      <c r="M36" s="24"/>
      <c r="N36" s="24">
        <f>H36-B36</f>
        <v>0</v>
      </c>
      <c r="O36" s="24">
        <f t="shared" si="2"/>
        <v>0</v>
      </c>
      <c r="P36" s="24">
        <f t="shared" si="2"/>
        <v>-0.36887105999999997</v>
      </c>
      <c r="Q36" s="47" t="s">
        <v>64</v>
      </c>
      <c r="R36" s="47" t="s">
        <v>64</v>
      </c>
      <c r="S36" s="42" t="s">
        <v>64</v>
      </c>
    </row>
    <row r="37" spans="1:19" s="33" customFormat="1" x14ac:dyDescent="0.25">
      <c r="A37" s="27" t="s">
        <v>73</v>
      </c>
      <c r="B37" s="30">
        <v>19120.787887849998</v>
      </c>
      <c r="C37" s="30">
        <v>19215.443895</v>
      </c>
      <c r="D37" s="30">
        <v>21333.560346980001</v>
      </c>
      <c r="E37" s="30">
        <v>10073.36121983</v>
      </c>
      <c r="F37" s="30">
        <v>12069.43583248</v>
      </c>
      <c r="G37" s="30">
        <v>2324.4502068500001</v>
      </c>
      <c r="H37" s="30">
        <v>17783.922782900001</v>
      </c>
      <c r="I37" s="30">
        <v>18637.089179169998</v>
      </c>
      <c r="J37" s="30">
        <v>19647.883838829999</v>
      </c>
      <c r="K37" s="30">
        <v>8506.432424229999</v>
      </c>
      <c r="L37" s="30">
        <v>12966.188553549999</v>
      </c>
      <c r="M37" s="30">
        <v>2981.7611813899998</v>
      </c>
      <c r="N37" s="30">
        <f t="shared" si="2"/>
        <v>-1336.8651049499967</v>
      </c>
      <c r="O37" s="30">
        <f t="shared" si="2"/>
        <v>-578.35471583000253</v>
      </c>
      <c r="P37" s="30">
        <f t="shared" si="2"/>
        <v>-1685.6765081500016</v>
      </c>
      <c r="Q37" s="30">
        <f t="shared" si="3"/>
        <v>-6.9916841962327538</v>
      </c>
      <c r="R37" s="30">
        <f t="shared" si="3"/>
        <v>-3.0098431188492896</v>
      </c>
      <c r="S37" s="31">
        <f t="shared" si="3"/>
        <v>-7.9015245497389657</v>
      </c>
    </row>
    <row r="38" spans="1:19" x14ac:dyDescent="0.25">
      <c r="A38" s="34" t="s">
        <v>75</v>
      </c>
      <c r="B38" s="24">
        <v>17827.21522419</v>
      </c>
      <c r="C38" s="24">
        <v>17827.21522419</v>
      </c>
      <c r="D38" s="24">
        <v>21428.21635413</v>
      </c>
      <c r="E38" s="24">
        <v>10102.06072485</v>
      </c>
      <c r="F38" s="24">
        <v>11961.25780856</v>
      </c>
      <c r="G38" s="24">
        <v>2364.8560340900003</v>
      </c>
      <c r="H38" s="24">
        <v>15423.71271308</v>
      </c>
      <c r="I38" s="24">
        <v>15423.71271308</v>
      </c>
      <c r="J38" s="24">
        <v>20500.68136404</v>
      </c>
      <c r="K38" s="24">
        <v>8687.6106230400001</v>
      </c>
      <c r="L38" s="24">
        <v>12848.836455930001</v>
      </c>
      <c r="M38" s="24">
        <v>3012.5910873499997</v>
      </c>
      <c r="N38" s="24">
        <f t="shared" si="2"/>
        <v>-2403.5025111100003</v>
      </c>
      <c r="O38" s="24">
        <f t="shared" si="2"/>
        <v>-2403.5025111100003</v>
      </c>
      <c r="P38" s="24">
        <f>J38-D38</f>
        <v>-927.53499009000006</v>
      </c>
      <c r="Q38" s="24">
        <f t="shared" si="3"/>
        <v>-13.482209536847094</v>
      </c>
      <c r="R38" s="24">
        <f t="shared" si="3"/>
        <v>-13.482209536847094</v>
      </c>
      <c r="S38" s="26">
        <f t="shared" si="3"/>
        <v>-4.328568345406083</v>
      </c>
    </row>
    <row r="39" spans="1:19" ht="26.4" x14ac:dyDescent="0.25">
      <c r="A39" s="34" t="s">
        <v>76</v>
      </c>
      <c r="B39" s="24">
        <v>1268.19254396</v>
      </c>
      <c r="C39" s="24">
        <v>1266.44218396</v>
      </c>
      <c r="D39" s="24">
        <v>1.7503599999999999</v>
      </c>
      <c r="E39" s="24">
        <v>3.4125000000000003E-2</v>
      </c>
      <c r="F39" s="24">
        <v>0.11</v>
      </c>
      <c r="G39" s="24">
        <v>6.1622639999999999E-2</v>
      </c>
      <c r="H39" s="24">
        <v>2323.9065259200001</v>
      </c>
      <c r="I39" s="24">
        <v>2323.8958959199999</v>
      </c>
      <c r="J39" s="24">
        <v>1.0630000000000001E-2</v>
      </c>
      <c r="K39" s="24">
        <v>1.67136</v>
      </c>
      <c r="L39" s="24">
        <v>0</v>
      </c>
      <c r="M39" s="24">
        <v>7.9000000000000001E-2</v>
      </c>
      <c r="N39" s="24">
        <f t="shared" si="2"/>
        <v>1055.7139819600002</v>
      </c>
      <c r="O39" s="24">
        <f t="shared" si="2"/>
        <v>1057.45371196</v>
      </c>
      <c r="P39" s="24">
        <f t="shared" si="2"/>
        <v>-1.73973</v>
      </c>
      <c r="Q39" s="24">
        <f t="shared" si="3"/>
        <v>83.245559752581102</v>
      </c>
      <c r="R39" s="24">
        <f t="shared" si="3"/>
        <v>83.497985565632376</v>
      </c>
      <c r="S39" s="31">
        <f t="shared" si="3"/>
        <v>-99.39269635960602</v>
      </c>
    </row>
    <row r="40" spans="1:19" s="74" customFormat="1" ht="26.4" x14ac:dyDescent="0.25">
      <c r="A40" s="34" t="s">
        <v>77</v>
      </c>
      <c r="B40" s="25">
        <v>106.70734899999999</v>
      </c>
      <c r="C40" s="25">
        <v>0</v>
      </c>
      <c r="D40" s="25">
        <v>106.70734899999999</v>
      </c>
      <c r="E40" s="25">
        <v>0</v>
      </c>
      <c r="F40" s="25">
        <v>136.09</v>
      </c>
      <c r="G40" s="25">
        <v>0.01</v>
      </c>
      <c r="H40" s="25">
        <v>1.9655487</v>
      </c>
      <c r="I40" s="25">
        <v>0.16</v>
      </c>
      <c r="J40" s="25">
        <v>1.8055486999999999</v>
      </c>
      <c r="K40" s="25">
        <v>0</v>
      </c>
      <c r="L40" s="25">
        <v>106.58834899999999</v>
      </c>
      <c r="M40" s="25">
        <v>0.11899999999999999</v>
      </c>
      <c r="N40" s="24">
        <f t="shared" si="2"/>
        <v>-104.74180029999999</v>
      </c>
      <c r="O40" s="24">
        <f t="shared" si="2"/>
        <v>0.16</v>
      </c>
      <c r="P40" s="24">
        <f t="shared" si="2"/>
        <v>-104.90180029999999</v>
      </c>
      <c r="Q40" s="24">
        <f t="shared" si="3"/>
        <v>-98.158000626554781</v>
      </c>
      <c r="R40" s="47" t="s">
        <v>64</v>
      </c>
      <c r="S40" s="31">
        <f t="shared" si="3"/>
        <v>-98.307943438834755</v>
      </c>
    </row>
    <row r="41" spans="1:19" x14ac:dyDescent="0.25">
      <c r="A41" s="34" t="s">
        <v>78</v>
      </c>
      <c r="B41" s="24">
        <v>33.13267622</v>
      </c>
      <c r="C41" s="24">
        <v>11.1</v>
      </c>
      <c r="D41" s="24">
        <v>22.032676219999999</v>
      </c>
      <c r="E41" s="24">
        <v>12.2987249</v>
      </c>
      <c r="F41" s="24">
        <v>7.7449002999999994</v>
      </c>
      <c r="G41" s="24">
        <v>3.7980163899999999</v>
      </c>
      <c r="H41" s="24">
        <v>84.427815609999996</v>
      </c>
      <c r="I41" s="24">
        <v>40.862363000000002</v>
      </c>
      <c r="J41" s="24">
        <v>43.565452610000001</v>
      </c>
      <c r="K41" s="24">
        <v>4.9307575999999997</v>
      </c>
      <c r="L41" s="24">
        <v>8.9747444999999999</v>
      </c>
      <c r="M41" s="24">
        <v>8.1271741199999994</v>
      </c>
      <c r="N41" s="24">
        <f t="shared" si="2"/>
        <v>51.295139389999996</v>
      </c>
      <c r="O41" s="24">
        <f t="shared" si="2"/>
        <v>29.762363000000001</v>
      </c>
      <c r="P41" s="24">
        <f t="shared" si="2"/>
        <v>21.532776390000002</v>
      </c>
      <c r="Q41" s="24">
        <f t="shared" si="3"/>
        <v>154.81737439318746</v>
      </c>
      <c r="R41" s="24">
        <f t="shared" si="3"/>
        <v>268.12939639639643</v>
      </c>
      <c r="S41" s="26">
        <f t="shared" si="3"/>
        <v>97.731098006395541</v>
      </c>
    </row>
    <row r="42" spans="1:19" ht="26.4" x14ac:dyDescent="0.25">
      <c r="A42" s="34" t="s">
        <v>222</v>
      </c>
      <c r="B42" s="24">
        <v>290.58369539</v>
      </c>
      <c r="C42" s="24">
        <v>515.73008775999995</v>
      </c>
      <c r="D42" s="24">
        <v>25.601915780000002</v>
      </c>
      <c r="E42" s="24">
        <v>0.19794851000000002</v>
      </c>
      <c r="F42" s="24">
        <v>52.904470140000001</v>
      </c>
      <c r="G42" s="24">
        <v>7.84017593</v>
      </c>
      <c r="H42" s="24">
        <v>67.027637280000008</v>
      </c>
      <c r="I42" s="24">
        <v>965.57566485999996</v>
      </c>
      <c r="J42" s="24">
        <v>28.584508669999956</v>
      </c>
      <c r="K42" s="24">
        <v>9.4423191400000004</v>
      </c>
      <c r="L42" s="24">
        <v>55.314676720000001</v>
      </c>
      <c r="M42" s="24">
        <v>14.08613109</v>
      </c>
      <c r="N42" s="24">
        <f t="shared" si="2"/>
        <v>-223.55605810999998</v>
      </c>
      <c r="O42" s="24">
        <f t="shared" si="2"/>
        <v>449.84557710000001</v>
      </c>
      <c r="P42" s="24">
        <f t="shared" si="2"/>
        <v>2.9825928899999532</v>
      </c>
      <c r="Q42" s="30">
        <f t="shared" si="3"/>
        <v>-76.9334486609648</v>
      </c>
      <c r="R42" s="30">
        <f t="shared" si="3"/>
        <v>87.225001561153846</v>
      </c>
      <c r="S42" s="31">
        <f t="shared" si="3"/>
        <v>11.649881655848318</v>
      </c>
    </row>
    <row r="43" spans="1:19" x14ac:dyDescent="0.25">
      <c r="A43" s="34" t="s">
        <v>80</v>
      </c>
      <c r="B43" s="24">
        <v>-405.04360091000001</v>
      </c>
      <c r="C43" s="24">
        <v>-405.04360091000001</v>
      </c>
      <c r="D43" s="24">
        <v>-250.74830815000001</v>
      </c>
      <c r="E43" s="24">
        <v>-41.230303429999999</v>
      </c>
      <c r="F43" s="24">
        <v>-88.67134652</v>
      </c>
      <c r="G43" s="24">
        <v>-52.115642200000003</v>
      </c>
      <c r="H43" s="24">
        <v>-117.11745768999999</v>
      </c>
      <c r="I43" s="24">
        <v>-117.11745768999999</v>
      </c>
      <c r="J43" s="24">
        <v>-926.7636651900001</v>
      </c>
      <c r="K43" s="24">
        <v>-197.22263555000001</v>
      </c>
      <c r="L43" s="24">
        <v>-53.5256726</v>
      </c>
      <c r="M43" s="24">
        <v>-53.24121117</v>
      </c>
      <c r="N43" s="24">
        <f t="shared" si="2"/>
        <v>287.92614322000003</v>
      </c>
      <c r="O43" s="24">
        <f t="shared" si="2"/>
        <v>287.92614322000003</v>
      </c>
      <c r="P43" s="24">
        <f t="shared" si="2"/>
        <v>-676.01535704000003</v>
      </c>
      <c r="Q43" s="24">
        <f t="shared" si="3"/>
        <v>-71.085222078098383</v>
      </c>
      <c r="R43" s="24">
        <f t="shared" si="3"/>
        <v>-71.085222078098383</v>
      </c>
      <c r="S43" s="26">
        <f t="shared" si="3"/>
        <v>269.59916979204553</v>
      </c>
    </row>
    <row r="44" spans="1:19" s="33" customFormat="1" x14ac:dyDescent="0.25">
      <c r="A44" s="269" t="s">
        <v>334</v>
      </c>
      <c r="B44" s="257">
        <v>78414.300968869997</v>
      </c>
      <c r="C44" s="257">
        <v>65577.561614609993</v>
      </c>
      <c r="D44" s="257">
        <v>34265.66717506</v>
      </c>
      <c r="E44" s="257">
        <v>19308.926125870003</v>
      </c>
      <c r="F44" s="257">
        <v>14131.475321149999</v>
      </c>
      <c r="G44" s="257">
        <v>3600.9351091399999</v>
      </c>
      <c r="H44" s="257">
        <v>76277.86775813</v>
      </c>
      <c r="I44" s="257">
        <v>64037.15183272001</v>
      </c>
      <c r="J44" s="257">
        <v>32742.10875612</v>
      </c>
      <c r="K44" s="257">
        <v>18047.763029440004</v>
      </c>
      <c r="L44" s="257">
        <v>15144.476821979999</v>
      </c>
      <c r="M44" s="257">
        <v>4194.2491358300003</v>
      </c>
      <c r="N44" s="257">
        <f t="shared" si="2"/>
        <v>-2136.4332107399969</v>
      </c>
      <c r="O44" s="257">
        <f t="shared" si="2"/>
        <v>-1540.4097818899827</v>
      </c>
      <c r="P44" s="257">
        <f t="shared" si="2"/>
        <v>-1523.5584189399997</v>
      </c>
      <c r="Q44" s="257">
        <f t="shared" si="3"/>
        <v>-2.724545375451541</v>
      </c>
      <c r="R44" s="257">
        <f t="shared" si="3"/>
        <v>-2.348989111462771</v>
      </c>
      <c r="S44" s="258">
        <f t="shared" si="3"/>
        <v>-4.4463118466548082</v>
      </c>
    </row>
    <row r="45" spans="1:19" s="33" customFormat="1" x14ac:dyDescent="0.25">
      <c r="A45" s="269" t="s">
        <v>332</v>
      </c>
      <c r="B45" s="257">
        <f>+B11+B12+B13+B14+B15+B20+B22+B23</f>
        <v>55649.794157780001</v>
      </c>
      <c r="C45" s="257">
        <f t="shared" ref="C45:J45" si="4">+C11+C12+C13+C14+C15+C20+C22+C23</f>
        <v>45360.031460839986</v>
      </c>
      <c r="D45" s="257">
        <f t="shared" si="4"/>
        <v>10289.762696940001</v>
      </c>
      <c r="E45" s="257">
        <f t="shared" si="4"/>
        <v>7323.1995324399995</v>
      </c>
      <c r="F45" s="257">
        <f t="shared" si="4"/>
        <v>1729.34883401</v>
      </c>
      <c r="G45" s="257">
        <f t="shared" si="4"/>
        <v>934.91428415000019</v>
      </c>
      <c r="H45" s="257">
        <f t="shared" si="4"/>
        <v>54848.438458200006</v>
      </c>
      <c r="I45" s="257">
        <f t="shared" si="4"/>
        <v>44192.002283530011</v>
      </c>
      <c r="J45" s="257">
        <f t="shared" si="4"/>
        <v>10656.43617467</v>
      </c>
      <c r="K45" s="257"/>
      <c r="L45" s="257"/>
      <c r="M45" s="257"/>
      <c r="N45" s="257">
        <f t="shared" ref="N45:N46" si="5">H45-B45</f>
        <v>-801.35569957999542</v>
      </c>
      <c r="O45" s="257">
        <f t="shared" ref="O45:O46" si="6">I45-C45</f>
        <v>-1168.0291773099743</v>
      </c>
      <c r="P45" s="257">
        <f t="shared" ref="P45:P46" si="7">J45-D45</f>
        <v>366.67347772999892</v>
      </c>
      <c r="Q45" s="257">
        <f t="shared" ref="Q45" si="8">H45/B45%-100</f>
        <v>-1.4399975987475671</v>
      </c>
      <c r="R45" s="257">
        <f t="shared" ref="R45:R46" si="9">I45/C45%-100</f>
        <v>-2.5750184461806498</v>
      </c>
      <c r="S45" s="258">
        <f t="shared" ref="S45" si="10">J45/D45%-100</f>
        <v>3.5634784642705313</v>
      </c>
    </row>
    <row r="46" spans="1:19" s="33" customFormat="1" x14ac:dyDescent="0.25">
      <c r="A46" s="269" t="s">
        <v>333</v>
      </c>
      <c r="B46" s="257">
        <f>+B24+B25+B29+B32+B33+B34+B35+B36</f>
        <v>3643.7189232400001</v>
      </c>
      <c r="C46" s="257">
        <f t="shared" ref="C46:J46" si="11">+C24+C25+C29+C32+C33+C34+C35+C36</f>
        <v>1002.08625877</v>
      </c>
      <c r="D46" s="257">
        <f t="shared" si="11"/>
        <v>2642.3441311399997</v>
      </c>
      <c r="E46" s="257">
        <f t="shared" si="11"/>
        <v>1912.3653736000001</v>
      </c>
      <c r="F46" s="257">
        <f t="shared" si="11"/>
        <v>332.69065466000001</v>
      </c>
      <c r="G46" s="257">
        <f t="shared" si="11"/>
        <v>341.57061813999997</v>
      </c>
      <c r="H46" s="257">
        <f>+H24+H25+H29+H32+H33+H34+H35+H36</f>
        <v>3645.5065170299999</v>
      </c>
      <c r="I46" s="257">
        <f t="shared" si="11"/>
        <v>1208.0603700200002</v>
      </c>
      <c r="J46" s="257">
        <f t="shared" si="11"/>
        <v>2437.7887426199995</v>
      </c>
      <c r="K46" s="257"/>
      <c r="L46" s="257"/>
      <c r="M46" s="257"/>
      <c r="N46" s="257">
        <f t="shared" si="5"/>
        <v>1.7875937899998462</v>
      </c>
      <c r="O46" s="257">
        <f t="shared" si="6"/>
        <v>205.97411125000019</v>
      </c>
      <c r="P46" s="257">
        <f t="shared" si="7"/>
        <v>-204.55538852000018</v>
      </c>
      <c r="Q46" s="257">
        <f>H46/B46%-100</f>
        <v>4.9059596188897103E-2</v>
      </c>
      <c r="R46" s="257">
        <f t="shared" si="9"/>
        <v>20.554529058488527</v>
      </c>
      <c r="S46" s="258">
        <f>J46/D46%-100</f>
        <v>-7.7414363295574162</v>
      </c>
    </row>
    <row r="47" spans="1:19" s="5" customFormat="1" x14ac:dyDescent="0.25">
      <c r="A47" s="263" t="s">
        <v>86</v>
      </c>
      <c r="B47" s="248"/>
      <c r="C47" s="248"/>
      <c r="D47" s="60"/>
      <c r="E47" s="248"/>
      <c r="F47" s="248"/>
      <c r="G47" s="248"/>
      <c r="H47" s="248"/>
      <c r="I47" s="248"/>
      <c r="J47" s="60"/>
      <c r="K47" s="248"/>
      <c r="L47" s="248"/>
      <c r="M47" s="248"/>
      <c r="N47" s="248"/>
      <c r="O47" s="248"/>
      <c r="P47" s="248"/>
      <c r="Q47" s="248"/>
      <c r="R47" s="248"/>
      <c r="S47" s="249"/>
    </row>
    <row r="48" spans="1:19" x14ac:dyDescent="0.25">
      <c r="A48" s="101" t="s">
        <v>241</v>
      </c>
      <c r="B48" s="30">
        <f>SUM(B49:B57)</f>
        <v>5528.8815600400003</v>
      </c>
      <c r="C48" s="30">
        <f t="shared" ref="C48:J48" si="12">SUM(C49:C57)</f>
        <v>2341.7322611999998</v>
      </c>
      <c r="D48" s="30">
        <f t="shared" si="12"/>
        <v>3274.9825609400004</v>
      </c>
      <c r="E48" s="30">
        <f t="shared" si="12"/>
        <v>0</v>
      </c>
      <c r="F48" s="30">
        <f t="shared" si="12"/>
        <v>0</v>
      </c>
      <c r="G48" s="30">
        <f t="shared" si="12"/>
        <v>0</v>
      </c>
      <c r="H48" s="30">
        <f>SUM(H49:H57)</f>
        <v>5228.87358004</v>
      </c>
      <c r="I48" s="30">
        <f t="shared" si="12"/>
        <v>2137.2476881600001</v>
      </c>
      <c r="J48" s="30">
        <f t="shared" si="12"/>
        <v>3193.1111279100001</v>
      </c>
      <c r="K48" s="30"/>
      <c r="L48" s="30"/>
      <c r="M48" s="30"/>
      <c r="N48" s="30">
        <f t="shared" ref="N48" si="13">H48-B48</f>
        <v>-300.00798000000032</v>
      </c>
      <c r="O48" s="30">
        <f t="shared" ref="O48" si="14">I48-C48</f>
        <v>-204.48457303999976</v>
      </c>
      <c r="P48" s="30">
        <f t="shared" ref="P48" si="15">J48-D48</f>
        <v>-81.871433030000389</v>
      </c>
      <c r="Q48" s="30">
        <f t="shared" ref="Q48" si="16">H48/B48%-100</f>
        <v>-5.4261965415990829</v>
      </c>
      <c r="R48" s="30">
        <f t="shared" ref="R48" si="17">I48/C48%-100</f>
        <v>-8.7321926775358065</v>
      </c>
      <c r="S48" s="31">
        <f t="shared" ref="S48" si="18">J48/D48%-100</f>
        <v>-2.4999043966359693</v>
      </c>
    </row>
    <row r="49" spans="1:19" ht="24.75" customHeight="1" x14ac:dyDescent="0.25">
      <c r="A49" s="270" t="s">
        <v>242</v>
      </c>
      <c r="B49" s="24">
        <v>164.80812075</v>
      </c>
      <c r="C49" s="24">
        <v>6.0876290300000004</v>
      </c>
      <c r="D49" s="24">
        <v>158.72049172000001</v>
      </c>
      <c r="E49" s="24"/>
      <c r="F49" s="24"/>
      <c r="G49" s="24"/>
      <c r="H49" s="24">
        <v>159.22894418999999</v>
      </c>
      <c r="I49" s="24">
        <v>4.3103015500000001</v>
      </c>
      <c r="J49" s="24">
        <v>154.91864264</v>
      </c>
      <c r="K49" s="24"/>
      <c r="L49" s="24"/>
      <c r="M49" s="24"/>
      <c r="N49" s="24">
        <f t="shared" ref="N49:N113" si="19">H49-B49</f>
        <v>-5.5791765600000076</v>
      </c>
      <c r="O49" s="24">
        <f t="shared" ref="O49:O113" si="20">I49-C49</f>
        <v>-1.7773274800000003</v>
      </c>
      <c r="P49" s="24">
        <f t="shared" ref="P49:P113" si="21">J49-D49</f>
        <v>-3.8018490800000109</v>
      </c>
      <c r="Q49" s="24">
        <f t="shared" ref="Q49:Q113" si="22">H49/B49%-100</f>
        <v>-3.3852558566960056</v>
      </c>
      <c r="R49" s="24">
        <f t="shared" ref="R49:R112" si="23">I49/C49%-100</f>
        <v>-29.195725811170206</v>
      </c>
      <c r="S49" s="26">
        <f t="shared" ref="S49:S113" si="24">J49/D49%-100</f>
        <v>-2.3953108000111882</v>
      </c>
    </row>
    <row r="50" spans="1:19" ht="52.8" x14ac:dyDescent="0.25">
      <c r="A50" s="270" t="s">
        <v>243</v>
      </c>
      <c r="B50" s="24">
        <v>362.30724597000005</v>
      </c>
      <c r="C50" s="24">
        <v>214.85313650000001</v>
      </c>
      <c r="D50" s="24">
        <v>147.78021208999999</v>
      </c>
      <c r="E50" s="24"/>
      <c r="F50" s="24"/>
      <c r="G50" s="24"/>
      <c r="H50" s="24">
        <v>344.01392131</v>
      </c>
      <c r="I50" s="24">
        <v>193.29714841000001</v>
      </c>
      <c r="J50" s="24">
        <v>151.00592936999999</v>
      </c>
      <c r="K50" s="24"/>
      <c r="L50" s="24"/>
      <c r="M50" s="24"/>
      <c r="N50" s="24">
        <f t="shared" si="19"/>
        <v>-18.293324660000053</v>
      </c>
      <c r="O50" s="24">
        <f t="shared" si="20"/>
        <v>-21.55598809</v>
      </c>
      <c r="P50" s="24">
        <f t="shared" si="21"/>
        <v>3.2257172799999978</v>
      </c>
      <c r="Q50" s="24">
        <f t="shared" si="22"/>
        <v>-5.0491191836430431</v>
      </c>
      <c r="R50" s="24">
        <f t="shared" si="23"/>
        <v>-10.032894302196979</v>
      </c>
      <c r="S50" s="26">
        <f t="shared" si="24"/>
        <v>2.1827802480317899</v>
      </c>
    </row>
    <row r="51" spans="1:19" ht="37.5" customHeight="1" x14ac:dyDescent="0.25">
      <c r="A51" s="270" t="s">
        <v>244</v>
      </c>
      <c r="B51" s="24">
        <v>1938.0531394300001</v>
      </c>
      <c r="C51" s="24">
        <v>272.21646456999997</v>
      </c>
      <c r="D51" s="24">
        <v>1731.98336956</v>
      </c>
      <c r="E51" s="24"/>
      <c r="F51" s="24"/>
      <c r="G51" s="24"/>
      <c r="H51" s="24">
        <v>1877.95608627</v>
      </c>
      <c r="I51" s="24">
        <v>307.91060548000002</v>
      </c>
      <c r="J51" s="24">
        <v>1635.2725450600001</v>
      </c>
      <c r="K51" s="24"/>
      <c r="L51" s="24"/>
      <c r="M51" s="24"/>
      <c r="N51" s="24">
        <f t="shared" si="19"/>
        <v>-60.097053160000087</v>
      </c>
      <c r="O51" s="24">
        <f t="shared" si="20"/>
        <v>35.694140910000044</v>
      </c>
      <c r="P51" s="24">
        <f t="shared" si="21"/>
        <v>-96.710824499999944</v>
      </c>
      <c r="Q51" s="24">
        <f t="shared" si="22"/>
        <v>-3.1008981094127819</v>
      </c>
      <c r="R51" s="24">
        <f t="shared" si="23"/>
        <v>13.112410730329429</v>
      </c>
      <c r="S51" s="26">
        <f t="shared" si="24"/>
        <v>-5.5838194638421186</v>
      </c>
    </row>
    <row r="52" spans="1:19" x14ac:dyDescent="0.25">
      <c r="A52" s="270" t="s">
        <v>245</v>
      </c>
      <c r="B52" s="24">
        <v>285.65317893000002</v>
      </c>
      <c r="C52" s="24">
        <v>285.69947948999999</v>
      </c>
      <c r="D52" s="24">
        <v>8.0599440000000008E-2</v>
      </c>
      <c r="E52" s="24"/>
      <c r="F52" s="24"/>
      <c r="G52" s="24"/>
      <c r="H52" s="24">
        <v>287.00305513000001</v>
      </c>
      <c r="I52" s="24">
        <v>287.00305513000001</v>
      </c>
      <c r="J52" s="24">
        <v>0.94965823999999999</v>
      </c>
      <c r="K52" s="24"/>
      <c r="L52" s="24"/>
      <c r="M52" s="24"/>
      <c r="N52" s="24">
        <f t="shared" si="19"/>
        <v>1.3498761999999829</v>
      </c>
      <c r="O52" s="24">
        <f t="shared" si="20"/>
        <v>1.3035756400000196</v>
      </c>
      <c r="P52" s="24">
        <f t="shared" si="21"/>
        <v>0.86905880000000002</v>
      </c>
      <c r="Q52" s="24">
        <f t="shared" si="22"/>
        <v>0.47255773769308007</v>
      </c>
      <c r="R52" s="24">
        <f t="shared" si="23"/>
        <v>0.4562751189911296</v>
      </c>
      <c r="S52" s="26">
        <f t="shared" si="24"/>
        <v>1078.2442160888461</v>
      </c>
    </row>
    <row r="53" spans="1:19" ht="39.6" x14ac:dyDescent="0.25">
      <c r="A53" s="270" t="s">
        <v>246</v>
      </c>
      <c r="B53" s="24">
        <v>444.52180820000001</v>
      </c>
      <c r="C53" s="24">
        <v>139.71045461000003</v>
      </c>
      <c r="D53" s="24">
        <v>304.81135359000007</v>
      </c>
      <c r="E53" s="24"/>
      <c r="F53" s="24"/>
      <c r="G53" s="24"/>
      <c r="H53" s="24">
        <v>450.59949403000002</v>
      </c>
      <c r="I53" s="24">
        <v>142.98803425</v>
      </c>
      <c r="J53" s="24">
        <v>307.61145978000002</v>
      </c>
      <c r="K53" s="24"/>
      <c r="L53" s="24"/>
      <c r="M53" s="24"/>
      <c r="N53" s="24">
        <f t="shared" si="19"/>
        <v>6.0776858300000072</v>
      </c>
      <c r="O53" s="24">
        <f t="shared" si="20"/>
        <v>3.2775796399999706</v>
      </c>
      <c r="P53" s="24">
        <f t="shared" si="21"/>
        <v>2.8001061899999513</v>
      </c>
      <c r="Q53" s="24">
        <f t="shared" si="22"/>
        <v>1.3672413181729723</v>
      </c>
      <c r="R53" s="24">
        <f t="shared" si="23"/>
        <v>2.3459802268551044</v>
      </c>
      <c r="S53" s="26">
        <f t="shared" si="24"/>
        <v>0.9186357912921892</v>
      </c>
    </row>
    <row r="54" spans="1:19" ht="26.4" x14ac:dyDescent="0.25">
      <c r="A54" s="270" t="s">
        <v>247</v>
      </c>
      <c r="B54" s="24">
        <v>146.7399336</v>
      </c>
      <c r="C54" s="24">
        <v>137.58857275999998</v>
      </c>
      <c r="D54" s="24">
        <v>9.1513608399999988</v>
      </c>
      <c r="E54" s="24"/>
      <c r="F54" s="24"/>
      <c r="G54" s="24"/>
      <c r="H54" s="24">
        <v>65.569197970000005</v>
      </c>
      <c r="I54" s="24">
        <v>38.647102750000002</v>
      </c>
      <c r="J54" s="24">
        <v>26.922095219999999</v>
      </c>
      <c r="K54" s="24"/>
      <c r="L54" s="24"/>
      <c r="M54" s="24"/>
      <c r="N54" s="24">
        <f t="shared" si="19"/>
        <v>-81.170735629999996</v>
      </c>
      <c r="O54" s="24">
        <f t="shared" si="20"/>
        <v>-98.941470009999975</v>
      </c>
      <c r="P54" s="24">
        <f t="shared" si="21"/>
        <v>17.77073438</v>
      </c>
      <c r="Q54" s="24">
        <f t="shared" si="22"/>
        <v>-55.31605040197455</v>
      </c>
      <c r="R54" s="24">
        <f t="shared" si="23"/>
        <v>-71.911110076406317</v>
      </c>
      <c r="S54" s="26">
        <f t="shared" si="24"/>
        <v>194.18679572031829</v>
      </c>
    </row>
    <row r="55" spans="1:19" x14ac:dyDescent="0.25">
      <c r="A55" s="270" t="s">
        <v>248</v>
      </c>
      <c r="B55" s="24">
        <v>0.82757625000000001</v>
      </c>
      <c r="C55" s="24">
        <v>0</v>
      </c>
      <c r="D55" s="24">
        <v>0.82757625000000001</v>
      </c>
      <c r="E55" s="24"/>
      <c r="F55" s="24"/>
      <c r="G55" s="24"/>
      <c r="H55" s="24">
        <v>1.507445E-2</v>
      </c>
      <c r="I55" s="24">
        <v>0</v>
      </c>
      <c r="J55" s="24">
        <v>1.507445E-2</v>
      </c>
      <c r="K55" s="24"/>
      <c r="L55" s="24"/>
      <c r="M55" s="24"/>
      <c r="N55" s="24">
        <f t="shared" si="19"/>
        <v>-0.81250180000000005</v>
      </c>
      <c r="O55" s="24">
        <f t="shared" si="20"/>
        <v>0</v>
      </c>
      <c r="P55" s="24">
        <f t="shared" si="21"/>
        <v>-0.81250180000000005</v>
      </c>
      <c r="Q55" s="24">
        <f t="shared" si="22"/>
        <v>-98.178482043195416</v>
      </c>
      <c r="R55" s="47" t="s">
        <v>64</v>
      </c>
      <c r="S55" s="26">
        <f t="shared" si="24"/>
        <v>-98.178482043195416</v>
      </c>
    </row>
    <row r="56" spans="1:19" ht="26.4" x14ac:dyDescent="0.25">
      <c r="A56" s="270" t="s">
        <v>249</v>
      </c>
      <c r="B56" s="24"/>
      <c r="C56" s="24"/>
      <c r="D56" s="24"/>
      <c r="E56" s="24"/>
      <c r="F56" s="24"/>
      <c r="G56" s="24"/>
      <c r="H56" s="24">
        <v>9.1907999999999994</v>
      </c>
      <c r="I56" s="24">
        <v>9.1907999999999994</v>
      </c>
      <c r="J56" s="24"/>
      <c r="K56" s="24"/>
      <c r="L56" s="24"/>
      <c r="M56" s="24"/>
      <c r="N56" s="24">
        <f t="shared" si="19"/>
        <v>9.1907999999999994</v>
      </c>
      <c r="O56" s="24">
        <f t="shared" si="20"/>
        <v>9.1907999999999994</v>
      </c>
      <c r="P56" s="24">
        <f t="shared" si="21"/>
        <v>0</v>
      </c>
      <c r="Q56" s="47" t="s">
        <v>64</v>
      </c>
      <c r="R56" s="47" t="s">
        <v>64</v>
      </c>
      <c r="S56" s="42" t="s">
        <v>64</v>
      </c>
    </row>
    <row r="57" spans="1:19" x14ac:dyDescent="0.25">
      <c r="A57" s="270" t="s">
        <v>250</v>
      </c>
      <c r="B57" s="24">
        <v>2185.9705569099997</v>
      </c>
      <c r="C57" s="24">
        <v>1285.57652424</v>
      </c>
      <c r="D57" s="24">
        <v>921.62759745000005</v>
      </c>
      <c r="E57" s="24"/>
      <c r="F57" s="24"/>
      <c r="G57" s="24"/>
      <c r="H57" s="24">
        <v>2035.29700669</v>
      </c>
      <c r="I57" s="24">
        <v>1153.90064059</v>
      </c>
      <c r="J57" s="24">
        <v>916.41572314999996</v>
      </c>
      <c r="K57" s="24"/>
      <c r="L57" s="24"/>
      <c r="M57" s="24"/>
      <c r="N57" s="24">
        <f t="shared" si="19"/>
        <v>-150.6735502199997</v>
      </c>
      <c r="O57" s="24">
        <f t="shared" si="20"/>
        <v>-131.67588365000006</v>
      </c>
      <c r="P57" s="24">
        <f t="shared" si="21"/>
        <v>-5.2118743000000904</v>
      </c>
      <c r="Q57" s="24">
        <f t="shared" si="22"/>
        <v>-6.8927529578891438</v>
      </c>
      <c r="R57" s="24">
        <f t="shared" si="23"/>
        <v>-10.242555084602486</v>
      </c>
      <c r="S57" s="26">
        <f t="shared" si="24"/>
        <v>-0.56550762091114848</v>
      </c>
    </row>
    <row r="58" spans="1:19" x14ac:dyDescent="0.25">
      <c r="A58" s="101" t="s">
        <v>251</v>
      </c>
      <c r="B58" s="30">
        <f t="shared" ref="B58:G58" si="25">+B59</f>
        <v>30.831841470000001</v>
      </c>
      <c r="C58" s="30">
        <f t="shared" si="25"/>
        <v>30.884315860000001</v>
      </c>
      <c r="D58" s="30">
        <f t="shared" si="25"/>
        <v>30.831841469999997</v>
      </c>
      <c r="E58" s="30">
        <f t="shared" si="25"/>
        <v>0</v>
      </c>
      <c r="F58" s="30">
        <f t="shared" si="25"/>
        <v>0</v>
      </c>
      <c r="G58" s="30">
        <f t="shared" si="25"/>
        <v>0</v>
      </c>
      <c r="H58" s="30">
        <f>+H59</f>
        <v>31.205144990000001</v>
      </c>
      <c r="I58" s="30">
        <f t="shared" ref="I58:J58" si="26">+I59</f>
        <v>31.21093157</v>
      </c>
      <c r="J58" s="30">
        <f t="shared" si="26"/>
        <v>31.205144990000001</v>
      </c>
      <c r="K58" s="30"/>
      <c r="L58" s="30"/>
      <c r="M58" s="30"/>
      <c r="N58" s="30">
        <f t="shared" si="19"/>
        <v>0.37330352000000033</v>
      </c>
      <c r="O58" s="30">
        <f t="shared" si="20"/>
        <v>0.32661570999999867</v>
      </c>
      <c r="P58" s="30">
        <f t="shared" si="21"/>
        <v>0.37330352000000389</v>
      </c>
      <c r="Q58" s="30">
        <f t="shared" si="22"/>
        <v>1.2107727018615861</v>
      </c>
      <c r="R58" s="30">
        <f t="shared" si="23"/>
        <v>1.0575455563936202</v>
      </c>
      <c r="S58" s="31">
        <f t="shared" si="24"/>
        <v>1.2107727018615861</v>
      </c>
    </row>
    <row r="59" spans="1:19" ht="26.4" x14ac:dyDescent="0.25">
      <c r="A59" s="270" t="s">
        <v>252</v>
      </c>
      <c r="B59" s="24">
        <v>30.831841470000001</v>
      </c>
      <c r="C59" s="24">
        <v>30.884315860000001</v>
      </c>
      <c r="D59" s="24">
        <v>30.831841469999997</v>
      </c>
      <c r="E59" s="24"/>
      <c r="F59" s="24"/>
      <c r="G59" s="24"/>
      <c r="H59" s="24">
        <v>31.205144990000001</v>
      </c>
      <c r="I59" s="24">
        <v>31.21093157</v>
      </c>
      <c r="J59" s="24">
        <v>31.205144990000001</v>
      </c>
      <c r="K59" s="24"/>
      <c r="L59" s="24"/>
      <c r="M59" s="24"/>
      <c r="N59" s="24">
        <f t="shared" si="19"/>
        <v>0.37330352000000033</v>
      </c>
      <c r="O59" s="24">
        <f t="shared" si="20"/>
        <v>0.32661570999999867</v>
      </c>
      <c r="P59" s="24">
        <f>J59-D59</f>
        <v>0.37330352000000389</v>
      </c>
      <c r="Q59" s="24">
        <f t="shared" si="22"/>
        <v>1.2107727018615861</v>
      </c>
      <c r="R59" s="24">
        <f t="shared" si="23"/>
        <v>1.0575455563936202</v>
      </c>
      <c r="S59" s="26">
        <f t="shared" si="24"/>
        <v>1.2107727018615861</v>
      </c>
    </row>
    <row r="60" spans="1:19" ht="26.4" x14ac:dyDescent="0.25">
      <c r="A60" s="101" t="s">
        <v>253</v>
      </c>
      <c r="B60" s="30">
        <f>SUM(B61:B64)</f>
        <v>1308.22299529</v>
      </c>
      <c r="C60" s="30">
        <f t="shared" ref="C60:M60" si="27">SUM(C61:C64)</f>
        <v>1133.9267549699998</v>
      </c>
      <c r="D60" s="30">
        <f t="shared" si="27"/>
        <v>174.52624032000003</v>
      </c>
      <c r="E60" s="30">
        <f t="shared" si="27"/>
        <v>0</v>
      </c>
      <c r="F60" s="30">
        <f t="shared" si="27"/>
        <v>0</v>
      </c>
      <c r="G60" s="30">
        <f t="shared" si="27"/>
        <v>0</v>
      </c>
      <c r="H60" s="30">
        <f t="shared" si="27"/>
        <v>1247.6607731399999</v>
      </c>
      <c r="I60" s="30">
        <f t="shared" si="27"/>
        <v>1078.62264207</v>
      </c>
      <c r="J60" s="30">
        <f t="shared" si="27"/>
        <v>175.99967706999999</v>
      </c>
      <c r="K60" s="30">
        <f t="shared" si="27"/>
        <v>0</v>
      </c>
      <c r="L60" s="30">
        <f t="shared" si="27"/>
        <v>0</v>
      </c>
      <c r="M60" s="30">
        <f t="shared" si="27"/>
        <v>0</v>
      </c>
      <c r="N60" s="30">
        <f t="shared" si="19"/>
        <v>-60.562222150000025</v>
      </c>
      <c r="O60" s="30">
        <f t="shared" si="20"/>
        <v>-55.304112899999836</v>
      </c>
      <c r="P60" s="30">
        <f t="shared" si="21"/>
        <v>1.4734367499999621</v>
      </c>
      <c r="Q60" s="30">
        <f t="shared" si="22"/>
        <v>-4.6293500701365531</v>
      </c>
      <c r="R60" s="30">
        <f t="shared" si="23"/>
        <v>-4.8772209190410223</v>
      </c>
      <c r="S60" s="31">
        <f t="shared" si="24"/>
        <v>0.84424940759529932</v>
      </c>
    </row>
    <row r="61" spans="1:19" x14ac:dyDescent="0.25">
      <c r="A61" s="270" t="s">
        <v>254</v>
      </c>
      <c r="B61" s="24">
        <v>0.12230000000000001</v>
      </c>
      <c r="C61" s="24">
        <v>0</v>
      </c>
      <c r="D61" s="24">
        <v>0.12230000000000001</v>
      </c>
      <c r="E61" s="24"/>
      <c r="F61" s="24"/>
      <c r="G61" s="24"/>
      <c r="H61" s="24">
        <v>5.9892000000000001E-2</v>
      </c>
      <c r="I61" s="24"/>
      <c r="J61" s="24">
        <v>5.9892000000000001E-2</v>
      </c>
      <c r="K61" s="24"/>
      <c r="L61" s="24"/>
      <c r="M61" s="24"/>
      <c r="N61" s="24">
        <f t="shared" si="19"/>
        <v>-6.2408000000000005E-2</v>
      </c>
      <c r="O61" s="24">
        <f t="shared" si="20"/>
        <v>0</v>
      </c>
      <c r="P61" s="24">
        <f t="shared" si="21"/>
        <v>-6.2408000000000005E-2</v>
      </c>
      <c r="Q61" s="24">
        <f t="shared" si="22"/>
        <v>-51.028618152085045</v>
      </c>
      <c r="R61" s="47" t="s">
        <v>64</v>
      </c>
      <c r="S61" s="26">
        <f t="shared" si="24"/>
        <v>-51.028618152085045</v>
      </c>
    </row>
    <row r="62" spans="1:19" ht="39.6" x14ac:dyDescent="0.25">
      <c r="A62" s="270" t="s">
        <v>255</v>
      </c>
      <c r="B62" s="24">
        <v>428.65949311999998</v>
      </c>
      <c r="C62" s="24">
        <v>272.92305042999999</v>
      </c>
      <c r="D62" s="24">
        <v>155.73644269000002</v>
      </c>
      <c r="E62" s="24"/>
      <c r="F62" s="24"/>
      <c r="G62" s="24"/>
      <c r="H62" s="24">
        <v>356.15437831999998</v>
      </c>
      <c r="I62" s="24">
        <v>202.77026968000001</v>
      </c>
      <c r="J62" s="24">
        <v>159.74565464</v>
      </c>
      <c r="K62" s="24"/>
      <c r="L62" s="24"/>
      <c r="M62" s="24"/>
      <c r="N62" s="24">
        <f t="shared" si="19"/>
        <v>-72.505114800000001</v>
      </c>
      <c r="O62" s="24">
        <f t="shared" si="20"/>
        <v>-70.152780749999977</v>
      </c>
      <c r="P62" s="24">
        <f t="shared" si="21"/>
        <v>4.0092119499999797</v>
      </c>
      <c r="Q62" s="24">
        <f t="shared" si="22"/>
        <v>-16.914384485520472</v>
      </c>
      <c r="R62" s="24">
        <f t="shared" si="23"/>
        <v>-25.70423444977321</v>
      </c>
      <c r="S62" s="26">
        <f t="shared" si="24"/>
        <v>2.5743569589428006</v>
      </c>
    </row>
    <row r="63" spans="1:19" x14ac:dyDescent="0.25">
      <c r="A63" s="270" t="s">
        <v>256</v>
      </c>
      <c r="B63" s="24">
        <v>878.38763958000004</v>
      </c>
      <c r="C63" s="24">
        <v>861.00370453999994</v>
      </c>
      <c r="D63" s="24">
        <v>17.613935040000001</v>
      </c>
      <c r="E63" s="24"/>
      <c r="F63" s="24"/>
      <c r="G63" s="24"/>
      <c r="H63" s="24">
        <v>890.60877144000006</v>
      </c>
      <c r="I63" s="24">
        <v>875.85237239000003</v>
      </c>
      <c r="J63" s="24">
        <v>15.35639905</v>
      </c>
      <c r="K63" s="24"/>
      <c r="L63" s="24"/>
      <c r="M63" s="24"/>
      <c r="N63" s="24">
        <f t="shared" si="19"/>
        <v>12.221131860000014</v>
      </c>
      <c r="O63" s="24">
        <f t="shared" si="20"/>
        <v>14.848667850000083</v>
      </c>
      <c r="P63" s="24">
        <f t="shared" si="21"/>
        <v>-2.2575359900000009</v>
      </c>
      <c r="Q63" s="24">
        <f t="shared" si="22"/>
        <v>1.3913141885561515</v>
      </c>
      <c r="R63" s="24">
        <f t="shared" si="23"/>
        <v>1.7245765345380448</v>
      </c>
      <c r="S63" s="26">
        <f t="shared" si="24"/>
        <v>-12.816761188645785</v>
      </c>
    </row>
    <row r="64" spans="1:19" ht="25.5" customHeight="1" x14ac:dyDescent="0.25">
      <c r="A64" s="270" t="s">
        <v>257</v>
      </c>
      <c r="B64" s="24">
        <v>1.0535625900000001</v>
      </c>
      <c r="C64" s="24">
        <v>0</v>
      </c>
      <c r="D64" s="24">
        <v>1.0535625900000001</v>
      </c>
      <c r="E64" s="24"/>
      <c r="F64" s="24"/>
      <c r="G64" s="24"/>
      <c r="H64" s="24">
        <v>0.83773138000000003</v>
      </c>
      <c r="I64" s="24"/>
      <c r="J64" s="24">
        <v>0.83773138000000003</v>
      </c>
      <c r="K64" s="24"/>
      <c r="L64" s="24"/>
      <c r="M64" s="24"/>
      <c r="N64" s="24">
        <f t="shared" si="19"/>
        <v>-0.21583121000000005</v>
      </c>
      <c r="O64" s="24">
        <f t="shared" si="20"/>
        <v>0</v>
      </c>
      <c r="P64" s="24">
        <f t="shared" si="21"/>
        <v>-0.21583121000000005</v>
      </c>
      <c r="Q64" s="24">
        <f t="shared" si="22"/>
        <v>-20.48584602837883</v>
      </c>
      <c r="R64" s="47" t="s">
        <v>64</v>
      </c>
      <c r="S64" s="26">
        <f t="shared" si="24"/>
        <v>-20.48584602837883</v>
      </c>
    </row>
    <row r="65" spans="1:19" x14ac:dyDescent="0.25">
      <c r="A65" s="101" t="s">
        <v>258</v>
      </c>
      <c r="B65" s="30">
        <f>SUM(B66:B74)</f>
        <v>10271.500906950001</v>
      </c>
      <c r="C65" s="30">
        <f t="shared" ref="C65:I65" si="28">SUM(C66:C74)</f>
        <v>8445.9069327699999</v>
      </c>
      <c r="D65" s="30">
        <f t="shared" si="28"/>
        <v>2310.5921955200001</v>
      </c>
      <c r="E65" s="30">
        <f t="shared" si="28"/>
        <v>0</v>
      </c>
      <c r="F65" s="30">
        <f t="shared" si="28"/>
        <v>0</v>
      </c>
      <c r="G65" s="30">
        <f t="shared" si="28"/>
        <v>0</v>
      </c>
      <c r="H65" s="30">
        <f t="shared" si="28"/>
        <v>11412.115961289999</v>
      </c>
      <c r="I65" s="30">
        <f t="shared" si="28"/>
        <v>9731.9328306900024</v>
      </c>
      <c r="J65" s="30">
        <f>SUM(J66:J74)</f>
        <v>2424.4573842</v>
      </c>
      <c r="K65" s="30"/>
      <c r="L65" s="30"/>
      <c r="M65" s="30"/>
      <c r="N65" s="30">
        <f t="shared" si="19"/>
        <v>1140.6150543399981</v>
      </c>
      <c r="O65" s="30">
        <f t="shared" si="20"/>
        <v>1286.0258979200025</v>
      </c>
      <c r="P65" s="30">
        <f t="shared" si="21"/>
        <v>113.86518867999985</v>
      </c>
      <c r="Q65" s="30">
        <f t="shared" si="22"/>
        <v>11.10465806967143</v>
      </c>
      <c r="R65" s="30">
        <f t="shared" si="23"/>
        <v>15.226616965553347</v>
      </c>
      <c r="S65" s="31">
        <f t="shared" si="24"/>
        <v>4.9279656055608854</v>
      </c>
    </row>
    <row r="66" spans="1:19" x14ac:dyDescent="0.25">
      <c r="A66" s="270" t="s">
        <v>259</v>
      </c>
      <c r="B66" s="24">
        <v>590.26515569000003</v>
      </c>
      <c r="C66" s="24">
        <v>590.15997032000007</v>
      </c>
      <c r="D66" s="24">
        <v>0.10518537</v>
      </c>
      <c r="E66" s="24"/>
      <c r="F66" s="24"/>
      <c r="G66" s="24"/>
      <c r="H66" s="24">
        <v>570.45895193000001</v>
      </c>
      <c r="I66" s="24">
        <v>570.35812290000001</v>
      </c>
      <c r="J66" s="24">
        <v>0.10082903</v>
      </c>
      <c r="K66" s="24"/>
      <c r="L66" s="24"/>
      <c r="M66" s="24"/>
      <c r="N66" s="24">
        <f t="shared" si="19"/>
        <v>-19.806203760000017</v>
      </c>
      <c r="O66" s="24">
        <f t="shared" si="20"/>
        <v>-19.801847420000058</v>
      </c>
      <c r="P66" s="24">
        <f t="shared" si="21"/>
        <v>-4.3563400000000002E-3</v>
      </c>
      <c r="Q66" s="24">
        <f t="shared" si="22"/>
        <v>-3.3554756822545642</v>
      </c>
      <c r="R66" s="24">
        <f t="shared" si="23"/>
        <v>-3.355335572702927</v>
      </c>
      <c r="S66" s="26">
        <f t="shared" si="24"/>
        <v>-4.1415835681331004</v>
      </c>
    </row>
    <row r="67" spans="1:19" x14ac:dyDescent="0.25">
      <c r="A67" s="270" t="s">
        <v>260</v>
      </c>
      <c r="B67" s="24">
        <v>63.886291310000004</v>
      </c>
      <c r="C67" s="24">
        <v>62.585818350000004</v>
      </c>
      <c r="D67" s="24">
        <v>7.0454629600000009</v>
      </c>
      <c r="E67" s="24"/>
      <c r="F67" s="24"/>
      <c r="G67" s="24"/>
      <c r="H67" s="24">
        <v>67.954806529999999</v>
      </c>
      <c r="I67" s="24">
        <v>62.299317549999998</v>
      </c>
      <c r="J67" s="24">
        <v>11.655488979999999</v>
      </c>
      <c r="K67" s="24"/>
      <c r="L67" s="24"/>
      <c r="M67" s="24"/>
      <c r="N67" s="24">
        <f t="shared" si="19"/>
        <v>4.0685152199999948</v>
      </c>
      <c r="O67" s="24">
        <f t="shared" si="20"/>
        <v>-0.286500800000006</v>
      </c>
      <c r="P67" s="24">
        <f t="shared" si="21"/>
        <v>4.6100260199999985</v>
      </c>
      <c r="Q67" s="24">
        <f t="shared" si="22"/>
        <v>6.3683697027552313</v>
      </c>
      <c r="R67" s="24">
        <f t="shared" si="23"/>
        <v>-0.45777271521448881</v>
      </c>
      <c r="S67" s="26">
        <f t="shared" si="24"/>
        <v>65.43254923307407</v>
      </c>
    </row>
    <row r="68" spans="1:19" x14ac:dyDescent="0.25">
      <c r="A68" s="270" t="s">
        <v>261</v>
      </c>
      <c r="B68" s="24">
        <v>1150.8975077699999</v>
      </c>
      <c r="C68" s="24">
        <v>1139.83497564</v>
      </c>
      <c r="D68" s="24">
        <v>11.457932130000001</v>
      </c>
      <c r="E68" s="24"/>
      <c r="F68" s="24"/>
      <c r="G68" s="24"/>
      <c r="H68" s="24">
        <v>1159.7262692700001</v>
      </c>
      <c r="I68" s="24">
        <v>1147.8135116200001</v>
      </c>
      <c r="J68" s="24">
        <v>12.79260584</v>
      </c>
      <c r="K68" s="24"/>
      <c r="L68" s="24"/>
      <c r="M68" s="24"/>
      <c r="N68" s="24">
        <f t="shared" si="19"/>
        <v>8.8287615000001551</v>
      </c>
      <c r="O68" s="24">
        <f t="shared" si="20"/>
        <v>7.9785359800000606</v>
      </c>
      <c r="P68" s="24">
        <f t="shared" si="21"/>
        <v>1.3346737099999988</v>
      </c>
      <c r="Q68" s="24">
        <f t="shared" si="22"/>
        <v>0.76711969922560286</v>
      </c>
      <c r="R68" s="24">
        <f t="shared" si="23"/>
        <v>0.69997290401799717</v>
      </c>
      <c r="S68" s="26">
        <f t="shared" si="24"/>
        <v>11.648469329866757</v>
      </c>
    </row>
    <row r="69" spans="1:19" x14ac:dyDescent="0.25">
      <c r="A69" s="270" t="s">
        <v>262</v>
      </c>
      <c r="B69" s="24">
        <v>65.672563460000006</v>
      </c>
      <c r="C69" s="24">
        <v>57.844636729999998</v>
      </c>
      <c r="D69" s="24">
        <v>43.216880730000007</v>
      </c>
      <c r="E69" s="24"/>
      <c r="F69" s="24"/>
      <c r="G69" s="24"/>
      <c r="H69" s="24">
        <v>11.185184850000001</v>
      </c>
      <c r="I69" s="24">
        <v>8.3583768799999998</v>
      </c>
      <c r="J69" s="24">
        <v>2.8268079699999999</v>
      </c>
      <c r="K69" s="24"/>
      <c r="L69" s="24"/>
      <c r="M69" s="24"/>
      <c r="N69" s="24">
        <f t="shared" si="19"/>
        <v>-54.487378610000007</v>
      </c>
      <c r="O69" s="24">
        <f t="shared" si="20"/>
        <v>-49.486259849999996</v>
      </c>
      <c r="P69" s="24">
        <f t="shared" si="21"/>
        <v>-40.39007276000001</v>
      </c>
      <c r="Q69" s="24">
        <f t="shared" si="22"/>
        <v>-82.968253010539627</v>
      </c>
      <c r="R69" s="24">
        <f t="shared" si="23"/>
        <v>-85.550299297384839</v>
      </c>
      <c r="S69" s="26">
        <f t="shared" si="24"/>
        <v>-93.459018970710432</v>
      </c>
    </row>
    <row r="70" spans="1:19" x14ac:dyDescent="0.25">
      <c r="A70" s="270" t="s">
        <v>263</v>
      </c>
      <c r="B70" s="24">
        <v>826.87589791999994</v>
      </c>
      <c r="C70" s="24">
        <v>826.25764059000005</v>
      </c>
      <c r="D70" s="24">
        <v>0.61825733000000005</v>
      </c>
      <c r="E70" s="24"/>
      <c r="F70" s="24"/>
      <c r="G70" s="24"/>
      <c r="H70" s="24">
        <v>863.58589729000005</v>
      </c>
      <c r="I70" s="24">
        <v>862.90589728999998</v>
      </c>
      <c r="J70" s="24">
        <v>0.68</v>
      </c>
      <c r="K70" s="24"/>
      <c r="L70" s="24"/>
      <c r="M70" s="24"/>
      <c r="N70" s="24">
        <f t="shared" si="19"/>
        <v>36.709999370000105</v>
      </c>
      <c r="O70" s="24">
        <f t="shared" si="20"/>
        <v>36.648256699999934</v>
      </c>
      <c r="P70" s="24">
        <f t="shared" si="21"/>
        <v>6.1742669999999999E-2</v>
      </c>
      <c r="Q70" s="24">
        <f t="shared" si="22"/>
        <v>4.4396020566500738</v>
      </c>
      <c r="R70" s="24">
        <f t="shared" si="23"/>
        <v>4.4354514741710318</v>
      </c>
      <c r="S70" s="26">
        <f t="shared" si="24"/>
        <v>9.9865649793428162</v>
      </c>
    </row>
    <row r="71" spans="1:19" x14ac:dyDescent="0.25">
      <c r="A71" s="270" t="s">
        <v>264</v>
      </c>
      <c r="B71" s="24">
        <v>720.65261927999995</v>
      </c>
      <c r="C71" s="24">
        <v>460.46830060000002</v>
      </c>
      <c r="D71" s="24">
        <v>272.87004782000002</v>
      </c>
      <c r="E71" s="24"/>
      <c r="F71" s="24"/>
      <c r="G71" s="24"/>
      <c r="H71" s="24">
        <v>732.75194237000005</v>
      </c>
      <c r="I71" s="24">
        <v>538.879728</v>
      </c>
      <c r="J71" s="24">
        <v>199.64953037000001</v>
      </c>
      <c r="K71" s="24"/>
      <c r="L71" s="24"/>
      <c r="M71" s="24"/>
      <c r="N71" s="24">
        <f t="shared" si="19"/>
        <v>12.099323090000098</v>
      </c>
      <c r="O71" s="24">
        <f t="shared" si="20"/>
        <v>78.41142739999998</v>
      </c>
      <c r="P71" s="24">
        <f t="shared" si="21"/>
        <v>-73.220517450000017</v>
      </c>
      <c r="Q71" s="24">
        <f t="shared" si="22"/>
        <v>1.6789397230094636</v>
      </c>
      <c r="R71" s="24">
        <f t="shared" si="23"/>
        <v>17.028626573822393</v>
      </c>
      <c r="S71" s="26">
        <f t="shared" si="24"/>
        <v>-26.833475507835985</v>
      </c>
    </row>
    <row r="72" spans="1:19" x14ac:dyDescent="0.25">
      <c r="A72" s="270" t="s">
        <v>265</v>
      </c>
      <c r="B72" s="24">
        <v>6250.7600527200002</v>
      </c>
      <c r="C72" s="24">
        <v>4849.4873460899998</v>
      </c>
      <c r="D72" s="24">
        <v>1798.67436415</v>
      </c>
      <c r="E72" s="24"/>
      <c r="F72" s="24"/>
      <c r="G72" s="24"/>
      <c r="H72" s="24">
        <v>7583.7033735499999</v>
      </c>
      <c r="I72" s="24">
        <v>6230.6611107500003</v>
      </c>
      <c r="J72" s="24">
        <v>2035.54536431</v>
      </c>
      <c r="K72" s="24"/>
      <c r="L72" s="24"/>
      <c r="M72" s="24"/>
      <c r="N72" s="24">
        <f t="shared" si="19"/>
        <v>1332.9433208299997</v>
      </c>
      <c r="O72" s="24">
        <f t="shared" si="20"/>
        <v>1381.1737646600004</v>
      </c>
      <c r="P72" s="24">
        <f t="shared" si="21"/>
        <v>236.87100015999999</v>
      </c>
      <c r="Q72" s="24">
        <f t="shared" si="22"/>
        <v>21.32449989421643</v>
      </c>
      <c r="R72" s="24">
        <f t="shared" si="23"/>
        <v>28.480820055620939</v>
      </c>
      <c r="S72" s="26">
        <f t="shared" si="24"/>
        <v>13.169198654362219</v>
      </c>
    </row>
    <row r="73" spans="1:19" x14ac:dyDescent="0.25">
      <c r="A73" s="270" t="s">
        <v>266</v>
      </c>
      <c r="B73" s="24">
        <v>11.048736</v>
      </c>
      <c r="C73" s="24">
        <v>8.4591960000000004</v>
      </c>
      <c r="D73" s="24">
        <v>2.606636</v>
      </c>
      <c r="E73" s="24"/>
      <c r="F73" s="24"/>
      <c r="G73" s="24"/>
      <c r="H73" s="24">
        <v>23.289344509999999</v>
      </c>
      <c r="I73" s="24">
        <v>20.69980451</v>
      </c>
      <c r="J73" s="24">
        <v>2.58954</v>
      </c>
      <c r="K73" s="24"/>
      <c r="L73" s="24"/>
      <c r="M73" s="24"/>
      <c r="N73" s="24">
        <f t="shared" si="19"/>
        <v>12.240608509999999</v>
      </c>
      <c r="O73" s="24">
        <f t="shared" si="20"/>
        <v>12.240608509999999</v>
      </c>
      <c r="P73" s="24">
        <f t="shared" si="21"/>
        <v>-1.7096E-2</v>
      </c>
      <c r="Q73" s="24">
        <f t="shared" si="22"/>
        <v>110.78741052370154</v>
      </c>
      <c r="R73" s="24">
        <f t="shared" si="23"/>
        <v>144.70179565528449</v>
      </c>
      <c r="S73" s="26">
        <f t="shared" si="24"/>
        <v>-0.65586449354647414</v>
      </c>
    </row>
    <row r="74" spans="1:19" ht="26.4" x14ac:dyDescent="0.25">
      <c r="A74" s="270" t="s">
        <v>267</v>
      </c>
      <c r="B74" s="24">
        <v>591.44208279999998</v>
      </c>
      <c r="C74" s="24">
        <v>450.80904844999998</v>
      </c>
      <c r="D74" s="24">
        <v>173.99742902999998</v>
      </c>
      <c r="E74" s="24"/>
      <c r="F74" s="24"/>
      <c r="G74" s="24"/>
      <c r="H74" s="24">
        <v>399.46019099</v>
      </c>
      <c r="I74" s="24">
        <v>289.95696119000002</v>
      </c>
      <c r="J74" s="24">
        <v>158.6172177</v>
      </c>
      <c r="K74" s="24"/>
      <c r="L74" s="24"/>
      <c r="M74" s="24"/>
      <c r="N74" s="24">
        <f t="shared" si="19"/>
        <v>-191.98189180999998</v>
      </c>
      <c r="O74" s="24">
        <f t="shared" si="20"/>
        <v>-160.85208725999996</v>
      </c>
      <c r="P74" s="24">
        <f t="shared" si="21"/>
        <v>-15.38021132999998</v>
      </c>
      <c r="Q74" s="24">
        <f t="shared" si="22"/>
        <v>-32.459964786597695</v>
      </c>
      <c r="R74" s="24">
        <f t="shared" si="23"/>
        <v>-35.680758363890803</v>
      </c>
      <c r="S74" s="26">
        <f t="shared" si="24"/>
        <v>-8.839332521027174</v>
      </c>
    </row>
    <row r="75" spans="1:19" x14ac:dyDescent="0.25">
      <c r="A75" s="101" t="s">
        <v>268</v>
      </c>
      <c r="B75" s="30">
        <f>SUM(B76:B79)</f>
        <v>7492.6026993599999</v>
      </c>
      <c r="C75" s="30">
        <f t="shared" ref="C75:J75" si="29">SUM(C76:C79)</f>
        <v>5737.3294406399991</v>
      </c>
      <c r="D75" s="30">
        <f t="shared" si="29"/>
        <v>4444.2055295400014</v>
      </c>
      <c r="E75" s="30">
        <f t="shared" si="29"/>
        <v>0</v>
      </c>
      <c r="F75" s="30">
        <f t="shared" si="29"/>
        <v>0</v>
      </c>
      <c r="G75" s="30">
        <f t="shared" si="29"/>
        <v>0</v>
      </c>
      <c r="H75" s="30">
        <f t="shared" si="29"/>
        <v>8380.4797514900001</v>
      </c>
      <c r="I75" s="30">
        <f t="shared" si="29"/>
        <v>6296.0579040700004</v>
      </c>
      <c r="J75" s="30">
        <f t="shared" si="29"/>
        <v>3929.03055911</v>
      </c>
      <c r="K75" s="30"/>
      <c r="L75" s="30"/>
      <c r="M75" s="30"/>
      <c r="N75" s="30">
        <f t="shared" si="19"/>
        <v>887.87705213000027</v>
      </c>
      <c r="O75" s="30">
        <f t="shared" si="20"/>
        <v>558.72846343000128</v>
      </c>
      <c r="P75" s="30">
        <f t="shared" si="21"/>
        <v>-515.17497043000139</v>
      </c>
      <c r="Q75" s="30">
        <f t="shared" si="22"/>
        <v>11.850048477891931</v>
      </c>
      <c r="R75" s="30">
        <f t="shared" si="23"/>
        <v>9.7384762233154021</v>
      </c>
      <c r="S75" s="31">
        <f t="shared" si="24"/>
        <v>-11.592059975752861</v>
      </c>
    </row>
    <row r="76" spans="1:19" x14ac:dyDescent="0.25">
      <c r="A76" s="270" t="s">
        <v>269</v>
      </c>
      <c r="B76" s="24">
        <v>2726.6744638600003</v>
      </c>
      <c r="C76" s="24">
        <v>2333.6538719599998</v>
      </c>
      <c r="D76" s="24">
        <v>2456.4249925100003</v>
      </c>
      <c r="E76" s="24"/>
      <c r="F76" s="24"/>
      <c r="G76" s="24"/>
      <c r="H76" s="24">
        <v>3500.8841919900001</v>
      </c>
      <c r="I76" s="24">
        <v>2634.5895347800001</v>
      </c>
      <c r="J76" s="24">
        <v>2310.2647430699999</v>
      </c>
      <c r="K76" s="24"/>
      <c r="L76" s="24"/>
      <c r="M76" s="24"/>
      <c r="N76" s="24">
        <f t="shared" si="19"/>
        <v>774.2097281299998</v>
      </c>
      <c r="O76" s="24">
        <f t="shared" si="20"/>
        <v>300.93566282000029</v>
      </c>
      <c r="P76" s="24">
        <f t="shared" si="21"/>
        <v>-146.16024944000037</v>
      </c>
      <c r="Q76" s="24">
        <f t="shared" si="22"/>
        <v>28.393918613738521</v>
      </c>
      <c r="R76" s="24">
        <f t="shared" si="23"/>
        <v>12.895471193731439</v>
      </c>
      <c r="S76" s="26">
        <f t="shared" si="24"/>
        <v>-5.9501205974399625</v>
      </c>
    </row>
    <row r="77" spans="1:19" x14ac:dyDescent="0.25">
      <c r="A77" s="270" t="s">
        <v>270</v>
      </c>
      <c r="B77" s="24">
        <v>3702.0549668899998</v>
      </c>
      <c r="C77" s="24">
        <v>3349.3649162199999</v>
      </c>
      <c r="D77" s="24">
        <v>973.95442330000014</v>
      </c>
      <c r="E77" s="24"/>
      <c r="F77" s="24"/>
      <c r="G77" s="24"/>
      <c r="H77" s="24">
        <v>3837.6744255600001</v>
      </c>
      <c r="I77" s="24">
        <v>3590.86051933</v>
      </c>
      <c r="J77" s="24">
        <v>629.96094369000002</v>
      </c>
      <c r="K77" s="24"/>
      <c r="L77" s="24"/>
      <c r="M77" s="24"/>
      <c r="N77" s="24">
        <f t="shared" si="19"/>
        <v>135.61945867000031</v>
      </c>
      <c r="O77" s="24">
        <f t="shared" si="20"/>
        <v>241.49560311000005</v>
      </c>
      <c r="P77" s="24">
        <f t="shared" si="21"/>
        <v>-343.99347961000012</v>
      </c>
      <c r="Q77" s="24">
        <f t="shared" si="22"/>
        <v>3.6633561598338673</v>
      </c>
      <c r="R77" s="24">
        <f t="shared" si="23"/>
        <v>7.210190861572201</v>
      </c>
      <c r="S77" s="26">
        <f t="shared" si="24"/>
        <v>-35.319258415035947</v>
      </c>
    </row>
    <row r="78" spans="1:19" x14ac:dyDescent="0.25">
      <c r="A78" s="270" t="s">
        <v>271</v>
      </c>
      <c r="B78" s="24">
        <v>759.71708389000003</v>
      </c>
      <c r="C78" s="24">
        <v>4.23175758</v>
      </c>
      <c r="D78" s="24">
        <v>759.71708389000014</v>
      </c>
      <c r="E78" s="24"/>
      <c r="F78" s="24"/>
      <c r="G78" s="24"/>
      <c r="H78" s="24">
        <v>746.83842015000005</v>
      </c>
      <c r="I78" s="24">
        <v>16.09158837</v>
      </c>
      <c r="J78" s="24">
        <v>746.83842015000005</v>
      </c>
      <c r="K78" s="24"/>
      <c r="L78" s="24"/>
      <c r="M78" s="24"/>
      <c r="N78" s="24">
        <f t="shared" si="19"/>
        <v>-12.878663739999979</v>
      </c>
      <c r="O78" s="24">
        <f t="shared" si="20"/>
        <v>11.85983079</v>
      </c>
      <c r="P78" s="24">
        <f t="shared" si="21"/>
        <v>-12.878663740000093</v>
      </c>
      <c r="Q78" s="24">
        <f t="shared" si="22"/>
        <v>-1.6951920672965599</v>
      </c>
      <c r="R78" s="24">
        <f t="shared" si="23"/>
        <v>280.25780224395555</v>
      </c>
      <c r="S78" s="26">
        <f t="shared" si="24"/>
        <v>-1.6951920672965599</v>
      </c>
    </row>
    <row r="79" spans="1:19" ht="26.4" x14ac:dyDescent="0.25">
      <c r="A79" s="270" t="s">
        <v>272</v>
      </c>
      <c r="B79" s="24">
        <v>304.15618472000006</v>
      </c>
      <c r="C79" s="24">
        <v>50.07889488</v>
      </c>
      <c r="D79" s="24">
        <v>254.10902984000001</v>
      </c>
      <c r="E79" s="24"/>
      <c r="F79" s="24"/>
      <c r="G79" s="24"/>
      <c r="H79" s="24">
        <v>295.08271379000001</v>
      </c>
      <c r="I79" s="24">
        <v>54.516261589999999</v>
      </c>
      <c r="J79" s="24">
        <v>241.96645219999999</v>
      </c>
      <c r="K79" s="24"/>
      <c r="L79" s="24"/>
      <c r="M79" s="24"/>
      <c r="N79" s="24">
        <f t="shared" si="19"/>
        <v>-9.0734709300000418</v>
      </c>
      <c r="O79" s="24">
        <f t="shared" si="20"/>
        <v>4.4373667099999992</v>
      </c>
      <c r="P79" s="24">
        <f t="shared" si="21"/>
        <v>-12.142577640000013</v>
      </c>
      <c r="Q79" s="24">
        <f t="shared" si="22"/>
        <v>-2.9831617392074037</v>
      </c>
      <c r="R79" s="24">
        <f t="shared" si="23"/>
        <v>8.860752060589391</v>
      </c>
      <c r="S79" s="26">
        <f t="shared" si="24"/>
        <v>-4.7784912042069436</v>
      </c>
    </row>
    <row r="80" spans="1:19" x14ac:dyDescent="0.25">
      <c r="A80" s="271" t="s">
        <v>273</v>
      </c>
      <c r="B80" s="30">
        <f>SUM(B81:B83)</f>
        <v>60.301307970000003</v>
      </c>
      <c r="C80" s="30">
        <f t="shared" ref="C80:J80" si="30">SUM(C81:C83)</f>
        <v>56.484728090000004</v>
      </c>
      <c r="D80" s="30">
        <f t="shared" si="30"/>
        <v>3.8165798800000004</v>
      </c>
      <c r="E80" s="30">
        <f t="shared" si="30"/>
        <v>0</v>
      </c>
      <c r="F80" s="30">
        <f t="shared" si="30"/>
        <v>0</v>
      </c>
      <c r="G80" s="30">
        <f t="shared" si="30"/>
        <v>0</v>
      </c>
      <c r="H80" s="30">
        <f t="shared" si="30"/>
        <v>73.582182590000002</v>
      </c>
      <c r="I80" s="30">
        <f t="shared" si="30"/>
        <v>65.928667810000007</v>
      </c>
      <c r="J80" s="30">
        <f t="shared" si="30"/>
        <v>7.6535147800000001</v>
      </c>
      <c r="K80" s="30"/>
      <c r="L80" s="30"/>
      <c r="M80" s="30"/>
      <c r="N80" s="30">
        <f t="shared" si="19"/>
        <v>13.280874619999999</v>
      </c>
      <c r="O80" s="30">
        <f t="shared" si="20"/>
        <v>9.443939720000003</v>
      </c>
      <c r="P80" s="30">
        <f t="shared" si="21"/>
        <v>3.8369348999999997</v>
      </c>
      <c r="Q80" s="30">
        <f t="shared" si="22"/>
        <v>22.024189967168297</v>
      </c>
      <c r="R80" s="30">
        <f t="shared" si="23"/>
        <v>16.719456814862411</v>
      </c>
      <c r="S80" s="31">
        <f t="shared" si="24"/>
        <v>100.53333142866117</v>
      </c>
    </row>
    <row r="81" spans="1:19" ht="26.4" x14ac:dyDescent="0.25">
      <c r="A81" s="270" t="s">
        <v>274</v>
      </c>
      <c r="B81" s="24"/>
      <c r="C81" s="24"/>
      <c r="D81" s="24"/>
      <c r="E81" s="24"/>
      <c r="F81" s="24"/>
      <c r="G81" s="24"/>
      <c r="H81" s="24">
        <v>0.21856800000000001</v>
      </c>
      <c r="I81" s="24">
        <v>0.21856800000000001</v>
      </c>
      <c r="J81" s="24"/>
      <c r="K81" s="24"/>
      <c r="L81" s="24"/>
      <c r="M81" s="24"/>
      <c r="N81" s="24">
        <f t="shared" si="19"/>
        <v>0.21856800000000001</v>
      </c>
      <c r="O81" s="24">
        <f t="shared" si="20"/>
        <v>0.21856800000000001</v>
      </c>
      <c r="P81" s="24">
        <f t="shared" si="21"/>
        <v>0</v>
      </c>
      <c r="Q81" s="47" t="s">
        <v>64</v>
      </c>
      <c r="R81" s="47" t="s">
        <v>64</v>
      </c>
      <c r="S81" s="42" t="s">
        <v>64</v>
      </c>
    </row>
    <row r="82" spans="1:19" ht="26.4" x14ac:dyDescent="0.25">
      <c r="A82" s="270" t="s">
        <v>275</v>
      </c>
      <c r="B82" s="24">
        <v>56.663967640000003</v>
      </c>
      <c r="C82" s="24">
        <v>56.484728090000004</v>
      </c>
      <c r="D82" s="24">
        <v>0.17923955</v>
      </c>
      <c r="E82" s="24"/>
      <c r="F82" s="24"/>
      <c r="G82" s="24"/>
      <c r="H82" s="24">
        <v>65.922398610000002</v>
      </c>
      <c r="I82" s="24">
        <v>65.710099810000003</v>
      </c>
      <c r="J82" s="24">
        <v>0.21229880000000001</v>
      </c>
      <c r="K82" s="24"/>
      <c r="L82" s="24"/>
      <c r="M82" s="24"/>
      <c r="N82" s="24">
        <f t="shared" si="19"/>
        <v>9.2584309699999991</v>
      </c>
      <c r="O82" s="24">
        <f t="shared" si="20"/>
        <v>9.2253717199999983</v>
      </c>
      <c r="P82" s="24">
        <f t="shared" si="21"/>
        <v>3.3059250000000012E-2</v>
      </c>
      <c r="Q82" s="24">
        <f t="shared" si="22"/>
        <v>16.339185827616362</v>
      </c>
      <c r="R82" s="24">
        <f t="shared" si="23"/>
        <v>16.332506204687306</v>
      </c>
      <c r="S82" s="26">
        <f t="shared" si="24"/>
        <v>18.444171501211656</v>
      </c>
    </row>
    <row r="83" spans="1:19" ht="26.4" x14ac:dyDescent="0.25">
      <c r="A83" s="270" t="s">
        <v>276</v>
      </c>
      <c r="B83" s="24">
        <v>3.6373403300000002</v>
      </c>
      <c r="C83" s="24"/>
      <c r="D83" s="24">
        <v>3.6373403300000002</v>
      </c>
      <c r="E83" s="24"/>
      <c r="F83" s="24"/>
      <c r="G83" s="24"/>
      <c r="H83" s="24">
        <v>7.44121598</v>
      </c>
      <c r="I83" s="24"/>
      <c r="J83" s="24">
        <v>7.44121598</v>
      </c>
      <c r="K83" s="24"/>
      <c r="L83" s="24"/>
      <c r="M83" s="24"/>
      <c r="N83" s="24">
        <f t="shared" si="19"/>
        <v>3.8038756499999997</v>
      </c>
      <c r="O83" s="24">
        <f t="shared" si="20"/>
        <v>0</v>
      </c>
      <c r="P83" s="24">
        <f t="shared" si="21"/>
        <v>3.8038756499999997</v>
      </c>
      <c r="Q83" s="24">
        <f t="shared" si="22"/>
        <v>104.57849155951814</v>
      </c>
      <c r="R83" s="47" t="s">
        <v>64</v>
      </c>
      <c r="S83" s="26">
        <f t="shared" si="24"/>
        <v>104.57849155951814</v>
      </c>
    </row>
    <row r="84" spans="1:19" x14ac:dyDescent="0.25">
      <c r="A84" s="101" t="s">
        <v>277</v>
      </c>
      <c r="B84" s="30">
        <f>SUM(B85:B91)</f>
        <v>24933.276963379998</v>
      </c>
      <c r="C84" s="30">
        <f t="shared" ref="C84:J84" si="31">SUM(C85:C91)</f>
        <v>18091.38692501</v>
      </c>
      <c r="D84" s="30">
        <f t="shared" si="31"/>
        <v>20128.166932999997</v>
      </c>
      <c r="E84" s="30">
        <f t="shared" si="31"/>
        <v>0</v>
      </c>
      <c r="F84" s="30">
        <f t="shared" si="31"/>
        <v>0</v>
      </c>
      <c r="G84" s="30">
        <f t="shared" si="31"/>
        <v>0</v>
      </c>
      <c r="H84" s="30">
        <f t="shared" si="31"/>
        <v>24705.522260270001</v>
      </c>
      <c r="I84" s="30">
        <f t="shared" si="31"/>
        <v>17570.275951410003</v>
      </c>
      <c r="J84" s="30">
        <f t="shared" si="31"/>
        <v>19954.134480180001</v>
      </c>
      <c r="K84" s="30"/>
      <c r="L84" s="30"/>
      <c r="M84" s="30"/>
      <c r="N84" s="30">
        <f t="shared" si="19"/>
        <v>-227.75470310999663</v>
      </c>
      <c r="O84" s="30">
        <f t="shared" si="20"/>
        <v>-521.11097359999621</v>
      </c>
      <c r="P84" s="30">
        <f t="shared" si="21"/>
        <v>-174.03245281999625</v>
      </c>
      <c r="Q84" s="30">
        <f t="shared" si="22"/>
        <v>-0.91345675678533667</v>
      </c>
      <c r="R84" s="30">
        <f t="shared" si="23"/>
        <v>-2.8804368385908532</v>
      </c>
      <c r="S84" s="31">
        <f t="shared" si="24"/>
        <v>-0.86462146999919298</v>
      </c>
    </row>
    <row r="85" spans="1:19" x14ac:dyDescent="0.25">
      <c r="A85" s="270" t="s">
        <v>278</v>
      </c>
      <c r="B85" s="24">
        <v>7300.8626506000001</v>
      </c>
      <c r="C85" s="24">
        <v>860.79420661000006</v>
      </c>
      <c r="D85" s="24">
        <v>7185.8626505999991</v>
      </c>
      <c r="E85" s="24"/>
      <c r="F85" s="24"/>
      <c r="G85" s="24"/>
      <c r="H85" s="24">
        <v>7010.7091977199998</v>
      </c>
      <c r="I85" s="24">
        <v>201.19305535000001</v>
      </c>
      <c r="J85" s="24">
        <v>7010.7091977199998</v>
      </c>
      <c r="K85" s="24"/>
      <c r="L85" s="24"/>
      <c r="M85" s="24"/>
      <c r="N85" s="24">
        <f t="shared" si="19"/>
        <v>-290.15345288000026</v>
      </c>
      <c r="O85" s="24">
        <f t="shared" si="20"/>
        <v>-659.60115126000005</v>
      </c>
      <c r="P85" s="24">
        <f t="shared" si="21"/>
        <v>-175.15345287999935</v>
      </c>
      <c r="Q85" s="24">
        <f t="shared" si="22"/>
        <v>-3.974235193373417</v>
      </c>
      <c r="R85" s="24">
        <f t="shared" si="23"/>
        <v>-76.627043513414989</v>
      </c>
      <c r="S85" s="26">
        <f t="shared" si="24"/>
        <v>-2.437472874121454</v>
      </c>
    </row>
    <row r="86" spans="1:19" x14ac:dyDescent="0.25">
      <c r="A86" s="270" t="s">
        <v>279</v>
      </c>
      <c r="B86" s="24">
        <v>13899.053030680001</v>
      </c>
      <c r="C86" s="24">
        <v>13616.83205044</v>
      </c>
      <c r="D86" s="24">
        <v>12141.40185683</v>
      </c>
      <c r="E86" s="24"/>
      <c r="F86" s="24"/>
      <c r="G86" s="24"/>
      <c r="H86" s="24">
        <v>13945.9380274</v>
      </c>
      <c r="I86" s="24">
        <v>13794.93263137</v>
      </c>
      <c r="J86" s="24">
        <v>12132.387723960001</v>
      </c>
      <c r="K86" s="24"/>
      <c r="L86" s="24"/>
      <c r="M86" s="24"/>
      <c r="N86" s="24">
        <f t="shared" si="19"/>
        <v>46.884996719998526</v>
      </c>
      <c r="O86" s="24">
        <f t="shared" si="20"/>
        <v>178.10058093000043</v>
      </c>
      <c r="P86" s="24">
        <f t="shared" si="21"/>
        <v>-9.01413286999923</v>
      </c>
      <c r="Q86" s="24">
        <f t="shared" si="22"/>
        <v>0.33732511572198121</v>
      </c>
      <c r="R86" s="24">
        <f t="shared" si="23"/>
        <v>1.3079443167858358</v>
      </c>
      <c r="S86" s="26">
        <f t="shared" si="24"/>
        <v>-7.4242933199087702E-2</v>
      </c>
    </row>
    <row r="87" spans="1:19" x14ac:dyDescent="0.25">
      <c r="A87" s="270" t="s">
        <v>280</v>
      </c>
      <c r="B87" s="24">
        <v>2252.7420699499999</v>
      </c>
      <c r="C87" s="24">
        <v>2252.7420699499999</v>
      </c>
      <c r="D87" s="24"/>
      <c r="E87" s="24"/>
      <c r="F87" s="24"/>
      <c r="G87" s="24"/>
      <c r="H87" s="24">
        <v>2219.8010266400001</v>
      </c>
      <c r="I87" s="24">
        <v>2219.8010266400001</v>
      </c>
      <c r="J87" s="24"/>
      <c r="K87" s="24"/>
      <c r="L87" s="24"/>
      <c r="M87" s="24"/>
      <c r="N87" s="24">
        <f t="shared" si="19"/>
        <v>-32.941043309999714</v>
      </c>
      <c r="O87" s="24">
        <f t="shared" si="20"/>
        <v>-32.941043309999714</v>
      </c>
      <c r="P87" s="24">
        <f t="shared" si="21"/>
        <v>0</v>
      </c>
      <c r="Q87" s="24">
        <f t="shared" si="22"/>
        <v>-1.4622643110993607</v>
      </c>
      <c r="R87" s="24">
        <f t="shared" si="23"/>
        <v>-1.4622643110993607</v>
      </c>
      <c r="S87" s="42" t="s">
        <v>64</v>
      </c>
    </row>
    <row r="88" spans="1:19" ht="26.4" x14ac:dyDescent="0.25">
      <c r="A88" s="270" t="s">
        <v>281</v>
      </c>
      <c r="B88" s="24">
        <v>113.4618632</v>
      </c>
      <c r="C88" s="24">
        <v>110.6691</v>
      </c>
      <c r="D88" s="24">
        <v>2.7927632</v>
      </c>
      <c r="E88" s="24"/>
      <c r="F88" s="24"/>
      <c r="G88" s="24"/>
      <c r="H88" s="24">
        <v>114.6208014</v>
      </c>
      <c r="I88" s="24">
        <v>111.63696822</v>
      </c>
      <c r="J88" s="24">
        <v>2.98383318</v>
      </c>
      <c r="K88" s="24"/>
      <c r="L88" s="24"/>
      <c r="M88" s="24"/>
      <c r="N88" s="24">
        <f t="shared" si="19"/>
        <v>1.1589382000000086</v>
      </c>
      <c r="O88" s="24">
        <f t="shared" si="20"/>
        <v>0.96786821999999972</v>
      </c>
      <c r="P88" s="24">
        <f t="shared" si="21"/>
        <v>0.19106997999999997</v>
      </c>
      <c r="Q88" s="24">
        <f t="shared" si="22"/>
        <v>1.0214341341787616</v>
      </c>
      <c r="R88" s="24">
        <f t="shared" si="23"/>
        <v>0.87456048707362299</v>
      </c>
      <c r="S88" s="26">
        <f t="shared" si="24"/>
        <v>6.841610488135899</v>
      </c>
    </row>
    <row r="89" spans="1:19" ht="26.4" x14ac:dyDescent="0.25">
      <c r="A89" s="270" t="s">
        <v>282</v>
      </c>
      <c r="B89" s="24">
        <v>587.17117478</v>
      </c>
      <c r="C89" s="24">
        <v>522.34057996000001</v>
      </c>
      <c r="D89" s="24">
        <v>304.59979662000006</v>
      </c>
      <c r="E89" s="24"/>
      <c r="F89" s="24"/>
      <c r="G89" s="24"/>
      <c r="H89" s="24">
        <v>612.91153262</v>
      </c>
      <c r="I89" s="24">
        <v>515.18607560999999</v>
      </c>
      <c r="J89" s="24">
        <v>294.08445454999998</v>
      </c>
      <c r="K89" s="24"/>
      <c r="L89" s="24"/>
      <c r="M89" s="24"/>
      <c r="N89" s="24">
        <f t="shared" si="19"/>
        <v>25.740357840000001</v>
      </c>
      <c r="O89" s="24">
        <f t="shared" si="20"/>
        <v>-7.1545043500000247</v>
      </c>
      <c r="P89" s="24">
        <f t="shared" si="21"/>
        <v>-10.515342070000088</v>
      </c>
      <c r="Q89" s="24">
        <f t="shared" si="22"/>
        <v>4.3837911235414992</v>
      </c>
      <c r="R89" s="24">
        <f t="shared" si="23"/>
        <v>-1.3697010388409581</v>
      </c>
      <c r="S89" s="26">
        <f t="shared" si="24"/>
        <v>-3.4521828926623925</v>
      </c>
    </row>
    <row r="90" spans="1:19" ht="26.4" x14ac:dyDescent="0.25">
      <c r="A90" s="270" t="s">
        <v>283</v>
      </c>
      <c r="B90" s="24">
        <v>4.8191102599999995</v>
      </c>
      <c r="C90" s="24">
        <v>4.8191102599999995</v>
      </c>
      <c r="D90" s="24"/>
      <c r="E90" s="24"/>
      <c r="F90" s="24"/>
      <c r="G90" s="24"/>
      <c r="H90" s="24">
        <v>4.4437794000000004</v>
      </c>
      <c r="I90" s="24">
        <v>4.4437794000000004</v>
      </c>
      <c r="J90" s="24"/>
      <c r="K90" s="24"/>
      <c r="L90" s="24"/>
      <c r="M90" s="24"/>
      <c r="N90" s="24">
        <f t="shared" si="19"/>
        <v>-0.37533085999999916</v>
      </c>
      <c r="O90" s="24">
        <f t="shared" si="20"/>
        <v>-0.37533085999999916</v>
      </c>
      <c r="P90" s="24">
        <f t="shared" si="21"/>
        <v>0</v>
      </c>
      <c r="Q90" s="24">
        <f t="shared" si="22"/>
        <v>-7.7883849870660384</v>
      </c>
      <c r="R90" s="24">
        <f t="shared" si="23"/>
        <v>-7.7883849870660384</v>
      </c>
      <c r="S90" s="42" t="s">
        <v>64</v>
      </c>
    </row>
    <row r="91" spans="1:19" x14ac:dyDescent="0.25">
      <c r="A91" s="270" t="s">
        <v>284</v>
      </c>
      <c r="B91" s="24">
        <v>775.16706390999991</v>
      </c>
      <c r="C91" s="24">
        <v>723.18980778999992</v>
      </c>
      <c r="D91" s="24">
        <v>493.50986575000002</v>
      </c>
      <c r="E91" s="24"/>
      <c r="F91" s="24"/>
      <c r="G91" s="24"/>
      <c r="H91" s="24">
        <v>797.09789508999995</v>
      </c>
      <c r="I91" s="24">
        <v>723.08241482000005</v>
      </c>
      <c r="J91" s="24">
        <v>513.96927076999998</v>
      </c>
      <c r="K91" s="24"/>
      <c r="L91" s="24"/>
      <c r="M91" s="24"/>
      <c r="N91" s="24">
        <f t="shared" si="19"/>
        <v>21.930831180000041</v>
      </c>
      <c r="O91" s="24">
        <f t="shared" si="20"/>
        <v>-0.10739296999986436</v>
      </c>
      <c r="P91" s="24">
        <f t="shared" si="21"/>
        <v>20.459405019999963</v>
      </c>
      <c r="Q91" s="24">
        <f t="shared" si="22"/>
        <v>2.8291747935444107</v>
      </c>
      <c r="R91" s="24">
        <f t="shared" si="23"/>
        <v>-1.4849900930997251E-2</v>
      </c>
      <c r="S91" s="26">
        <f t="shared" si="24"/>
        <v>4.1456932150499739</v>
      </c>
    </row>
    <row r="92" spans="1:19" x14ac:dyDescent="0.25">
      <c r="A92" s="101" t="s">
        <v>285</v>
      </c>
      <c r="B92" s="30">
        <f>SUM(B93:B94)</f>
        <v>2488.1388419800001</v>
      </c>
      <c r="C92" s="30">
        <f t="shared" ref="C92:J92" si="32">SUM(C93:C94)</f>
        <v>754.65090570000007</v>
      </c>
      <c r="D92" s="30">
        <f t="shared" si="32"/>
        <v>1759.7511630299998</v>
      </c>
      <c r="E92" s="30">
        <f t="shared" si="32"/>
        <v>0</v>
      </c>
      <c r="F92" s="30">
        <f t="shared" si="32"/>
        <v>0</v>
      </c>
      <c r="G92" s="30">
        <f t="shared" si="32"/>
        <v>0</v>
      </c>
      <c r="H92" s="30">
        <f t="shared" si="32"/>
        <v>2522.3958235200002</v>
      </c>
      <c r="I92" s="30">
        <f t="shared" si="32"/>
        <v>840.17377434999992</v>
      </c>
      <c r="J92" s="30">
        <f t="shared" si="32"/>
        <v>1754.2484321699999</v>
      </c>
      <c r="K92" s="30"/>
      <c r="L92" s="30"/>
      <c r="M92" s="30"/>
      <c r="N92" s="30">
        <f t="shared" si="19"/>
        <v>34.256981540000197</v>
      </c>
      <c r="O92" s="30">
        <f t="shared" si="20"/>
        <v>85.52286864999985</v>
      </c>
      <c r="P92" s="30">
        <f t="shared" si="21"/>
        <v>-5.5027308599999287</v>
      </c>
      <c r="Q92" s="30">
        <f t="shared" si="22"/>
        <v>1.376811493073248</v>
      </c>
      <c r="R92" s="30">
        <f t="shared" si="23"/>
        <v>11.332772279743097</v>
      </c>
      <c r="S92" s="31">
        <f t="shared" si="24"/>
        <v>-0.31269937338896625</v>
      </c>
    </row>
    <row r="93" spans="1:19" x14ac:dyDescent="0.25">
      <c r="A93" s="270" t="s">
        <v>286</v>
      </c>
      <c r="B93" s="24">
        <v>2375.1438060700002</v>
      </c>
      <c r="C93" s="24">
        <v>721.51847912000005</v>
      </c>
      <c r="D93" s="24">
        <v>1679.8885536999999</v>
      </c>
      <c r="E93" s="24"/>
      <c r="F93" s="24"/>
      <c r="G93" s="24"/>
      <c r="H93" s="24">
        <v>2397.2520466800001</v>
      </c>
      <c r="I93" s="24">
        <v>795.86861798999996</v>
      </c>
      <c r="J93" s="24">
        <v>1673.40981169</v>
      </c>
      <c r="K93" s="24"/>
      <c r="L93" s="24"/>
      <c r="M93" s="24"/>
      <c r="N93" s="24">
        <f t="shared" si="19"/>
        <v>22.108240609999939</v>
      </c>
      <c r="O93" s="24">
        <f t="shared" si="20"/>
        <v>74.35013886999991</v>
      </c>
      <c r="P93" s="24">
        <f t="shared" si="21"/>
        <v>-6.4787420099999053</v>
      </c>
      <c r="Q93" s="24">
        <f t="shared" si="22"/>
        <v>0.93081692794766013</v>
      </c>
      <c r="R93" s="24">
        <f t="shared" si="23"/>
        <v>10.304675628083857</v>
      </c>
      <c r="S93" s="26">
        <f t="shared" si="24"/>
        <v>-0.38566498924767245</v>
      </c>
    </row>
    <row r="94" spans="1:19" ht="26.4" x14ac:dyDescent="0.25">
      <c r="A94" s="270" t="s">
        <v>287</v>
      </c>
      <c r="B94" s="24">
        <v>112.99503591</v>
      </c>
      <c r="C94" s="24">
        <v>33.132426580000001</v>
      </c>
      <c r="D94" s="24">
        <v>79.862609329999998</v>
      </c>
      <c r="E94" s="24"/>
      <c r="F94" s="24"/>
      <c r="G94" s="24"/>
      <c r="H94" s="24">
        <v>125.14377684</v>
      </c>
      <c r="I94" s="24">
        <v>44.305156359999998</v>
      </c>
      <c r="J94" s="24">
        <v>80.838620480000003</v>
      </c>
      <c r="K94" s="24"/>
      <c r="L94" s="24"/>
      <c r="M94" s="24"/>
      <c r="N94" s="24">
        <f t="shared" si="19"/>
        <v>12.148740930000002</v>
      </c>
      <c r="O94" s="24">
        <f t="shared" si="20"/>
        <v>11.172729779999997</v>
      </c>
      <c r="P94" s="24">
        <f t="shared" si="21"/>
        <v>0.97601115000000505</v>
      </c>
      <c r="Q94" s="24">
        <f t="shared" si="22"/>
        <v>10.751570484632992</v>
      </c>
      <c r="R94" s="24">
        <f t="shared" si="23"/>
        <v>33.721435262288594</v>
      </c>
      <c r="S94" s="26">
        <f t="shared" si="24"/>
        <v>1.2221127736598589</v>
      </c>
    </row>
    <row r="95" spans="1:19" x14ac:dyDescent="0.25">
      <c r="A95" s="101" t="s">
        <v>288</v>
      </c>
      <c r="B95" s="30">
        <f>SUM(B96:B102)</f>
        <v>13969.248195910001</v>
      </c>
      <c r="C95" s="30">
        <f t="shared" ref="C95:J95" si="33">SUM(C96:C102)</f>
        <v>13968.58704106</v>
      </c>
      <c r="D95" s="30">
        <f t="shared" si="33"/>
        <v>0.66115484999999996</v>
      </c>
      <c r="E95" s="30">
        <f t="shared" si="33"/>
        <v>0</v>
      </c>
      <c r="F95" s="30">
        <f t="shared" si="33"/>
        <v>0</v>
      </c>
      <c r="G95" s="30">
        <f t="shared" si="33"/>
        <v>0</v>
      </c>
      <c r="H95" s="30">
        <f t="shared" si="33"/>
        <v>12541.454742710001</v>
      </c>
      <c r="I95" s="30">
        <f t="shared" si="33"/>
        <v>12541.335527249999</v>
      </c>
      <c r="J95" s="30">
        <f t="shared" si="33"/>
        <v>0.11921546</v>
      </c>
      <c r="K95" s="30"/>
      <c r="L95" s="30"/>
      <c r="M95" s="30"/>
      <c r="N95" s="30">
        <f t="shared" si="19"/>
        <v>-1427.7934531999999</v>
      </c>
      <c r="O95" s="30">
        <f t="shared" si="20"/>
        <v>-1427.2515138100007</v>
      </c>
      <c r="P95" s="30">
        <f t="shared" si="21"/>
        <v>-0.54193939000000002</v>
      </c>
      <c r="Q95" s="30">
        <f t="shared" si="22"/>
        <v>-10.220975625717912</v>
      </c>
      <c r="R95" s="30">
        <f t="shared" si="23"/>
        <v>-10.21757969946897</v>
      </c>
      <c r="S95" s="31">
        <f t="shared" si="24"/>
        <v>-81.968602362971396</v>
      </c>
    </row>
    <row r="96" spans="1:19" x14ac:dyDescent="0.25">
      <c r="A96" s="270" t="s">
        <v>289</v>
      </c>
      <c r="B96" s="24">
        <v>3782.7955340100002</v>
      </c>
      <c r="C96" s="24">
        <v>3782.7955340100002</v>
      </c>
      <c r="D96" s="24"/>
      <c r="E96" s="24"/>
      <c r="F96" s="24"/>
      <c r="G96" s="24"/>
      <c r="H96" s="24">
        <v>2324.1688383699998</v>
      </c>
      <c r="I96" s="24">
        <v>2324.1688383699998</v>
      </c>
      <c r="J96" s="24"/>
      <c r="K96" s="24"/>
      <c r="L96" s="24"/>
      <c r="M96" s="24"/>
      <c r="N96" s="24">
        <f t="shared" si="19"/>
        <v>-1458.6266956400004</v>
      </c>
      <c r="O96" s="24">
        <f t="shared" si="20"/>
        <v>-1458.6266956400004</v>
      </c>
      <c r="P96" s="24">
        <f t="shared" si="21"/>
        <v>0</v>
      </c>
      <c r="Q96" s="24">
        <f t="shared" si="22"/>
        <v>-38.559490792614028</v>
      </c>
      <c r="R96" s="24">
        <f t="shared" si="23"/>
        <v>-38.559490792614028</v>
      </c>
      <c r="S96" s="42" t="s">
        <v>64</v>
      </c>
    </row>
    <row r="97" spans="1:19" x14ac:dyDescent="0.25">
      <c r="A97" s="270" t="s">
        <v>290</v>
      </c>
      <c r="B97" s="24">
        <v>184.8143493</v>
      </c>
      <c r="C97" s="24">
        <v>184.8143493</v>
      </c>
      <c r="D97" s="24"/>
      <c r="E97" s="24"/>
      <c r="F97" s="24"/>
      <c r="G97" s="24"/>
      <c r="H97" s="24">
        <v>1222.2427270000001</v>
      </c>
      <c r="I97" s="24">
        <v>1222.2427270000001</v>
      </c>
      <c r="J97" s="24"/>
      <c r="K97" s="24"/>
      <c r="L97" s="24"/>
      <c r="M97" s="24"/>
      <c r="N97" s="24">
        <f t="shared" si="19"/>
        <v>1037.4283777000001</v>
      </c>
      <c r="O97" s="24">
        <f t="shared" si="20"/>
        <v>1037.4283777000001</v>
      </c>
      <c r="P97" s="24">
        <f t="shared" si="21"/>
        <v>0</v>
      </c>
      <c r="Q97" s="297" t="s">
        <v>349</v>
      </c>
      <c r="R97" s="297" t="s">
        <v>349</v>
      </c>
      <c r="S97" s="42" t="s">
        <v>64</v>
      </c>
    </row>
    <row r="98" spans="1:19" x14ac:dyDescent="0.25">
      <c r="A98" s="270" t="s">
        <v>291</v>
      </c>
      <c r="B98" s="24"/>
      <c r="C98" s="24"/>
      <c r="D98" s="24"/>
      <c r="E98" s="24"/>
      <c r="F98" s="24"/>
      <c r="G98" s="24"/>
      <c r="H98" s="24">
        <v>73.365767000000005</v>
      </c>
      <c r="I98" s="24">
        <v>73.365767000000005</v>
      </c>
      <c r="J98" s="24"/>
      <c r="K98" s="24"/>
      <c r="L98" s="24"/>
      <c r="M98" s="24"/>
      <c r="N98" s="24">
        <f t="shared" si="19"/>
        <v>73.365767000000005</v>
      </c>
      <c r="O98" s="24">
        <f t="shared" si="20"/>
        <v>73.365767000000005</v>
      </c>
      <c r="P98" s="24">
        <f t="shared" si="21"/>
        <v>0</v>
      </c>
      <c r="Q98" s="47" t="s">
        <v>64</v>
      </c>
      <c r="R98" s="47" t="s">
        <v>64</v>
      </c>
      <c r="S98" s="42" t="s">
        <v>64</v>
      </c>
    </row>
    <row r="99" spans="1:19" x14ac:dyDescent="0.25">
      <c r="A99" s="270" t="s">
        <v>292</v>
      </c>
      <c r="B99" s="24">
        <v>150.0797</v>
      </c>
      <c r="C99" s="24">
        <v>150.0797</v>
      </c>
      <c r="D99" s="24"/>
      <c r="E99" s="24"/>
      <c r="F99" s="24"/>
      <c r="G99" s="24"/>
      <c r="H99" s="24">
        <v>153.67850000000001</v>
      </c>
      <c r="I99" s="24">
        <v>153.67850000000001</v>
      </c>
      <c r="J99" s="24"/>
      <c r="K99" s="24"/>
      <c r="L99" s="24"/>
      <c r="M99" s="24"/>
      <c r="N99" s="24">
        <f t="shared" si="19"/>
        <v>3.5988000000000113</v>
      </c>
      <c r="O99" s="24">
        <f t="shared" si="20"/>
        <v>3.5988000000000113</v>
      </c>
      <c r="P99" s="24">
        <f t="shared" si="21"/>
        <v>0</v>
      </c>
      <c r="Q99" s="24">
        <f t="shared" si="22"/>
        <v>2.3979259020374002</v>
      </c>
      <c r="R99" s="24">
        <f t="shared" si="23"/>
        <v>2.3979259020374002</v>
      </c>
      <c r="S99" s="42" t="s">
        <v>64</v>
      </c>
    </row>
    <row r="100" spans="1:19" ht="39.6" x14ac:dyDescent="0.25">
      <c r="A100" s="270" t="s">
        <v>293</v>
      </c>
      <c r="B100" s="24">
        <v>124.5227</v>
      </c>
      <c r="C100" s="24">
        <v>124.5227</v>
      </c>
      <c r="D100" s="24"/>
      <c r="E100" s="24"/>
      <c r="F100" s="24"/>
      <c r="G100" s="24"/>
      <c r="H100" s="24">
        <v>122.1302</v>
      </c>
      <c r="I100" s="24">
        <v>122.1302</v>
      </c>
      <c r="J100" s="24"/>
      <c r="K100" s="24"/>
      <c r="L100" s="24"/>
      <c r="M100" s="24"/>
      <c r="N100" s="24">
        <f t="shared" si="19"/>
        <v>-2.3924999999999983</v>
      </c>
      <c r="O100" s="24">
        <f t="shared" si="20"/>
        <v>-2.3924999999999983</v>
      </c>
      <c r="P100" s="24">
        <f t="shared" si="21"/>
        <v>0</v>
      </c>
      <c r="Q100" s="24">
        <f t="shared" si="22"/>
        <v>-1.9213364310282373</v>
      </c>
      <c r="R100" s="24">
        <f t="shared" si="23"/>
        <v>-1.9213364310282373</v>
      </c>
      <c r="S100" s="42" t="s">
        <v>64</v>
      </c>
    </row>
    <row r="101" spans="1:19" ht="26.4" x14ac:dyDescent="0.25">
      <c r="A101" s="270" t="s">
        <v>315</v>
      </c>
      <c r="B101" s="24">
        <v>3.5000000000000003E-2</v>
      </c>
      <c r="C101" s="24"/>
      <c r="D101" s="24">
        <v>3.5000000000000003E-2</v>
      </c>
      <c r="E101" s="24"/>
      <c r="F101" s="24"/>
      <c r="G101" s="24"/>
      <c r="H101" s="24"/>
      <c r="I101" s="24"/>
      <c r="J101" s="24"/>
      <c r="K101" s="24"/>
      <c r="L101" s="24"/>
      <c r="M101" s="24"/>
      <c r="N101" s="24">
        <f t="shared" ref="N101" si="34">H101-B101</f>
        <v>-3.5000000000000003E-2</v>
      </c>
      <c r="O101" s="24">
        <f t="shared" ref="O101" si="35">I101-C101</f>
        <v>0</v>
      </c>
      <c r="P101" s="24">
        <f t="shared" ref="P101" si="36">J101-D101</f>
        <v>-3.5000000000000003E-2</v>
      </c>
      <c r="Q101" s="24">
        <f t="shared" ref="Q101" si="37">H101/B101%-100</f>
        <v>-100</v>
      </c>
      <c r="R101" s="47" t="s">
        <v>64</v>
      </c>
      <c r="S101" s="26">
        <f t="shared" ref="S101" si="38">J101/D101%-100</f>
        <v>-100</v>
      </c>
    </row>
    <row r="102" spans="1:19" ht="14.25" customHeight="1" x14ac:dyDescent="0.25">
      <c r="A102" s="270" t="s">
        <v>294</v>
      </c>
      <c r="B102" s="24">
        <v>9727.0009126000004</v>
      </c>
      <c r="C102" s="24">
        <v>9726.3747577499998</v>
      </c>
      <c r="D102" s="24">
        <v>0.62615484999999993</v>
      </c>
      <c r="E102" s="24"/>
      <c r="F102" s="24"/>
      <c r="G102" s="24"/>
      <c r="H102" s="24">
        <v>8645.8687103400007</v>
      </c>
      <c r="I102" s="24">
        <v>8645.7494948799995</v>
      </c>
      <c r="J102" s="24">
        <v>0.11921546</v>
      </c>
      <c r="K102" s="24"/>
      <c r="L102" s="24"/>
      <c r="M102" s="24"/>
      <c r="N102" s="24">
        <f t="shared" si="19"/>
        <v>-1081.1322022599998</v>
      </c>
      <c r="O102" s="24">
        <f t="shared" si="20"/>
        <v>-1080.6252628700004</v>
      </c>
      <c r="P102" s="24">
        <f t="shared" si="21"/>
        <v>-0.50693938999999988</v>
      </c>
      <c r="Q102" s="24">
        <f t="shared" si="22"/>
        <v>-11.114753786642922</v>
      </c>
      <c r="R102" s="24">
        <f t="shared" si="23"/>
        <v>-11.110257313589074</v>
      </c>
      <c r="S102" s="26">
        <f t="shared" si="24"/>
        <v>-80.960706445059074</v>
      </c>
    </row>
    <row r="103" spans="1:19" x14ac:dyDescent="0.25">
      <c r="A103" s="101" t="s">
        <v>295</v>
      </c>
      <c r="B103" s="30">
        <f>SUM(B104:B108)</f>
        <v>12536.497507209999</v>
      </c>
      <c r="C103" s="30">
        <f t="shared" ref="C103:J103" si="39">SUM(C104:C108)</f>
        <v>12078.512439820001</v>
      </c>
      <c r="D103" s="30">
        <f t="shared" si="39"/>
        <v>1889.55287761</v>
      </c>
      <c r="E103" s="30">
        <f t="shared" si="39"/>
        <v>0</v>
      </c>
      <c r="F103" s="30">
        <f t="shared" si="39"/>
        <v>0</v>
      </c>
      <c r="G103" s="30">
        <f t="shared" si="39"/>
        <v>0</v>
      </c>
      <c r="H103" s="30">
        <f t="shared" si="39"/>
        <v>13322.668742750002</v>
      </c>
      <c r="I103" s="30">
        <f t="shared" si="39"/>
        <v>12574.236574320001</v>
      </c>
      <c r="J103" s="30">
        <f t="shared" si="39"/>
        <v>2175.31158499</v>
      </c>
      <c r="K103" s="30"/>
      <c r="L103" s="30"/>
      <c r="M103" s="30"/>
      <c r="N103" s="30">
        <f t="shared" si="19"/>
        <v>786.17123554000318</v>
      </c>
      <c r="O103" s="30">
        <f t="shared" si="20"/>
        <v>495.72413450000022</v>
      </c>
      <c r="P103" s="30">
        <f t="shared" si="21"/>
        <v>285.75870738000003</v>
      </c>
      <c r="Q103" s="30">
        <f t="shared" si="22"/>
        <v>6.2710596407637809</v>
      </c>
      <c r="R103" s="30">
        <f t="shared" si="23"/>
        <v>4.1041820089178742</v>
      </c>
      <c r="S103" s="31">
        <f t="shared" si="24"/>
        <v>15.123086036176019</v>
      </c>
    </row>
    <row r="104" spans="1:19" x14ac:dyDescent="0.25">
      <c r="A104" s="270" t="s">
        <v>296</v>
      </c>
      <c r="B104" s="24">
        <v>120.54003231</v>
      </c>
      <c r="C104" s="24">
        <v>46.395940439999997</v>
      </c>
      <c r="D104" s="24">
        <v>74.144091870000011</v>
      </c>
      <c r="E104" s="24"/>
      <c r="F104" s="24"/>
      <c r="G104" s="24"/>
      <c r="H104" s="24">
        <v>147.44370863</v>
      </c>
      <c r="I104" s="24">
        <v>54.840919419999999</v>
      </c>
      <c r="J104" s="24">
        <v>92.602789209999997</v>
      </c>
      <c r="K104" s="24"/>
      <c r="L104" s="24"/>
      <c r="M104" s="24"/>
      <c r="N104" s="24">
        <f t="shared" si="19"/>
        <v>26.903676320000002</v>
      </c>
      <c r="O104" s="24">
        <f t="shared" si="20"/>
        <v>8.4449789800000019</v>
      </c>
      <c r="P104" s="24">
        <f t="shared" si="21"/>
        <v>18.458697339999986</v>
      </c>
      <c r="Q104" s="24">
        <f t="shared" si="22"/>
        <v>22.319287463612255</v>
      </c>
      <c r="R104" s="24">
        <f t="shared" si="23"/>
        <v>18.201978233249079</v>
      </c>
      <c r="S104" s="26">
        <f t="shared" si="24"/>
        <v>24.8957089829415</v>
      </c>
    </row>
    <row r="105" spans="1:19" x14ac:dyDescent="0.25">
      <c r="A105" s="270" t="s">
        <v>297</v>
      </c>
      <c r="B105" s="24">
        <v>2144.01389462</v>
      </c>
      <c r="C105" s="24">
        <v>2028.2773384300001</v>
      </c>
      <c r="D105" s="24">
        <v>115.73655619</v>
      </c>
      <c r="E105" s="24"/>
      <c r="F105" s="24"/>
      <c r="G105" s="24"/>
      <c r="H105" s="24">
        <v>2097.1695185600001</v>
      </c>
      <c r="I105" s="24">
        <v>2097.06851856</v>
      </c>
      <c r="J105" s="24">
        <v>0.10100000000000001</v>
      </c>
      <c r="K105" s="24"/>
      <c r="L105" s="24"/>
      <c r="M105" s="24"/>
      <c r="N105" s="24">
        <f t="shared" si="19"/>
        <v>-46.844376059999831</v>
      </c>
      <c r="O105" s="24">
        <f t="shared" si="20"/>
        <v>68.79118012999993</v>
      </c>
      <c r="P105" s="24">
        <f t="shared" si="21"/>
        <v>-115.63555619</v>
      </c>
      <c r="Q105" s="24">
        <f t="shared" si="22"/>
        <v>-2.1848914401882951</v>
      </c>
      <c r="R105" s="24">
        <f t="shared" si="23"/>
        <v>3.3916062082145118</v>
      </c>
      <c r="S105" s="26">
        <f t="shared" si="24"/>
        <v>-99.912732844898031</v>
      </c>
    </row>
    <row r="106" spans="1:19" x14ac:dyDescent="0.25">
      <c r="A106" s="270" t="s">
        <v>298</v>
      </c>
      <c r="B106" s="24">
        <v>8983.9555537000015</v>
      </c>
      <c r="C106" s="24">
        <v>8806.6966215200009</v>
      </c>
      <c r="D106" s="24">
        <v>914.13903677999997</v>
      </c>
      <c r="E106" s="24"/>
      <c r="F106" s="24"/>
      <c r="G106" s="24"/>
      <c r="H106" s="24">
        <v>8192.5885612500006</v>
      </c>
      <c r="I106" s="24">
        <v>7608.2038018599997</v>
      </c>
      <c r="J106" s="24">
        <v>1277.66450384</v>
      </c>
      <c r="K106" s="24"/>
      <c r="L106" s="24"/>
      <c r="M106" s="24"/>
      <c r="N106" s="24">
        <f t="shared" si="19"/>
        <v>-791.36699245000091</v>
      </c>
      <c r="O106" s="24">
        <f t="shared" si="20"/>
        <v>-1198.4928196600013</v>
      </c>
      <c r="P106" s="24">
        <f t="shared" si="21"/>
        <v>363.52546705999998</v>
      </c>
      <c r="Q106" s="24">
        <f t="shared" si="22"/>
        <v>-8.8086699418729779</v>
      </c>
      <c r="R106" s="24">
        <f t="shared" si="23"/>
        <v>-13.608880504994005</v>
      </c>
      <c r="S106" s="26">
        <f t="shared" si="24"/>
        <v>39.766977717142083</v>
      </c>
    </row>
    <row r="107" spans="1:19" x14ac:dyDescent="0.25">
      <c r="A107" s="270" t="s">
        <v>299</v>
      </c>
      <c r="B107" s="24">
        <v>1047.70818323</v>
      </c>
      <c r="C107" s="24">
        <v>1021.50050351</v>
      </c>
      <c r="D107" s="24">
        <v>576.06366346999994</v>
      </c>
      <c r="E107" s="24"/>
      <c r="F107" s="24"/>
      <c r="G107" s="24"/>
      <c r="H107" s="24">
        <v>2650.4227689499999</v>
      </c>
      <c r="I107" s="24">
        <v>2638.6649220700001</v>
      </c>
      <c r="J107" s="24">
        <v>600.39621767000006</v>
      </c>
      <c r="K107" s="24"/>
      <c r="L107" s="24"/>
      <c r="M107" s="24"/>
      <c r="N107" s="24">
        <f t="shared" si="19"/>
        <v>1602.7145857199998</v>
      </c>
      <c r="O107" s="24">
        <f t="shared" si="20"/>
        <v>1617.1644185600001</v>
      </c>
      <c r="P107" s="24">
        <f t="shared" si="21"/>
        <v>24.332554200000118</v>
      </c>
      <c r="Q107" s="24">
        <f t="shared" si="22"/>
        <v>152.9733766876727</v>
      </c>
      <c r="R107" s="24">
        <f t="shared" si="23"/>
        <v>158.31264037592013</v>
      </c>
      <c r="S107" s="26">
        <f t="shared" si="24"/>
        <v>4.2239349125806029</v>
      </c>
    </row>
    <row r="108" spans="1:19" ht="26.4" x14ac:dyDescent="0.25">
      <c r="A108" s="270" t="s">
        <v>300</v>
      </c>
      <c r="B108" s="24">
        <v>240.27984334999999</v>
      </c>
      <c r="C108" s="24">
        <v>175.64203591999998</v>
      </c>
      <c r="D108" s="24">
        <v>209.4695293</v>
      </c>
      <c r="E108" s="24"/>
      <c r="F108" s="24"/>
      <c r="G108" s="24"/>
      <c r="H108" s="24">
        <v>235.04418536</v>
      </c>
      <c r="I108" s="24">
        <v>175.45841240999999</v>
      </c>
      <c r="J108" s="24">
        <v>204.54707427</v>
      </c>
      <c r="K108" s="24"/>
      <c r="L108" s="24"/>
      <c r="M108" s="24"/>
      <c r="N108" s="24">
        <f t="shared" si="19"/>
        <v>-5.2356579899999929</v>
      </c>
      <c r="O108" s="24">
        <f t="shared" si="20"/>
        <v>-0.18362350999998966</v>
      </c>
      <c r="P108" s="24">
        <f t="shared" si="21"/>
        <v>-4.9224550300000089</v>
      </c>
      <c r="Q108" s="24">
        <f t="shared" si="22"/>
        <v>-2.1789834373970223</v>
      </c>
      <c r="R108" s="24">
        <f t="shared" si="23"/>
        <v>-0.10454417078359768</v>
      </c>
      <c r="S108" s="26">
        <f t="shared" si="24"/>
        <v>-2.3499623293420058</v>
      </c>
    </row>
    <row r="109" spans="1:19" x14ac:dyDescent="0.25">
      <c r="A109" s="101" t="s">
        <v>301</v>
      </c>
      <c r="B109" s="30">
        <f>SUM(B110:B113)</f>
        <v>735.28522615999987</v>
      </c>
      <c r="C109" s="30">
        <f t="shared" ref="C109:J109" si="40">SUM(C110:C113)</f>
        <v>609.92797726999993</v>
      </c>
      <c r="D109" s="30">
        <f t="shared" si="40"/>
        <v>314.7082927300001</v>
      </c>
      <c r="E109" s="30">
        <f t="shared" si="40"/>
        <v>0</v>
      </c>
      <c r="F109" s="30">
        <f t="shared" si="40"/>
        <v>0</v>
      </c>
      <c r="G109" s="30">
        <f t="shared" si="40"/>
        <v>0</v>
      </c>
      <c r="H109" s="30">
        <f t="shared" si="40"/>
        <v>689.67210563000003</v>
      </c>
      <c r="I109" s="30">
        <f>SUM(I110:I113)</f>
        <v>590.62356133000003</v>
      </c>
      <c r="J109" s="30">
        <f t="shared" si="40"/>
        <v>163.51143654000001</v>
      </c>
      <c r="K109" s="30"/>
      <c r="L109" s="30"/>
      <c r="M109" s="30"/>
      <c r="N109" s="30">
        <f t="shared" si="19"/>
        <v>-45.613120529999833</v>
      </c>
      <c r="O109" s="30">
        <f t="shared" si="20"/>
        <v>-19.304415939999899</v>
      </c>
      <c r="P109" s="30">
        <f t="shared" si="21"/>
        <v>-151.19685619000009</v>
      </c>
      <c r="Q109" s="30">
        <f t="shared" si="22"/>
        <v>-6.2034594069314721</v>
      </c>
      <c r="R109" s="30">
        <f t="shared" si="23"/>
        <v>-3.1650320463090225</v>
      </c>
      <c r="S109" s="31">
        <f t="shared" si="24"/>
        <v>-48.043492873483785</v>
      </c>
    </row>
    <row r="110" spans="1:19" x14ac:dyDescent="0.25">
      <c r="A110" s="270" t="s">
        <v>302</v>
      </c>
      <c r="B110" s="24">
        <v>8.4228408399999992</v>
      </c>
      <c r="C110" s="24"/>
      <c r="D110" s="24">
        <v>8.422840840000001</v>
      </c>
      <c r="E110" s="24"/>
      <c r="F110" s="24"/>
      <c r="G110" s="24"/>
      <c r="H110" s="24">
        <v>7.7399228500000001</v>
      </c>
      <c r="I110" s="24"/>
      <c r="J110" s="24">
        <v>7.7399228500000001</v>
      </c>
      <c r="K110" s="24"/>
      <c r="L110" s="24"/>
      <c r="M110" s="24"/>
      <c r="N110" s="24">
        <f t="shared" si="19"/>
        <v>-0.68291798999999909</v>
      </c>
      <c r="O110" s="24">
        <f t="shared" si="20"/>
        <v>0</v>
      </c>
      <c r="P110" s="24">
        <f t="shared" si="21"/>
        <v>-0.68291799000000086</v>
      </c>
      <c r="Q110" s="24">
        <f t="shared" si="22"/>
        <v>-8.1079294144658149</v>
      </c>
      <c r="R110" s="47" t="s">
        <v>64</v>
      </c>
      <c r="S110" s="26">
        <f t="shared" si="24"/>
        <v>-8.1079294144658292</v>
      </c>
    </row>
    <row r="111" spans="1:19" x14ac:dyDescent="0.25">
      <c r="A111" s="270" t="s">
        <v>303</v>
      </c>
      <c r="B111" s="24">
        <v>340.41358157999997</v>
      </c>
      <c r="C111" s="24">
        <v>233.03521412000001</v>
      </c>
      <c r="D111" s="24">
        <v>294.60896885000005</v>
      </c>
      <c r="E111" s="24"/>
      <c r="F111" s="24"/>
      <c r="G111" s="24"/>
      <c r="H111" s="24">
        <v>292.83836024999999</v>
      </c>
      <c r="I111" s="24">
        <v>212.52416123</v>
      </c>
      <c r="J111" s="24">
        <v>144.16885126</v>
      </c>
      <c r="K111" s="24"/>
      <c r="L111" s="24"/>
      <c r="M111" s="24"/>
      <c r="N111" s="24">
        <f t="shared" si="19"/>
        <v>-47.575221329999977</v>
      </c>
      <c r="O111" s="24">
        <f t="shared" si="20"/>
        <v>-20.511052890000002</v>
      </c>
      <c r="P111" s="24">
        <f t="shared" si="21"/>
        <v>-150.44011759000006</v>
      </c>
      <c r="Q111" s="24">
        <f t="shared" si="22"/>
        <v>-13.975711870596854</v>
      </c>
      <c r="R111" s="24">
        <f t="shared" si="23"/>
        <v>-8.8016967596313407</v>
      </c>
      <c r="S111" s="26">
        <f t="shared" si="24"/>
        <v>-51.064337306919036</v>
      </c>
    </row>
    <row r="112" spans="1:19" x14ac:dyDescent="0.25">
      <c r="A112" s="270" t="s">
        <v>304</v>
      </c>
      <c r="B112" s="24">
        <v>376.51532610999999</v>
      </c>
      <c r="C112" s="24">
        <v>376.89276314999995</v>
      </c>
      <c r="D112" s="24">
        <v>1.7430054100000001</v>
      </c>
      <c r="E112" s="24"/>
      <c r="F112" s="24"/>
      <c r="G112" s="24"/>
      <c r="H112" s="24">
        <v>378.35976690000001</v>
      </c>
      <c r="I112" s="24">
        <v>378.09940010000003</v>
      </c>
      <c r="J112" s="24">
        <v>0.86860680000000001</v>
      </c>
      <c r="K112" s="24"/>
      <c r="L112" s="24"/>
      <c r="M112" s="24"/>
      <c r="N112" s="24">
        <f t="shared" si="19"/>
        <v>1.8444407900000215</v>
      </c>
      <c r="O112" s="24">
        <f t="shared" si="20"/>
        <v>1.2066369500000746</v>
      </c>
      <c r="P112" s="24">
        <f t="shared" si="21"/>
        <v>-0.87439861000000008</v>
      </c>
      <c r="Q112" s="24">
        <f t="shared" si="22"/>
        <v>0.48987137098933431</v>
      </c>
      <c r="R112" s="24">
        <f t="shared" si="23"/>
        <v>0.32015391856167241</v>
      </c>
      <c r="S112" s="26">
        <f t="shared" si="24"/>
        <v>-50.166144349488853</v>
      </c>
    </row>
    <row r="113" spans="1:19" ht="26.4" x14ac:dyDescent="0.25">
      <c r="A113" s="270" t="s">
        <v>305</v>
      </c>
      <c r="B113" s="24">
        <v>9.9334776300000005</v>
      </c>
      <c r="C113" s="24"/>
      <c r="D113" s="24">
        <v>9.9334776300000005</v>
      </c>
      <c r="E113" s="24"/>
      <c r="F113" s="24"/>
      <c r="G113" s="24"/>
      <c r="H113" s="24">
        <v>10.73405563</v>
      </c>
      <c r="I113" s="24"/>
      <c r="J113" s="24">
        <v>10.73405563</v>
      </c>
      <c r="K113" s="24"/>
      <c r="L113" s="24"/>
      <c r="M113" s="24"/>
      <c r="N113" s="24">
        <f t="shared" si="19"/>
        <v>0.80057799999999979</v>
      </c>
      <c r="O113" s="24">
        <f t="shared" si="20"/>
        <v>0</v>
      </c>
      <c r="P113" s="24">
        <f t="shared" si="21"/>
        <v>0.80057799999999979</v>
      </c>
      <c r="Q113" s="24">
        <f t="shared" si="22"/>
        <v>8.0593929922606549</v>
      </c>
      <c r="R113" s="47" t="s">
        <v>64</v>
      </c>
      <c r="S113" s="26">
        <f t="shared" si="24"/>
        <v>8.0593929922606549</v>
      </c>
    </row>
    <row r="114" spans="1:19" x14ac:dyDescent="0.25">
      <c r="A114" s="101" t="s">
        <v>306</v>
      </c>
      <c r="B114" s="30">
        <f>SUM(B115:B117)</f>
        <v>115.38270308</v>
      </c>
      <c r="C114" s="30">
        <f t="shared" ref="C114:J114" si="41">SUM(C115:C117)</f>
        <v>89.65492759</v>
      </c>
      <c r="D114" s="30">
        <f t="shared" si="41"/>
        <v>25.727775489999999</v>
      </c>
      <c r="E114" s="30">
        <f t="shared" si="41"/>
        <v>0</v>
      </c>
      <c r="F114" s="30">
        <f t="shared" si="41"/>
        <v>0</v>
      </c>
      <c r="G114" s="30">
        <f t="shared" si="41"/>
        <v>0</v>
      </c>
      <c r="H114" s="30">
        <f t="shared" si="41"/>
        <v>111.10401002</v>
      </c>
      <c r="I114" s="30">
        <f t="shared" si="41"/>
        <v>91.729981470000013</v>
      </c>
      <c r="J114" s="30">
        <f t="shared" si="41"/>
        <v>19.374028549999998</v>
      </c>
      <c r="K114" s="30"/>
      <c r="L114" s="30"/>
      <c r="M114" s="30"/>
      <c r="N114" s="30">
        <f>H114-B114</f>
        <v>-4.2786930599999948</v>
      </c>
      <c r="O114" s="30">
        <f t="shared" ref="O114:O124" si="42">I114-C114</f>
        <v>2.0750538800000129</v>
      </c>
      <c r="P114" s="30">
        <f t="shared" ref="P114:P124" si="43">J114-D114</f>
        <v>-6.3537469400000006</v>
      </c>
      <c r="Q114" s="30">
        <f t="shared" ref="Q114:Q124" si="44">H114/B114%-100</f>
        <v>-3.7082621101651512</v>
      </c>
      <c r="R114" s="30">
        <f t="shared" ref="R114:R124" si="45">I114/C114%-100</f>
        <v>2.3144894940849383</v>
      </c>
      <c r="S114" s="31">
        <f t="shared" ref="S114:S124" si="46">J114/D114%-100</f>
        <v>-24.696060265566317</v>
      </c>
    </row>
    <row r="115" spans="1:19" x14ac:dyDescent="0.25">
      <c r="A115" s="270" t="s">
        <v>316</v>
      </c>
      <c r="B115" s="24">
        <v>6.2598042899999999</v>
      </c>
      <c r="C115" s="24"/>
      <c r="D115" s="24">
        <v>6.2598042899999999</v>
      </c>
      <c r="E115" s="24"/>
      <c r="F115" s="24"/>
      <c r="G115" s="24"/>
      <c r="H115" s="24"/>
      <c r="I115" s="24"/>
      <c r="J115" s="24"/>
      <c r="K115" s="24"/>
      <c r="L115" s="24"/>
      <c r="M115" s="24"/>
      <c r="N115" s="24">
        <f t="shared" ref="N115" si="47">H115-B115</f>
        <v>-6.2598042899999999</v>
      </c>
      <c r="O115" s="24">
        <f t="shared" ref="O115" si="48">I115-C115</f>
        <v>0</v>
      </c>
      <c r="P115" s="24">
        <f t="shared" ref="P115" si="49">J115-D115</f>
        <v>-6.2598042899999999</v>
      </c>
      <c r="Q115" s="24">
        <f t="shared" ref="Q115" si="50">H115/B115%-100</f>
        <v>-100</v>
      </c>
      <c r="R115" s="47" t="s">
        <v>64</v>
      </c>
      <c r="S115" s="26">
        <f t="shared" ref="S115" si="51">J115/D115%-100</f>
        <v>-100</v>
      </c>
    </row>
    <row r="116" spans="1:19" x14ac:dyDescent="0.25">
      <c r="A116" s="270" t="s">
        <v>307</v>
      </c>
      <c r="B116" s="24">
        <v>61.9412302</v>
      </c>
      <c r="C116" s="24">
        <v>42.473258999999999</v>
      </c>
      <c r="D116" s="24">
        <v>19.467971200000001</v>
      </c>
      <c r="E116" s="24"/>
      <c r="F116" s="24"/>
      <c r="G116" s="24"/>
      <c r="H116" s="24">
        <v>65.157728550000002</v>
      </c>
      <c r="I116" s="24">
        <v>45.783700000000003</v>
      </c>
      <c r="J116" s="24">
        <v>19.374028549999998</v>
      </c>
      <c r="K116" s="24"/>
      <c r="L116" s="24"/>
      <c r="M116" s="24"/>
      <c r="N116" s="24">
        <f t="shared" ref="N116:N124" si="52">H116-B116</f>
        <v>3.2164983500000019</v>
      </c>
      <c r="O116" s="24">
        <f t="shared" si="42"/>
        <v>3.3104410000000044</v>
      </c>
      <c r="P116" s="24">
        <f t="shared" si="43"/>
        <v>-9.3942650000002459E-2</v>
      </c>
      <c r="Q116" s="24">
        <f t="shared" si="44"/>
        <v>5.1928228412873949</v>
      </c>
      <c r="R116" s="24">
        <f t="shared" si="45"/>
        <v>7.7941770373683994</v>
      </c>
      <c r="S116" s="26">
        <f t="shared" si="46"/>
        <v>-0.48254976871962185</v>
      </c>
    </row>
    <row r="117" spans="1:19" ht="26.4" x14ac:dyDescent="0.25">
      <c r="A117" s="270" t="s">
        <v>308</v>
      </c>
      <c r="B117" s="24">
        <v>47.181668590000001</v>
      </c>
      <c r="C117" s="24">
        <v>47.181668590000001</v>
      </c>
      <c r="D117" s="24"/>
      <c r="E117" s="24"/>
      <c r="F117" s="24"/>
      <c r="G117" s="24"/>
      <c r="H117" s="24">
        <v>45.946281470000002</v>
      </c>
      <c r="I117" s="24">
        <v>45.946281470000002</v>
      </c>
      <c r="J117" s="24"/>
      <c r="K117" s="24"/>
      <c r="L117" s="24"/>
      <c r="M117" s="24"/>
      <c r="N117" s="24">
        <f t="shared" si="52"/>
        <v>-1.2353871199999986</v>
      </c>
      <c r="O117" s="24">
        <f t="shared" si="42"/>
        <v>-1.2353871199999986</v>
      </c>
      <c r="P117" s="24">
        <f t="shared" si="43"/>
        <v>0</v>
      </c>
      <c r="Q117" s="24">
        <f t="shared" si="44"/>
        <v>-2.6183625058606737</v>
      </c>
      <c r="R117" s="24">
        <f t="shared" si="45"/>
        <v>-2.6183625058606737</v>
      </c>
      <c r="S117" s="42" t="s">
        <v>64</v>
      </c>
    </row>
    <row r="118" spans="1:19" ht="26.4" x14ac:dyDescent="0.25">
      <c r="A118" s="101" t="s">
        <v>309</v>
      </c>
      <c r="B118" s="30">
        <f>+B119</f>
        <v>1733.3477166600001</v>
      </c>
      <c r="C118" s="30">
        <f t="shared" ref="C118:M118" si="53">+C119</f>
        <v>1413.9713354600001</v>
      </c>
      <c r="D118" s="30">
        <f t="shared" si="53"/>
        <v>320.08784787000002</v>
      </c>
      <c r="E118" s="30">
        <f t="shared" si="53"/>
        <v>0</v>
      </c>
      <c r="F118" s="30">
        <f t="shared" si="53"/>
        <v>0</v>
      </c>
      <c r="G118" s="30">
        <f t="shared" si="53"/>
        <v>0</v>
      </c>
      <c r="H118" s="30">
        <f t="shared" si="53"/>
        <v>1450.7279762400001</v>
      </c>
      <c r="I118" s="30">
        <f t="shared" si="53"/>
        <v>1119.8807372900001</v>
      </c>
      <c r="J118" s="30">
        <f t="shared" si="53"/>
        <v>331.55870562000001</v>
      </c>
      <c r="K118" s="30">
        <f t="shared" si="53"/>
        <v>0</v>
      </c>
      <c r="L118" s="30">
        <f t="shared" si="53"/>
        <v>0</v>
      </c>
      <c r="M118" s="30">
        <f t="shared" si="53"/>
        <v>0</v>
      </c>
      <c r="N118" s="30">
        <f t="shared" si="52"/>
        <v>-282.61974041999997</v>
      </c>
      <c r="O118" s="30">
        <f t="shared" si="42"/>
        <v>-294.09059817000002</v>
      </c>
      <c r="P118" s="30">
        <f t="shared" si="43"/>
        <v>11.470857749999993</v>
      </c>
      <c r="Q118" s="30">
        <f t="shared" si="44"/>
        <v>-16.304849725396238</v>
      </c>
      <c r="R118" s="30">
        <f t="shared" si="45"/>
        <v>-20.798908067986048</v>
      </c>
      <c r="S118" s="31">
        <f t="shared" si="46"/>
        <v>3.5836592442768307</v>
      </c>
    </row>
    <row r="119" spans="1:19" ht="26.4" x14ac:dyDescent="0.25">
      <c r="A119" s="270" t="s">
        <v>310</v>
      </c>
      <c r="B119" s="24">
        <v>1733.3477166600001</v>
      </c>
      <c r="C119" s="24">
        <v>1413.9713354600001</v>
      </c>
      <c r="D119" s="24">
        <v>320.08784787000002</v>
      </c>
      <c r="E119" s="24"/>
      <c r="F119" s="24"/>
      <c r="G119" s="24"/>
      <c r="H119" s="24">
        <v>1450.7279762400001</v>
      </c>
      <c r="I119" s="24">
        <v>1119.8807372900001</v>
      </c>
      <c r="J119" s="24">
        <v>331.55870562000001</v>
      </c>
      <c r="K119" s="24"/>
      <c r="L119" s="24"/>
      <c r="M119" s="24"/>
      <c r="N119" s="24">
        <f t="shared" si="52"/>
        <v>-282.61974041999997</v>
      </c>
      <c r="O119" s="24">
        <f t="shared" si="42"/>
        <v>-294.09059817000002</v>
      </c>
      <c r="P119" s="24">
        <f t="shared" si="43"/>
        <v>11.470857749999993</v>
      </c>
      <c r="Q119" s="24">
        <f t="shared" si="44"/>
        <v>-16.304849725396238</v>
      </c>
      <c r="R119" s="24">
        <f t="shared" si="45"/>
        <v>-20.798908067986048</v>
      </c>
      <c r="S119" s="26">
        <f t="shared" si="46"/>
        <v>3.5836592442768307</v>
      </c>
    </row>
    <row r="120" spans="1:19" ht="39.6" x14ac:dyDescent="0.25">
      <c r="A120" s="101" t="s">
        <v>311</v>
      </c>
      <c r="B120" s="30">
        <f>SUM(B121:B123)</f>
        <v>0</v>
      </c>
      <c r="C120" s="30">
        <f t="shared" ref="C120:M120" si="54">SUM(C121:C123)</f>
        <v>3201.8793085699999</v>
      </c>
      <c r="D120" s="30">
        <f t="shared" si="54"/>
        <v>0</v>
      </c>
      <c r="E120" s="30">
        <f t="shared" si="54"/>
        <v>0</v>
      </c>
      <c r="F120" s="30">
        <f t="shared" si="54"/>
        <v>0</v>
      </c>
      <c r="G120" s="30">
        <f t="shared" si="54"/>
        <v>0</v>
      </c>
      <c r="H120" s="30">
        <f t="shared" si="54"/>
        <v>0</v>
      </c>
      <c r="I120" s="30">
        <f t="shared" si="54"/>
        <v>3389.8838220299999</v>
      </c>
      <c r="J120" s="30">
        <f t="shared" si="54"/>
        <v>0</v>
      </c>
      <c r="K120" s="30">
        <f t="shared" si="54"/>
        <v>0</v>
      </c>
      <c r="L120" s="30">
        <f t="shared" si="54"/>
        <v>0</v>
      </c>
      <c r="M120" s="30">
        <f t="shared" si="54"/>
        <v>0</v>
      </c>
      <c r="N120" s="30">
        <f>H120-B120</f>
        <v>0</v>
      </c>
      <c r="O120" s="30">
        <f t="shared" si="42"/>
        <v>188.00451346</v>
      </c>
      <c r="P120" s="30">
        <f t="shared" si="43"/>
        <v>0</v>
      </c>
      <c r="Q120" s="110" t="s">
        <v>64</v>
      </c>
      <c r="R120" s="30">
        <f t="shared" si="45"/>
        <v>5.8716926948744259</v>
      </c>
      <c r="S120" s="129" t="s">
        <v>64</v>
      </c>
    </row>
    <row r="121" spans="1:19" ht="39.6" x14ac:dyDescent="0.25">
      <c r="A121" s="270" t="s">
        <v>312</v>
      </c>
      <c r="B121" s="24"/>
      <c r="C121" s="24">
        <v>839.0072085700001</v>
      </c>
      <c r="D121" s="24"/>
      <c r="E121" s="24"/>
      <c r="F121" s="24"/>
      <c r="G121" s="24"/>
      <c r="H121" s="24"/>
      <c r="I121" s="24">
        <v>1219.05299195</v>
      </c>
      <c r="J121" s="24"/>
      <c r="K121" s="24"/>
      <c r="L121" s="24"/>
      <c r="M121" s="24"/>
      <c r="N121" s="24">
        <f t="shared" si="52"/>
        <v>0</v>
      </c>
      <c r="O121" s="24">
        <f t="shared" si="42"/>
        <v>380.04578337999988</v>
      </c>
      <c r="P121" s="24">
        <f t="shared" si="43"/>
        <v>0</v>
      </c>
      <c r="Q121" s="47" t="s">
        <v>64</v>
      </c>
      <c r="R121" s="24">
        <f t="shared" si="45"/>
        <v>45.297082015272309</v>
      </c>
      <c r="S121" s="42" t="s">
        <v>64</v>
      </c>
    </row>
    <row r="122" spans="1:19" x14ac:dyDescent="0.25">
      <c r="A122" s="270" t="s">
        <v>313</v>
      </c>
      <c r="B122" s="24"/>
      <c r="C122" s="24">
        <v>317.51639999999998</v>
      </c>
      <c r="D122" s="24"/>
      <c r="E122" s="24"/>
      <c r="F122" s="24"/>
      <c r="G122" s="24"/>
      <c r="H122" s="24"/>
      <c r="I122" s="24">
        <v>172.49760000000001</v>
      </c>
      <c r="J122" s="24"/>
      <c r="K122" s="24"/>
      <c r="L122" s="24"/>
      <c r="M122" s="24"/>
      <c r="N122" s="24">
        <f t="shared" si="52"/>
        <v>0</v>
      </c>
      <c r="O122" s="24">
        <f t="shared" si="42"/>
        <v>-145.01879999999997</v>
      </c>
      <c r="P122" s="24">
        <f t="shared" si="43"/>
        <v>0</v>
      </c>
      <c r="Q122" s="47" t="s">
        <v>64</v>
      </c>
      <c r="R122" s="24">
        <f t="shared" si="45"/>
        <v>-45.67285343371239</v>
      </c>
      <c r="S122" s="42" t="s">
        <v>64</v>
      </c>
    </row>
    <row r="123" spans="1:19" ht="26.4" x14ac:dyDescent="0.25">
      <c r="A123" s="270" t="s">
        <v>314</v>
      </c>
      <c r="B123" s="24"/>
      <c r="C123" s="24">
        <v>2045.3557000000001</v>
      </c>
      <c r="D123" s="24"/>
      <c r="E123" s="24"/>
      <c r="F123" s="24"/>
      <c r="G123" s="24"/>
      <c r="H123" s="24"/>
      <c r="I123" s="24">
        <v>1998.33323008</v>
      </c>
      <c r="J123" s="24"/>
      <c r="K123" s="24"/>
      <c r="L123" s="24"/>
      <c r="M123" s="24"/>
      <c r="N123" s="24">
        <f t="shared" si="52"/>
        <v>0</v>
      </c>
      <c r="O123" s="24">
        <f t="shared" si="42"/>
        <v>-47.022469920000049</v>
      </c>
      <c r="P123" s="24">
        <f t="shared" si="43"/>
        <v>0</v>
      </c>
      <c r="Q123" s="47" t="s">
        <v>64</v>
      </c>
      <c r="R123" s="24">
        <f t="shared" si="45"/>
        <v>-2.298987404489111</v>
      </c>
      <c r="S123" s="42" t="s">
        <v>64</v>
      </c>
    </row>
    <row r="124" spans="1:19" s="33" customFormat="1" x14ac:dyDescent="0.25">
      <c r="A124" s="269" t="s">
        <v>122</v>
      </c>
      <c r="B124" s="257">
        <f>+B48+B58+B60+B65+B75+B80+B84+B92+B95+B103+B109+B114+B118+B120</f>
        <v>81203.518465460016</v>
      </c>
      <c r="C124" s="257">
        <f t="shared" ref="C124:J124" si="55">+C48+C58+C60+C65+C75+C80+C84+C92+C95+C103+C109+C114+C118+C120</f>
        <v>67954.835294010001</v>
      </c>
      <c r="D124" s="257">
        <f t="shared" si="55"/>
        <v>34677.610992249996</v>
      </c>
      <c r="E124" s="257">
        <f t="shared" si="55"/>
        <v>0</v>
      </c>
      <c r="F124" s="257">
        <f t="shared" si="55"/>
        <v>0</v>
      </c>
      <c r="G124" s="257">
        <f t="shared" si="55"/>
        <v>0</v>
      </c>
      <c r="H124" s="257">
        <f t="shared" si="55"/>
        <v>81717.463054680004</v>
      </c>
      <c r="I124" s="257">
        <f t="shared" si="55"/>
        <v>68059.140593820004</v>
      </c>
      <c r="J124" s="257">
        <f t="shared" si="55"/>
        <v>34159.715291570006</v>
      </c>
      <c r="K124" s="257"/>
      <c r="L124" s="257"/>
      <c r="M124" s="257"/>
      <c r="N124" s="257">
        <f t="shared" si="52"/>
        <v>513.94458921998739</v>
      </c>
      <c r="O124" s="257">
        <f t="shared" si="42"/>
        <v>104.30529981000291</v>
      </c>
      <c r="P124" s="257">
        <f t="shared" si="43"/>
        <v>-517.89570067999011</v>
      </c>
      <c r="Q124" s="257">
        <f t="shared" si="44"/>
        <v>0.63290926173179685</v>
      </c>
      <c r="R124" s="257">
        <f t="shared" si="45"/>
        <v>0.15349209421039234</v>
      </c>
      <c r="S124" s="258">
        <f t="shared" si="46"/>
        <v>-1.4934584184468065</v>
      </c>
    </row>
    <row r="125" spans="1:19" s="33" customFormat="1" ht="26.4" x14ac:dyDescent="0.25">
      <c r="A125" s="136" t="s">
        <v>125</v>
      </c>
      <c r="B125" s="268">
        <f>+B44-B124</f>
        <v>-2789.2174965900194</v>
      </c>
      <c r="C125" s="268">
        <f t="shared" ref="C125:M125" si="56">+C44-C124</f>
        <v>-2377.2736794000084</v>
      </c>
      <c r="D125" s="268">
        <f t="shared" si="56"/>
        <v>-411.94381718999648</v>
      </c>
      <c r="E125" s="268">
        <f t="shared" si="56"/>
        <v>19308.926125870003</v>
      </c>
      <c r="F125" s="268">
        <f t="shared" si="56"/>
        <v>14131.475321149999</v>
      </c>
      <c r="G125" s="268">
        <f t="shared" si="56"/>
        <v>3600.9351091399999</v>
      </c>
      <c r="H125" s="268">
        <f t="shared" si="56"/>
        <v>-5439.5952965500037</v>
      </c>
      <c r="I125" s="268">
        <f t="shared" si="56"/>
        <v>-4021.988761099994</v>
      </c>
      <c r="J125" s="268">
        <f t="shared" si="56"/>
        <v>-1417.606535450006</v>
      </c>
      <c r="K125" s="268">
        <f t="shared" si="56"/>
        <v>18047.763029440004</v>
      </c>
      <c r="L125" s="268">
        <f t="shared" si="56"/>
        <v>15144.476821979999</v>
      </c>
      <c r="M125" s="268">
        <f t="shared" si="56"/>
        <v>4194.2491358300003</v>
      </c>
      <c r="N125" s="268">
        <f t="shared" ref="N125:N126" si="57">H125-B125</f>
        <v>-2650.3777999599843</v>
      </c>
      <c r="O125" s="268">
        <f t="shared" ref="O125:O126" si="58">I125-C125</f>
        <v>-1644.7150816999856</v>
      </c>
      <c r="P125" s="268">
        <f t="shared" ref="P125:P126" si="59">J125-D125</f>
        <v>-1005.6627182600096</v>
      </c>
      <c r="Q125" s="268">
        <f t="shared" ref="Q125:Q126" si="60">H125/B125%-100</f>
        <v>95.022270697793374</v>
      </c>
      <c r="R125" s="268">
        <f t="shared" ref="R125:R126" si="61">I125/C125%-100</f>
        <v>69.184927926139721</v>
      </c>
      <c r="S125" s="272">
        <f t="shared" ref="S125:S126" si="62">J125/D125%-100</f>
        <v>244.12618330333584</v>
      </c>
    </row>
    <row r="126" spans="1:19" ht="26.4" x14ac:dyDescent="0.25">
      <c r="A126" s="27" t="s">
        <v>128</v>
      </c>
      <c r="B126" s="24">
        <v>2789.2174965900003</v>
      </c>
      <c r="C126" s="24">
        <v>2377.2736794000002</v>
      </c>
      <c r="D126" s="24">
        <v>411.94381718999995</v>
      </c>
      <c r="E126" s="24"/>
      <c r="F126" s="24"/>
      <c r="G126" s="24"/>
      <c r="H126" s="24">
        <v>5439.5952965500001</v>
      </c>
      <c r="I126" s="24">
        <v>4021.9887610999999</v>
      </c>
      <c r="J126" s="24">
        <v>1417.6065354499999</v>
      </c>
      <c r="K126" s="24"/>
      <c r="L126" s="24"/>
      <c r="M126" s="24"/>
      <c r="N126" s="24">
        <f t="shared" si="57"/>
        <v>2650.3777999599997</v>
      </c>
      <c r="O126" s="24">
        <f t="shared" si="58"/>
        <v>1644.7150816999997</v>
      </c>
      <c r="P126" s="24">
        <f t="shared" si="59"/>
        <v>1005.66271826</v>
      </c>
      <c r="Q126" s="24">
        <f t="shared" si="60"/>
        <v>95.022270697794596</v>
      </c>
      <c r="R126" s="24">
        <f t="shared" si="61"/>
        <v>69.184927926140546</v>
      </c>
      <c r="S126" s="26">
        <f t="shared" si="62"/>
        <v>244.12618330333146</v>
      </c>
    </row>
    <row r="127" spans="1:19" x14ac:dyDescent="0.25">
      <c r="A127" s="34" t="s">
        <v>129</v>
      </c>
      <c r="B127" s="24">
        <v>272.03752200000002</v>
      </c>
      <c r="C127" s="24">
        <v>0</v>
      </c>
      <c r="D127" s="24">
        <v>272.03752200000002</v>
      </c>
      <c r="E127" s="24"/>
      <c r="F127" s="24"/>
      <c r="G127" s="24"/>
      <c r="H127" s="24">
        <v>-609.91539999999998</v>
      </c>
      <c r="I127" s="24">
        <v>-1003.6803</v>
      </c>
      <c r="J127" s="24">
        <v>393.76490000000001</v>
      </c>
      <c r="K127" s="24"/>
      <c r="L127" s="24"/>
      <c r="M127" s="24"/>
      <c r="N127" s="24">
        <f t="shared" ref="N127:N131" si="63">H127-B127</f>
        <v>-881.95292199999994</v>
      </c>
      <c r="O127" s="24">
        <f t="shared" ref="O127:O131" si="64">I127-C127</f>
        <v>-1003.6803</v>
      </c>
      <c r="P127" s="24">
        <f t="shared" ref="P127:P131" si="65">J127-D127</f>
        <v>121.72737799999999</v>
      </c>
      <c r="Q127" s="24">
        <f t="shared" ref="Q127:Q131" si="66">H127/B127%-100</f>
        <v>-324.20267451193735</v>
      </c>
      <c r="R127" s="47" t="s">
        <v>64</v>
      </c>
      <c r="S127" s="26">
        <f t="shared" ref="S127:S131" si="67">J127/D127%-100</f>
        <v>44.746539780641001</v>
      </c>
    </row>
    <row r="128" spans="1:19" x14ac:dyDescent="0.25">
      <c r="A128" s="34" t="s">
        <v>130</v>
      </c>
      <c r="B128" s="24">
        <v>4433.8918000000003</v>
      </c>
      <c r="C128" s="24">
        <v>4433.8918000000003</v>
      </c>
      <c r="D128" s="24">
        <v>0</v>
      </c>
      <c r="E128" s="24"/>
      <c r="F128" s="24"/>
      <c r="G128" s="24"/>
      <c r="H128" s="24">
        <v>4838.8771999999999</v>
      </c>
      <c r="I128" s="24">
        <v>4838.8771999999999</v>
      </c>
      <c r="J128" s="24">
        <v>0</v>
      </c>
      <c r="K128" s="24"/>
      <c r="L128" s="24"/>
      <c r="M128" s="24"/>
      <c r="N128" s="24">
        <f t="shared" si="63"/>
        <v>404.98539999999957</v>
      </c>
      <c r="O128" s="24">
        <f t="shared" si="64"/>
        <v>404.98539999999957</v>
      </c>
      <c r="P128" s="24">
        <f t="shared" si="65"/>
        <v>0</v>
      </c>
      <c r="Q128" s="24">
        <f t="shared" si="66"/>
        <v>9.13385843109657</v>
      </c>
      <c r="R128" s="24">
        <f t="shared" ref="R128:R131" si="68">I128/C128%-100</f>
        <v>9.13385843109657</v>
      </c>
      <c r="S128" s="42" t="s">
        <v>64</v>
      </c>
    </row>
    <row r="129" spans="1:19" ht="26.4" x14ac:dyDescent="0.25">
      <c r="A129" s="34" t="s">
        <v>131</v>
      </c>
      <c r="B129" s="24">
        <v>25.457149999999999</v>
      </c>
      <c r="C129" s="24">
        <v>6.0385499999999999</v>
      </c>
      <c r="D129" s="24">
        <v>19.418600000000001</v>
      </c>
      <c r="E129" s="24"/>
      <c r="F129" s="24"/>
      <c r="G129" s="24"/>
      <c r="H129" s="24">
        <v>16.684550000000002</v>
      </c>
      <c r="I129" s="24">
        <v>10.66455</v>
      </c>
      <c r="J129" s="24">
        <v>6.02</v>
      </c>
      <c r="K129" s="24"/>
      <c r="L129" s="24"/>
      <c r="M129" s="24"/>
      <c r="N129" s="24">
        <f t="shared" si="63"/>
        <v>-8.7725999999999971</v>
      </c>
      <c r="O129" s="24">
        <f t="shared" si="64"/>
        <v>4.6260000000000003</v>
      </c>
      <c r="P129" s="24">
        <f t="shared" si="65"/>
        <v>-13.398600000000002</v>
      </c>
      <c r="Q129" s="24">
        <f t="shared" si="66"/>
        <v>-34.46025969128516</v>
      </c>
      <c r="R129" s="24">
        <f t="shared" si="68"/>
        <v>76.607794917654076</v>
      </c>
      <c r="S129" s="26">
        <f t="shared" si="67"/>
        <v>-68.998794969771254</v>
      </c>
    </row>
    <row r="130" spans="1:19" x14ac:dyDescent="0.25">
      <c r="A130" s="34" t="s">
        <v>133</v>
      </c>
      <c r="B130" s="24">
        <v>27.19300668</v>
      </c>
      <c r="C130" s="24">
        <v>27.19300668</v>
      </c>
      <c r="D130" s="24">
        <v>0</v>
      </c>
      <c r="E130" s="24"/>
      <c r="F130" s="24"/>
      <c r="G130" s="24"/>
      <c r="H130" s="24">
        <v>3.84349607</v>
      </c>
      <c r="I130" s="24">
        <v>3.84349607</v>
      </c>
      <c r="J130" s="24">
        <v>0</v>
      </c>
      <c r="K130" s="24"/>
      <c r="L130" s="24"/>
      <c r="M130" s="24"/>
      <c r="N130" s="24">
        <f t="shared" si="63"/>
        <v>-23.349510609999999</v>
      </c>
      <c r="O130" s="24">
        <f t="shared" si="64"/>
        <v>-23.349510609999999</v>
      </c>
      <c r="P130" s="24">
        <f t="shared" si="65"/>
        <v>0</v>
      </c>
      <c r="Q130" s="24">
        <f t="shared" si="66"/>
        <v>-85.865865752804652</v>
      </c>
      <c r="R130" s="24">
        <f t="shared" si="68"/>
        <v>-85.865865752804652</v>
      </c>
      <c r="S130" s="42" t="s">
        <v>64</v>
      </c>
    </row>
    <row r="131" spans="1:19" ht="13.8" thickBot="1" x14ac:dyDescent="0.3">
      <c r="A131" s="170" t="s">
        <v>135</v>
      </c>
      <c r="B131" s="173">
        <v>-1969.3619820899999</v>
      </c>
      <c r="C131" s="173">
        <v>-2089.8496772799999</v>
      </c>
      <c r="D131" s="173">
        <v>120.48769519000003</v>
      </c>
      <c r="E131" s="173"/>
      <c r="F131" s="173"/>
      <c r="G131" s="173"/>
      <c r="H131" s="173">
        <v>1190.1054504799999</v>
      </c>
      <c r="I131" s="173">
        <v>172.28381503</v>
      </c>
      <c r="J131" s="173">
        <v>1017.82163545</v>
      </c>
      <c r="K131" s="173"/>
      <c r="L131" s="173"/>
      <c r="M131" s="173"/>
      <c r="N131" s="173">
        <f t="shared" si="63"/>
        <v>3159.4674325699998</v>
      </c>
      <c r="O131" s="173">
        <f t="shared" si="64"/>
        <v>2262.1334923099998</v>
      </c>
      <c r="P131" s="173">
        <f t="shared" si="65"/>
        <v>897.33394025999996</v>
      </c>
      <c r="Q131" s="173">
        <f t="shared" si="66"/>
        <v>-160.43101579614083</v>
      </c>
      <c r="R131" s="173">
        <f t="shared" si="68"/>
        <v>-108.24383767421169</v>
      </c>
      <c r="S131" s="174">
        <f t="shared" si="67"/>
        <v>744.7515191032345</v>
      </c>
    </row>
    <row r="132" spans="1:19" ht="13.8" thickTop="1" x14ac:dyDescent="0.25"/>
  </sheetData>
  <mergeCells count="25">
    <mergeCell ref="Q1:S1"/>
    <mergeCell ref="A2:S2"/>
    <mergeCell ref="A4:A7"/>
    <mergeCell ref="B4:G4"/>
    <mergeCell ref="H4:M4"/>
    <mergeCell ref="N4:P4"/>
    <mergeCell ref="Q4:S4"/>
    <mergeCell ref="B5:B7"/>
    <mergeCell ref="C5:G5"/>
    <mergeCell ref="H5:H7"/>
    <mergeCell ref="C6:C7"/>
    <mergeCell ref="D6:D7"/>
    <mergeCell ref="E6:G6"/>
    <mergeCell ref="I6:I7"/>
    <mergeCell ref="J6:J7"/>
    <mergeCell ref="I5:M5"/>
    <mergeCell ref="N5:N7"/>
    <mergeCell ref="O5:P5"/>
    <mergeCell ref="Q5:Q7"/>
    <mergeCell ref="R5:S5"/>
    <mergeCell ref="K6:M6"/>
    <mergeCell ref="O6:O7"/>
    <mergeCell ref="P6:P7"/>
    <mergeCell ref="R6:R7"/>
    <mergeCell ref="S6:S7"/>
  </mergeCells>
  <pageMargins left="0.39370078740157483" right="0.39370078740157483" top="0.59055118110236227" bottom="0.59055118110236227" header="0.31496062992125984" footer="0.31496062992125984"/>
  <pageSetup paperSize="9" scale="92" fitToHeight="0" orientation="landscape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P40"/>
  <sheetViews>
    <sheetView zoomScaleNormal="100" workbookViewId="0">
      <selection activeCell="A4" sqref="A4"/>
    </sheetView>
  </sheetViews>
  <sheetFormatPr defaultColWidth="8" defaultRowHeight="13.2" x14ac:dyDescent="0.25"/>
  <cols>
    <col min="1" max="1" width="19.59765625" style="223" customWidth="1"/>
    <col min="2" max="3" width="10.69921875" style="193" bestFit="1" customWidth="1"/>
    <col min="4" max="4" width="5.3984375" style="193" bestFit="1" customWidth="1"/>
    <col min="5" max="6" width="10.69921875" style="193" bestFit="1" customWidth="1"/>
    <col min="7" max="7" width="4.5" style="193" bestFit="1" customWidth="1"/>
    <col min="8" max="8" width="10.19921875" style="193" customWidth="1"/>
    <col min="9" max="9" width="10.5" style="193" customWidth="1"/>
    <col min="10" max="10" width="9.8984375" style="193" customWidth="1"/>
    <col min="11" max="11" width="9.8984375" style="193" bestFit="1" customWidth="1"/>
    <col min="12" max="12" width="10.3984375" style="193" bestFit="1" customWidth="1"/>
    <col min="13" max="13" width="10.69921875" style="193" bestFit="1" customWidth="1"/>
    <col min="14" max="14" width="10" style="193" customWidth="1"/>
    <col min="15" max="15" width="9.09765625" style="193" customWidth="1"/>
    <col min="16" max="16384" width="8" style="193"/>
  </cols>
  <sheetData>
    <row r="1" spans="1:16" s="223" customFormat="1" x14ac:dyDescent="0.25">
      <c r="N1" s="394" t="s">
        <v>415</v>
      </c>
      <c r="O1" s="394"/>
    </row>
    <row r="2" spans="1:16" s="223" customFormat="1" x14ac:dyDescent="0.25"/>
    <row r="3" spans="1:16" s="223" customFormat="1" ht="33" customHeight="1" x14ac:dyDescent="0.25">
      <c r="A3" s="395" t="s">
        <v>431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</row>
    <row r="4" spans="1:16" s="223" customFormat="1" ht="13.8" thickBot="1" x14ac:dyDescent="0.3">
      <c r="A4" s="224"/>
      <c r="B4" s="224"/>
      <c r="C4" s="224"/>
      <c r="D4" s="224"/>
      <c r="E4" s="224"/>
      <c r="F4" s="224"/>
      <c r="G4" s="224"/>
      <c r="H4" s="224"/>
      <c r="I4" s="224"/>
      <c r="J4" s="224"/>
      <c r="K4" s="224"/>
      <c r="L4" s="224"/>
      <c r="M4" s="224"/>
      <c r="N4" s="224"/>
      <c r="O4" s="371" t="s">
        <v>424</v>
      </c>
    </row>
    <row r="5" spans="1:16" s="223" customFormat="1" ht="13.8" thickTop="1" x14ac:dyDescent="0.25">
      <c r="A5" s="396" t="s">
        <v>153</v>
      </c>
      <c r="B5" s="377" t="s">
        <v>154</v>
      </c>
      <c r="C5" s="377"/>
      <c r="D5" s="377"/>
      <c r="E5" s="377" t="s">
        <v>155</v>
      </c>
      <c r="F5" s="377"/>
      <c r="G5" s="377"/>
      <c r="H5" s="377" t="s">
        <v>156</v>
      </c>
      <c r="I5" s="377"/>
      <c r="J5" s="377" t="s">
        <v>318</v>
      </c>
      <c r="K5" s="265" t="s">
        <v>44</v>
      </c>
      <c r="L5" s="377" t="s">
        <v>319</v>
      </c>
      <c r="M5" s="377"/>
      <c r="N5" s="377" t="s">
        <v>320</v>
      </c>
      <c r="O5" s="378" t="s">
        <v>321</v>
      </c>
    </row>
    <row r="6" spans="1:16" s="223" customFormat="1" ht="24" customHeight="1" x14ac:dyDescent="0.25">
      <c r="A6" s="397"/>
      <c r="B6" s="383"/>
      <c r="C6" s="383"/>
      <c r="D6" s="383"/>
      <c r="E6" s="383"/>
      <c r="F6" s="383"/>
      <c r="G6" s="383"/>
      <c r="H6" s="383"/>
      <c r="I6" s="383"/>
      <c r="J6" s="383"/>
      <c r="K6" s="383" t="s">
        <v>322</v>
      </c>
      <c r="L6" s="383"/>
      <c r="M6" s="383"/>
      <c r="N6" s="383"/>
      <c r="O6" s="384"/>
    </row>
    <row r="7" spans="1:16" s="223" customFormat="1" ht="26.4" x14ac:dyDescent="0.25">
      <c r="A7" s="397"/>
      <c r="B7" s="266" t="s">
        <v>157</v>
      </c>
      <c r="C7" s="266" t="s">
        <v>158</v>
      </c>
      <c r="D7" s="266" t="s">
        <v>151</v>
      </c>
      <c r="E7" s="266" t="s">
        <v>157</v>
      </c>
      <c r="F7" s="266" t="s">
        <v>158</v>
      </c>
      <c r="G7" s="266" t="s">
        <v>151</v>
      </c>
      <c r="H7" s="266" t="s">
        <v>157</v>
      </c>
      <c r="I7" s="266" t="s">
        <v>158</v>
      </c>
      <c r="J7" s="383"/>
      <c r="K7" s="383"/>
      <c r="L7" s="266" t="s">
        <v>159</v>
      </c>
      <c r="M7" s="266" t="s">
        <v>160</v>
      </c>
      <c r="N7" s="383"/>
      <c r="O7" s="384"/>
    </row>
    <row r="8" spans="1:16" s="227" customFormat="1" ht="10.199999999999999" x14ac:dyDescent="0.2">
      <c r="A8" s="225" t="s">
        <v>28</v>
      </c>
      <c r="B8" s="267" t="s">
        <v>49</v>
      </c>
      <c r="C8" s="267" t="s">
        <v>50</v>
      </c>
      <c r="D8" s="267" t="s">
        <v>161</v>
      </c>
      <c r="E8" s="267" t="s">
        <v>51</v>
      </c>
      <c r="F8" s="267" t="s">
        <v>162</v>
      </c>
      <c r="G8" s="267" t="s">
        <v>163</v>
      </c>
      <c r="H8" s="267" t="s">
        <v>162</v>
      </c>
      <c r="I8" s="267" t="s">
        <v>164</v>
      </c>
      <c r="J8" s="267" t="s">
        <v>52</v>
      </c>
      <c r="K8" s="267" t="s">
        <v>53</v>
      </c>
      <c r="L8" s="267" t="s">
        <v>54</v>
      </c>
      <c r="M8" s="267" t="s">
        <v>165</v>
      </c>
      <c r="N8" s="267" t="s">
        <v>166</v>
      </c>
      <c r="O8" s="226" t="s">
        <v>167</v>
      </c>
    </row>
    <row r="9" spans="1:16" x14ac:dyDescent="0.25">
      <c r="A9" s="228" t="s">
        <v>168</v>
      </c>
      <c r="B9" s="229">
        <v>1450529.98673</v>
      </c>
      <c r="C9" s="229">
        <v>1451604.8512500001</v>
      </c>
      <c r="D9" s="229">
        <v>100.07410150288744</v>
      </c>
      <c r="E9" s="229">
        <v>1535140.6690800001</v>
      </c>
      <c r="F9" s="229">
        <v>1501565.33662</v>
      </c>
      <c r="G9" s="229">
        <v>97.812882354284724</v>
      </c>
      <c r="H9" s="229">
        <v>-84610.682350000134</v>
      </c>
      <c r="I9" s="229">
        <v>-49960.485369999893</v>
      </c>
      <c r="J9" s="229">
        <v>12013.984859999999</v>
      </c>
      <c r="K9" s="229">
        <v>400.91696000000002</v>
      </c>
      <c r="L9" s="229">
        <v>-31792.61537</v>
      </c>
      <c r="M9" s="229">
        <v>-48357.718249999998</v>
      </c>
      <c r="N9" s="229">
        <v>57000</v>
      </c>
      <c r="O9" s="231">
        <v>18000</v>
      </c>
      <c r="P9" s="193">
        <f>N9/$N$35%</f>
        <v>1.4138051059095174</v>
      </c>
    </row>
    <row r="10" spans="1:16" x14ac:dyDescent="0.25">
      <c r="A10" s="228" t="s">
        <v>169</v>
      </c>
      <c r="B10" s="229">
        <v>583913.46101000009</v>
      </c>
      <c r="C10" s="229">
        <v>582785.08152000001</v>
      </c>
      <c r="D10" s="230">
        <v>99.806755698344702</v>
      </c>
      <c r="E10" s="229">
        <v>647832.97660000005</v>
      </c>
      <c r="F10" s="229">
        <v>630310.62792999996</v>
      </c>
      <c r="G10" s="229">
        <v>97.295236688635072</v>
      </c>
      <c r="H10" s="229">
        <v>-63919.515589999966</v>
      </c>
      <c r="I10" s="229">
        <v>-47525.546409999952</v>
      </c>
      <c r="J10" s="229">
        <v>19409.076519999999</v>
      </c>
      <c r="K10" s="229">
        <v>457.99196999999998</v>
      </c>
      <c r="L10" s="229">
        <v>-47525.546409999995</v>
      </c>
      <c r="M10" s="229">
        <v>-51216.599300000002</v>
      </c>
      <c r="N10" s="229">
        <v>0</v>
      </c>
      <c r="O10" s="231">
        <v>0</v>
      </c>
      <c r="P10" s="193">
        <f t="shared" ref="P10:P34" si="0">N10/$N$35%</f>
        <v>0</v>
      </c>
    </row>
    <row r="11" spans="1:16" x14ac:dyDescent="0.25">
      <c r="A11" s="228" t="s">
        <v>170</v>
      </c>
      <c r="B11" s="229">
        <v>421541.32649000001</v>
      </c>
      <c r="C11" s="229">
        <v>428151.10423</v>
      </c>
      <c r="D11" s="229">
        <v>101.56800231071929</v>
      </c>
      <c r="E11" s="229">
        <v>430970.26936999999</v>
      </c>
      <c r="F11" s="229">
        <v>422312.22661000007</v>
      </c>
      <c r="G11" s="229">
        <v>97.991034793964687</v>
      </c>
      <c r="H11" s="229">
        <v>-9428.9428799999878</v>
      </c>
      <c r="I11" s="230">
        <v>5838.8776199999265</v>
      </c>
      <c r="J11" s="229">
        <v>16566.491030000001</v>
      </c>
      <c r="K11" s="229">
        <v>64.033000000000001</v>
      </c>
      <c r="L11" s="230">
        <v>5838.8776200000011</v>
      </c>
      <c r="M11" s="229">
        <v>-4568.1579999999994</v>
      </c>
      <c r="N11" s="229">
        <v>0</v>
      </c>
      <c r="O11" s="231">
        <v>0</v>
      </c>
      <c r="P11" s="193">
        <f t="shared" si="0"/>
        <v>0</v>
      </c>
    </row>
    <row r="12" spans="1:16" x14ac:dyDescent="0.25">
      <c r="A12" s="228" t="s">
        <v>171</v>
      </c>
      <c r="B12" s="229">
        <v>594115.77487999992</v>
      </c>
      <c r="C12" s="229">
        <v>592488.99459999998</v>
      </c>
      <c r="D12" s="230">
        <v>99.726184634580932</v>
      </c>
      <c r="E12" s="229">
        <v>600118.93419000006</v>
      </c>
      <c r="F12" s="229">
        <v>592266.62002999999</v>
      </c>
      <c r="G12" s="229">
        <v>98.691540340982812</v>
      </c>
      <c r="H12" s="229">
        <v>-6003.1593100001337</v>
      </c>
      <c r="I12" s="230">
        <v>222.3745699999854</v>
      </c>
      <c r="J12" s="229">
        <v>6804.6165499999997</v>
      </c>
      <c r="K12" s="229">
        <v>658.34322999999995</v>
      </c>
      <c r="L12" s="230">
        <v>222.37456999999904</v>
      </c>
      <c r="M12" s="229">
        <v>-73.647960000000012</v>
      </c>
      <c r="N12" s="229">
        <v>0</v>
      </c>
      <c r="O12" s="231">
        <v>0</v>
      </c>
      <c r="P12" s="193">
        <f t="shared" si="0"/>
        <v>0</v>
      </c>
    </row>
    <row r="13" spans="1:16" x14ac:dyDescent="0.25">
      <c r="A13" s="228" t="s">
        <v>172</v>
      </c>
      <c r="B13" s="229">
        <v>624493.00317000016</v>
      </c>
      <c r="C13" s="229">
        <v>623930.00154000008</v>
      </c>
      <c r="D13" s="230">
        <v>99.90984660722502</v>
      </c>
      <c r="E13" s="229">
        <v>657268.77588000009</v>
      </c>
      <c r="F13" s="229">
        <v>595284.51282000006</v>
      </c>
      <c r="G13" s="230">
        <v>90.569419188213999</v>
      </c>
      <c r="H13" s="229">
        <v>-32775.772709999932</v>
      </c>
      <c r="I13" s="230">
        <v>28645.488720000023</v>
      </c>
      <c r="J13" s="229">
        <v>57692.796060000001</v>
      </c>
      <c r="K13" s="229">
        <v>45581.435380000003</v>
      </c>
      <c r="L13" s="230">
        <v>24645.488720000001</v>
      </c>
      <c r="M13" s="229">
        <v>21729.771790000003</v>
      </c>
      <c r="N13" s="229">
        <v>0</v>
      </c>
      <c r="O13" s="231">
        <v>-4000</v>
      </c>
      <c r="P13" s="193">
        <f t="shared" si="0"/>
        <v>0</v>
      </c>
    </row>
    <row r="14" spans="1:16" x14ac:dyDescent="0.25">
      <c r="A14" s="228" t="s">
        <v>173</v>
      </c>
      <c r="B14" s="229">
        <v>736685.13995999983</v>
      </c>
      <c r="C14" s="229">
        <v>722995.34867000009</v>
      </c>
      <c r="D14" s="230">
        <v>98.141703891197935</v>
      </c>
      <c r="E14" s="229">
        <v>1103372.3539499999</v>
      </c>
      <c r="F14" s="229">
        <v>1004723.7202600002</v>
      </c>
      <c r="G14" s="230">
        <v>91.059352417446007</v>
      </c>
      <c r="H14" s="229">
        <v>-366687.21399000008</v>
      </c>
      <c r="I14" s="229">
        <v>-281728.37159000011</v>
      </c>
      <c r="J14" s="229">
        <v>89301.083920000005</v>
      </c>
      <c r="K14" s="229">
        <v>74713.59964</v>
      </c>
      <c r="L14" s="229">
        <v>-292678.37159</v>
      </c>
      <c r="M14" s="229">
        <v>-287165.87977</v>
      </c>
      <c r="N14" s="229">
        <v>0</v>
      </c>
      <c r="O14" s="231">
        <v>-10950</v>
      </c>
      <c r="P14" s="193">
        <f t="shared" si="0"/>
        <v>0</v>
      </c>
    </row>
    <row r="15" spans="1:16" x14ac:dyDescent="0.25">
      <c r="A15" s="228" t="s">
        <v>174</v>
      </c>
      <c r="B15" s="229">
        <v>589279.49049</v>
      </c>
      <c r="C15" s="229">
        <v>562919.67304999987</v>
      </c>
      <c r="D15" s="230">
        <v>95.526771614250265</v>
      </c>
      <c r="E15" s="229">
        <v>619303.26951999997</v>
      </c>
      <c r="F15" s="229">
        <v>582760.10021999991</v>
      </c>
      <c r="G15" s="229">
        <v>94.099309482360169</v>
      </c>
      <c r="H15" s="229">
        <v>-30023.779029999976</v>
      </c>
      <c r="I15" s="229">
        <v>-19840.427170000039</v>
      </c>
      <c r="J15" s="229">
        <v>9012.1987899999986</v>
      </c>
      <c r="K15" s="229">
        <v>508.50269000000003</v>
      </c>
      <c r="L15" s="229">
        <v>-6725.527170000003</v>
      </c>
      <c r="M15" s="229">
        <v>-8929.048450000002</v>
      </c>
      <c r="N15" s="229">
        <v>35614.9</v>
      </c>
      <c r="O15" s="231">
        <v>4860.8301700000047</v>
      </c>
      <c r="P15" s="193">
        <f t="shared" si="0"/>
        <v>0.88337767485012053</v>
      </c>
    </row>
    <row r="16" spans="1:16" x14ac:dyDescent="0.25">
      <c r="A16" s="228" t="s">
        <v>175</v>
      </c>
      <c r="B16" s="229">
        <v>623057.29015000002</v>
      </c>
      <c r="C16" s="229">
        <v>612855.97458000004</v>
      </c>
      <c r="D16" s="230">
        <v>98.362700231379364</v>
      </c>
      <c r="E16" s="229">
        <v>630935.07433000009</v>
      </c>
      <c r="F16" s="229">
        <v>614066.8213800001</v>
      </c>
      <c r="G16" s="229">
        <v>97.326467708597008</v>
      </c>
      <c r="H16" s="229">
        <v>-7877.7841800000751</v>
      </c>
      <c r="I16" s="229">
        <v>-1210.8468000000576</v>
      </c>
      <c r="J16" s="229">
        <v>13311.204039999999</v>
      </c>
      <c r="K16" s="229">
        <v>248.49199999999999</v>
      </c>
      <c r="L16" s="229">
        <v>-1210.8468000000012</v>
      </c>
      <c r="M16" s="229">
        <v>229.94299999999998</v>
      </c>
      <c r="N16" s="229">
        <v>0</v>
      </c>
      <c r="O16" s="231">
        <v>0</v>
      </c>
      <c r="P16" s="193">
        <f t="shared" si="0"/>
        <v>0</v>
      </c>
    </row>
    <row r="17" spans="1:16" x14ac:dyDescent="0.25">
      <c r="A17" s="228" t="s">
        <v>176</v>
      </c>
      <c r="B17" s="229">
        <v>534385.08369999996</v>
      </c>
      <c r="C17" s="229">
        <v>535730.21568000002</v>
      </c>
      <c r="D17" s="229">
        <v>100.25171585454567</v>
      </c>
      <c r="E17" s="229">
        <v>666485.92223999999</v>
      </c>
      <c r="F17" s="229">
        <v>651735.04342</v>
      </c>
      <c r="G17" s="229">
        <v>97.786768133012686</v>
      </c>
      <c r="H17" s="229">
        <v>-132100.83854000003</v>
      </c>
      <c r="I17" s="229">
        <v>-116004.82773999998</v>
      </c>
      <c r="J17" s="229">
        <v>16135.272720000001</v>
      </c>
      <c r="K17" s="229">
        <v>548.24193000000002</v>
      </c>
      <c r="L17" s="229">
        <v>-116004.82773999998</v>
      </c>
      <c r="M17" s="229">
        <v>-17933.463670000001</v>
      </c>
      <c r="N17" s="229">
        <v>16144.1</v>
      </c>
      <c r="O17" s="231">
        <v>0</v>
      </c>
      <c r="P17" s="193">
        <f t="shared" si="0"/>
        <v>0.40043177211076908</v>
      </c>
    </row>
    <row r="18" spans="1:16" x14ac:dyDescent="0.25">
      <c r="A18" s="228" t="s">
        <v>177</v>
      </c>
      <c r="B18" s="229">
        <v>355533.70192999998</v>
      </c>
      <c r="C18" s="229">
        <v>351864.83620000002</v>
      </c>
      <c r="D18" s="230">
        <v>98.968068087474222</v>
      </c>
      <c r="E18" s="229">
        <v>366132.97896999994</v>
      </c>
      <c r="F18" s="229">
        <v>360956.95579999994</v>
      </c>
      <c r="G18" s="229">
        <v>98.586299659604251</v>
      </c>
      <c r="H18" s="229">
        <v>-10599.277039999957</v>
      </c>
      <c r="I18" s="229">
        <v>-9092.1195999999181</v>
      </c>
      <c r="J18" s="229">
        <v>1507.15744</v>
      </c>
      <c r="K18" s="229">
        <v>37.712249999999997</v>
      </c>
      <c r="L18" s="229">
        <v>-6792.1196000000009</v>
      </c>
      <c r="M18" s="229">
        <v>-5609.9682500000008</v>
      </c>
      <c r="N18" s="229">
        <v>4300</v>
      </c>
      <c r="O18" s="231">
        <v>2300</v>
      </c>
      <c r="P18" s="193">
        <f t="shared" si="0"/>
        <v>0.10665547290194603</v>
      </c>
    </row>
    <row r="19" spans="1:16" x14ac:dyDescent="0.25">
      <c r="A19" s="228" t="s">
        <v>178</v>
      </c>
      <c r="B19" s="229">
        <v>541883.81334999995</v>
      </c>
      <c r="C19" s="229">
        <v>548937.83233</v>
      </c>
      <c r="D19" s="229">
        <v>101.3017585700505</v>
      </c>
      <c r="E19" s="229">
        <v>551975.69493999996</v>
      </c>
      <c r="F19" s="229">
        <v>540776.79487999994</v>
      </c>
      <c r="G19" s="229">
        <v>97.971124424017006</v>
      </c>
      <c r="H19" s="229">
        <v>-10091.881590000005</v>
      </c>
      <c r="I19" s="230">
        <v>8161.0374500000617</v>
      </c>
      <c r="J19" s="229">
        <v>17356.646530000002</v>
      </c>
      <c r="K19" s="229">
        <v>1640.88933</v>
      </c>
      <c r="L19" s="230">
        <v>4161.0374500000016</v>
      </c>
      <c r="M19" s="229">
        <v>205.41277999999988</v>
      </c>
      <c r="N19" s="229">
        <v>7000</v>
      </c>
      <c r="O19" s="231">
        <v>-4000</v>
      </c>
      <c r="P19" s="193">
        <f t="shared" si="0"/>
        <v>0.17362518844502844</v>
      </c>
    </row>
    <row r="20" spans="1:16" x14ac:dyDescent="0.25">
      <c r="A20" s="228" t="s">
        <v>179</v>
      </c>
      <c r="B20" s="229">
        <v>727454.18345999997</v>
      </c>
      <c r="C20" s="229">
        <v>709710.56313000002</v>
      </c>
      <c r="D20" s="230">
        <v>97.560860775367914</v>
      </c>
      <c r="E20" s="229">
        <v>806322.62227000005</v>
      </c>
      <c r="F20" s="229">
        <v>782140.44099000003</v>
      </c>
      <c r="G20" s="229">
        <v>97.000929824848384</v>
      </c>
      <c r="H20" s="229">
        <v>-78868.43881000008</v>
      </c>
      <c r="I20" s="229">
        <v>-72429.877860000008</v>
      </c>
      <c r="J20" s="229">
        <v>7912.3301799999999</v>
      </c>
      <c r="K20" s="229">
        <v>3374.5380399999999</v>
      </c>
      <c r="L20" s="229">
        <v>-48929.877860000001</v>
      </c>
      <c r="M20" s="229">
        <v>-50758.781990000003</v>
      </c>
      <c r="N20" s="229">
        <v>103500</v>
      </c>
      <c r="O20" s="231">
        <v>23500</v>
      </c>
      <c r="P20" s="193">
        <f t="shared" si="0"/>
        <v>2.5671724291514919</v>
      </c>
    </row>
    <row r="21" spans="1:16" x14ac:dyDescent="0.25">
      <c r="A21" s="228" t="s">
        <v>180</v>
      </c>
      <c r="B21" s="229">
        <v>729958.27472999995</v>
      </c>
      <c r="C21" s="229">
        <v>690501.74396999995</v>
      </c>
      <c r="D21" s="230">
        <v>94.594686829929515</v>
      </c>
      <c r="E21" s="229">
        <v>907013.83606000012</v>
      </c>
      <c r="F21" s="229">
        <v>844774.77939000004</v>
      </c>
      <c r="G21" s="230">
        <v>93.138025662280754</v>
      </c>
      <c r="H21" s="229">
        <v>-177055.56133000017</v>
      </c>
      <c r="I21" s="229">
        <v>-154273.03542000009</v>
      </c>
      <c r="J21" s="229">
        <v>19263.066199999997</v>
      </c>
      <c r="K21" s="229">
        <v>12663.722599999999</v>
      </c>
      <c r="L21" s="229">
        <v>-146273.03542</v>
      </c>
      <c r="M21" s="229">
        <v>-140647.40182999999</v>
      </c>
      <c r="N21" s="229">
        <v>8000</v>
      </c>
      <c r="O21" s="231">
        <v>8000</v>
      </c>
      <c r="P21" s="193">
        <f t="shared" si="0"/>
        <v>0.19842878679431822</v>
      </c>
    </row>
    <row r="22" spans="1:16" x14ac:dyDescent="0.25">
      <c r="A22" s="228" t="s">
        <v>181</v>
      </c>
      <c r="B22" s="229">
        <v>1023907.04671</v>
      </c>
      <c r="C22" s="229">
        <v>1025806.24619</v>
      </c>
      <c r="D22" s="229">
        <v>100.18548553661218</v>
      </c>
      <c r="E22" s="229">
        <v>1035058.78252</v>
      </c>
      <c r="F22" s="229">
        <v>1015116.5565300001</v>
      </c>
      <c r="G22" s="229">
        <v>98.073324305171568</v>
      </c>
      <c r="H22" s="229">
        <v>-11151.735809999984</v>
      </c>
      <c r="I22" s="230">
        <v>10689.689659999916</v>
      </c>
      <c r="J22" s="229">
        <v>39248.833049999994</v>
      </c>
      <c r="K22" s="229">
        <v>2286.0284999999999</v>
      </c>
      <c r="L22" s="230">
        <v>10689.689659999993</v>
      </c>
      <c r="M22" s="229">
        <v>-2854.1364600000002</v>
      </c>
      <c r="N22" s="229">
        <v>0</v>
      </c>
      <c r="O22" s="231">
        <v>0</v>
      </c>
      <c r="P22" s="193">
        <f t="shared" si="0"/>
        <v>0</v>
      </c>
    </row>
    <row r="23" spans="1:16" x14ac:dyDescent="0.25">
      <c r="A23" s="228" t="s">
        <v>182</v>
      </c>
      <c r="B23" s="229">
        <v>1207098.29351</v>
      </c>
      <c r="C23" s="229">
        <v>1133605.5651199999</v>
      </c>
      <c r="D23" s="230">
        <v>93.91162022304762</v>
      </c>
      <c r="E23" s="229">
        <v>1236534.7872700002</v>
      </c>
      <c r="F23" s="229">
        <v>1112380.36246</v>
      </c>
      <c r="G23" s="230">
        <v>89.959487910234515</v>
      </c>
      <c r="H23" s="229">
        <v>-29436.493760000216</v>
      </c>
      <c r="I23" s="230">
        <v>21225.202659999952</v>
      </c>
      <c r="J23" s="229">
        <v>41180.996850000003</v>
      </c>
      <c r="K23" s="229">
        <v>21139.249949999998</v>
      </c>
      <c r="L23" s="230">
        <v>21225.202660000003</v>
      </c>
      <c r="M23" s="229">
        <v>13621.445779999998</v>
      </c>
      <c r="N23" s="229">
        <v>97000</v>
      </c>
      <c r="O23" s="231">
        <v>0</v>
      </c>
      <c r="P23" s="193">
        <f t="shared" si="0"/>
        <v>2.4059490398811083</v>
      </c>
    </row>
    <row r="24" spans="1:16" x14ac:dyDescent="0.25">
      <c r="A24" s="228" t="s">
        <v>183</v>
      </c>
      <c r="B24" s="229">
        <v>1255752.9249899997</v>
      </c>
      <c r="C24" s="229">
        <v>1265759.9162499998</v>
      </c>
      <c r="D24" s="229">
        <v>100.79689173410286</v>
      </c>
      <c r="E24" s="229">
        <v>1295579.9723699999</v>
      </c>
      <c r="F24" s="229">
        <v>1279153.6372700003</v>
      </c>
      <c r="G24" s="229">
        <v>98.732124959453415</v>
      </c>
      <c r="H24" s="229">
        <v>-39827.04738000012</v>
      </c>
      <c r="I24" s="229">
        <v>-13393.721020000521</v>
      </c>
      <c r="J24" s="229">
        <v>69216.811000000002</v>
      </c>
      <c r="K24" s="229">
        <v>3268.28404</v>
      </c>
      <c r="L24" s="229">
        <v>-33393.721019999997</v>
      </c>
      <c r="M24" s="229">
        <v>-1195.9615899999994</v>
      </c>
      <c r="N24" s="229">
        <v>0</v>
      </c>
      <c r="O24" s="231">
        <v>-20000</v>
      </c>
      <c r="P24" s="193">
        <f t="shared" si="0"/>
        <v>0</v>
      </c>
    </row>
    <row r="25" spans="1:16" x14ac:dyDescent="0.25">
      <c r="A25" s="228" t="s">
        <v>184</v>
      </c>
      <c r="B25" s="229">
        <v>1047635.90955</v>
      </c>
      <c r="C25" s="229">
        <v>1051435.15616</v>
      </c>
      <c r="D25" s="229">
        <v>100.36264952120932</v>
      </c>
      <c r="E25" s="229">
        <v>1090614.2694699999</v>
      </c>
      <c r="F25" s="229">
        <v>1075803.9596900002</v>
      </c>
      <c r="G25" s="229">
        <v>98.642021272360836</v>
      </c>
      <c r="H25" s="229">
        <v>-42978.359919999959</v>
      </c>
      <c r="I25" s="229">
        <v>-24368.80353000015</v>
      </c>
      <c r="J25" s="229">
        <v>24694.457620000001</v>
      </c>
      <c r="K25" s="229">
        <v>3546.6883499999999</v>
      </c>
      <c r="L25" s="229">
        <v>-24368.803529999997</v>
      </c>
      <c r="M25" s="229">
        <v>-22545.581290000002</v>
      </c>
      <c r="N25" s="229">
        <v>27600</v>
      </c>
      <c r="O25" s="231">
        <v>0</v>
      </c>
      <c r="P25" s="193">
        <f t="shared" si="0"/>
        <v>0.68457931444039788</v>
      </c>
    </row>
    <row r="26" spans="1:16" x14ac:dyDescent="0.25">
      <c r="A26" s="228" t="s">
        <v>185</v>
      </c>
      <c r="B26" s="229">
        <v>989693.31423000002</v>
      </c>
      <c r="C26" s="229">
        <v>976889.28041000001</v>
      </c>
      <c r="D26" s="230">
        <v>98.706262471828282</v>
      </c>
      <c r="E26" s="229">
        <v>1107148.33128</v>
      </c>
      <c r="F26" s="229">
        <v>1086315.5170300002</v>
      </c>
      <c r="G26" s="229">
        <v>98.11833575850541</v>
      </c>
      <c r="H26" s="229">
        <v>-117455.01705000002</v>
      </c>
      <c r="I26" s="229">
        <v>-109426.23662000021</v>
      </c>
      <c r="J26" s="229">
        <v>31892.288530000002</v>
      </c>
      <c r="K26" s="229">
        <v>3378.5789300000001</v>
      </c>
      <c r="L26" s="229">
        <v>-109426.23662</v>
      </c>
      <c r="M26" s="229">
        <v>-101122.3465</v>
      </c>
      <c r="N26" s="229">
        <v>0</v>
      </c>
      <c r="O26" s="231">
        <v>0</v>
      </c>
      <c r="P26" s="193">
        <f t="shared" si="0"/>
        <v>0</v>
      </c>
    </row>
    <row r="27" spans="1:16" x14ac:dyDescent="0.25">
      <c r="A27" s="228" t="s">
        <v>186</v>
      </c>
      <c r="B27" s="229">
        <v>398020.57659000007</v>
      </c>
      <c r="C27" s="229">
        <v>396895.15771999996</v>
      </c>
      <c r="D27" s="230">
        <v>99.71724605807016</v>
      </c>
      <c r="E27" s="229">
        <v>408969.74664000003</v>
      </c>
      <c r="F27" s="229">
        <v>402515.35347000003</v>
      </c>
      <c r="G27" s="229">
        <v>98.421792021774763</v>
      </c>
      <c r="H27" s="229">
        <v>-10949.170049999957</v>
      </c>
      <c r="I27" s="229">
        <v>-5620.1957500000717</v>
      </c>
      <c r="J27" s="229">
        <v>28563.21675</v>
      </c>
      <c r="K27" s="229">
        <v>96.801000000000002</v>
      </c>
      <c r="L27" s="229">
        <v>-5620.195749999999</v>
      </c>
      <c r="M27" s="229">
        <v>-2009.3490000000002</v>
      </c>
      <c r="N27" s="229">
        <v>0</v>
      </c>
      <c r="O27" s="231">
        <v>0</v>
      </c>
      <c r="P27" s="193">
        <f t="shared" si="0"/>
        <v>0</v>
      </c>
    </row>
    <row r="28" spans="1:16" x14ac:dyDescent="0.25">
      <c r="A28" s="228" t="s">
        <v>187</v>
      </c>
      <c r="B28" s="229">
        <v>7843573.0809300002</v>
      </c>
      <c r="C28" s="229">
        <v>7938974.9641400008</v>
      </c>
      <c r="D28" s="229">
        <v>101.21630642343284</v>
      </c>
      <c r="E28" s="229">
        <v>8531610.1594699994</v>
      </c>
      <c r="F28" s="229">
        <v>8236508.9248900004</v>
      </c>
      <c r="G28" s="229">
        <v>96.541083932996628</v>
      </c>
      <c r="H28" s="229">
        <v>-688037.0785399992</v>
      </c>
      <c r="I28" s="229">
        <v>-297533.96074999962</v>
      </c>
      <c r="J28" s="229">
        <v>23609.369989999999</v>
      </c>
      <c r="K28" s="229">
        <v>3911.0231400000002</v>
      </c>
      <c r="L28" s="229">
        <v>-8533.9607499999984</v>
      </c>
      <c r="M28" s="229">
        <v>-273717.00166999997</v>
      </c>
      <c r="N28" s="229">
        <v>1579000</v>
      </c>
      <c r="O28" s="231">
        <v>289000</v>
      </c>
      <c r="P28" s="193">
        <f t="shared" si="0"/>
        <v>39.164881793528558</v>
      </c>
    </row>
    <row r="29" spans="1:16" x14ac:dyDescent="0.25">
      <c r="A29" s="228" t="s">
        <v>188</v>
      </c>
      <c r="B29" s="229">
        <v>6479829.1666599996</v>
      </c>
      <c r="C29" s="229">
        <v>6020019.2605299996</v>
      </c>
      <c r="D29" s="230">
        <v>92.903981041725416</v>
      </c>
      <c r="E29" s="229">
        <v>6783993.26339</v>
      </c>
      <c r="F29" s="229">
        <v>6242511.8986499999</v>
      </c>
      <c r="G29" s="230">
        <v>92.018250258853911</v>
      </c>
      <c r="H29" s="229">
        <v>-304164.09673000034</v>
      </c>
      <c r="I29" s="229">
        <v>-222492.63812000025</v>
      </c>
      <c r="J29" s="229">
        <v>134716.48724000002</v>
      </c>
      <c r="K29" s="229">
        <v>27139.455989999999</v>
      </c>
      <c r="L29" s="229">
        <v>-166472.63811999999</v>
      </c>
      <c r="M29" s="229">
        <v>-232973.47998</v>
      </c>
      <c r="N29" s="229">
        <v>1681466.665</v>
      </c>
      <c r="O29" s="231">
        <v>50000</v>
      </c>
      <c r="P29" s="193">
        <f t="shared" si="0"/>
        <v>41.706423796379788</v>
      </c>
    </row>
    <row r="30" spans="1:16" x14ac:dyDescent="0.25">
      <c r="A30" s="228" t="s">
        <v>189</v>
      </c>
      <c r="B30" s="229">
        <v>1689048.5729499999</v>
      </c>
      <c r="C30" s="229">
        <v>1702954.41494</v>
      </c>
      <c r="D30" s="229">
        <v>100.82329438079528</v>
      </c>
      <c r="E30" s="229">
        <v>1757014.5771300001</v>
      </c>
      <c r="F30" s="229">
        <v>1725754.3757499999</v>
      </c>
      <c r="G30" s="229">
        <v>98.220834261314877</v>
      </c>
      <c r="H30" s="229">
        <v>-67966.004180000164</v>
      </c>
      <c r="I30" s="229">
        <v>-22799.960809999844</v>
      </c>
      <c r="J30" s="229">
        <v>9062.9773000000005</v>
      </c>
      <c r="K30" s="229">
        <v>2373.6414500000001</v>
      </c>
      <c r="L30" s="229">
        <v>2200.0391900000004</v>
      </c>
      <c r="M30" s="229">
        <v>1272.7456300000001</v>
      </c>
      <c r="N30" s="229">
        <v>129000</v>
      </c>
      <c r="O30" s="231">
        <v>25000</v>
      </c>
      <c r="P30" s="193">
        <f t="shared" si="0"/>
        <v>3.1996641870583811</v>
      </c>
    </row>
    <row r="31" spans="1:16" x14ac:dyDescent="0.25">
      <c r="A31" s="228" t="s">
        <v>190</v>
      </c>
      <c r="B31" s="229">
        <v>924936.45311</v>
      </c>
      <c r="C31" s="229">
        <v>930880.99679999996</v>
      </c>
      <c r="D31" s="229">
        <v>100.64269752478801</v>
      </c>
      <c r="E31" s="229">
        <v>947579.75209000008</v>
      </c>
      <c r="F31" s="229">
        <v>937280.61884000001</v>
      </c>
      <c r="G31" s="229">
        <v>98.913111722017675</v>
      </c>
      <c r="H31" s="229">
        <v>-22643.29898000008</v>
      </c>
      <c r="I31" s="229">
        <v>-6399.6220400000457</v>
      </c>
      <c r="J31" s="229">
        <v>13006.39445</v>
      </c>
      <c r="K31" s="229">
        <v>8.92</v>
      </c>
      <c r="L31" s="229">
        <v>-2599.6220400000002</v>
      </c>
      <c r="M31" s="229">
        <v>-2634.37898</v>
      </c>
      <c r="N31" s="229">
        <v>73800</v>
      </c>
      <c r="O31" s="231">
        <v>3800</v>
      </c>
      <c r="P31" s="193">
        <f t="shared" si="0"/>
        <v>1.8305055581775855</v>
      </c>
    </row>
    <row r="32" spans="1:16" x14ac:dyDescent="0.25">
      <c r="A32" s="228" t="s">
        <v>191</v>
      </c>
      <c r="B32" s="229">
        <v>871049.16248000006</v>
      </c>
      <c r="C32" s="229">
        <v>877095.96690999996</v>
      </c>
      <c r="D32" s="229">
        <v>100.69419783526153</v>
      </c>
      <c r="E32" s="229">
        <v>878753.42709000001</v>
      </c>
      <c r="F32" s="229">
        <v>872545.24038999993</v>
      </c>
      <c r="G32" s="229">
        <v>99.293523472157773</v>
      </c>
      <c r="H32" s="229">
        <v>-7704.2646099999547</v>
      </c>
      <c r="I32" s="230">
        <v>4550.7265200000256</v>
      </c>
      <c r="J32" s="229">
        <v>12254.99113</v>
      </c>
      <c r="K32" s="229">
        <v>4106.2218999999996</v>
      </c>
      <c r="L32" s="230">
        <v>4550.7265200000002</v>
      </c>
      <c r="M32" s="229">
        <v>3478.7762199999997</v>
      </c>
      <c r="N32" s="229">
        <v>212247.42499999999</v>
      </c>
      <c r="O32" s="231">
        <v>0</v>
      </c>
      <c r="P32" s="193">
        <f t="shared" si="0"/>
        <v>5.2644998803710052</v>
      </c>
    </row>
    <row r="33" spans="1:16" x14ac:dyDescent="0.25">
      <c r="A33" s="228" t="s">
        <v>192</v>
      </c>
      <c r="B33" s="229">
        <v>1000630.65189</v>
      </c>
      <c r="C33" s="229">
        <v>908830.50454999995</v>
      </c>
      <c r="D33" s="230">
        <v>90.825771010851298</v>
      </c>
      <c r="E33" s="229">
        <v>1029821.0725499999</v>
      </c>
      <c r="F33" s="229">
        <v>950881.58551999996</v>
      </c>
      <c r="G33" s="230">
        <v>92.33464053764861</v>
      </c>
      <c r="H33" s="229">
        <v>-29190.420659999945</v>
      </c>
      <c r="I33" s="229">
        <v>-42051.08097000001</v>
      </c>
      <c r="J33" s="229">
        <v>49584.527560000002</v>
      </c>
      <c r="K33" s="229">
        <v>0</v>
      </c>
      <c r="L33" s="229">
        <v>-42051.080969999995</v>
      </c>
      <c r="M33" s="229">
        <v>-4125.5708500000001</v>
      </c>
      <c r="N33" s="229">
        <v>0</v>
      </c>
      <c r="O33" s="231">
        <v>0</v>
      </c>
      <c r="P33" s="193">
        <f t="shared" si="0"/>
        <v>0</v>
      </c>
    </row>
    <row r="34" spans="1:16" x14ac:dyDescent="0.25">
      <c r="A34" s="228" t="s">
        <v>193</v>
      </c>
      <c r="B34" s="229">
        <v>94516.926790000012</v>
      </c>
      <c r="C34" s="229">
        <v>98485.105650000012</v>
      </c>
      <c r="D34" s="229">
        <v>104.19837905734768</v>
      </c>
      <c r="E34" s="229">
        <v>103170.47365</v>
      </c>
      <c r="F34" s="229">
        <v>99273.280729999999</v>
      </c>
      <c r="G34" s="229">
        <v>96.22256951807644</v>
      </c>
      <c r="H34" s="229">
        <v>-8653.5468599999876</v>
      </c>
      <c r="I34" s="229">
        <v>-788.17507999998634</v>
      </c>
      <c r="J34" s="229">
        <v>18254.175629999998</v>
      </c>
      <c r="K34" s="229">
        <v>1.54373</v>
      </c>
      <c r="L34" s="229">
        <v>-788.17508000000453</v>
      </c>
      <c r="M34" s="229">
        <v>-4.6562700000000001</v>
      </c>
      <c r="N34" s="229">
        <v>0</v>
      </c>
      <c r="O34" s="231">
        <v>0</v>
      </c>
      <c r="P34" s="193">
        <f t="shared" si="0"/>
        <v>0</v>
      </c>
    </row>
    <row r="35" spans="1:16" s="195" customFormat="1" ht="13.8" thickBot="1" x14ac:dyDescent="0.3">
      <c r="A35" s="273" t="s">
        <v>194</v>
      </c>
      <c r="B35" s="274">
        <v>33338522.610439997</v>
      </c>
      <c r="C35" s="274">
        <v>32742108.75612</v>
      </c>
      <c r="D35" s="274">
        <v>98.211036939791612</v>
      </c>
      <c r="E35" s="274">
        <v>35728721.992320001</v>
      </c>
      <c r="F35" s="274">
        <v>34159715.291570008</v>
      </c>
      <c r="G35" s="274">
        <v>95.608556328750694</v>
      </c>
      <c r="H35" s="274">
        <v>-2390199.3818800002</v>
      </c>
      <c r="I35" s="274">
        <v>-1417606.5354500008</v>
      </c>
      <c r="J35" s="274">
        <v>781571.45194000006</v>
      </c>
      <c r="K35" s="274">
        <v>212154.856</v>
      </c>
      <c r="L35" s="274">
        <v>-1017653.7654499998</v>
      </c>
      <c r="M35" s="274">
        <v>-1217905.03486</v>
      </c>
      <c r="N35" s="274">
        <v>4031673.09</v>
      </c>
      <c r="O35" s="275">
        <v>385510.83016999997</v>
      </c>
    </row>
    <row r="36" spans="1:16" s="247" customFormat="1" ht="13.8" thickTop="1" x14ac:dyDescent="0.25">
      <c r="A36" s="276"/>
      <c r="B36" s="277"/>
      <c r="C36" s="277"/>
      <c r="D36" s="277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7"/>
    </row>
    <row r="39" spans="1:16" x14ac:dyDescent="0.25">
      <c r="A39" s="223" t="s">
        <v>323</v>
      </c>
      <c r="D39" s="193">
        <v>14</v>
      </c>
      <c r="G39" s="193">
        <v>0</v>
      </c>
    </row>
    <row r="40" spans="1:16" x14ac:dyDescent="0.25">
      <c r="A40" s="223" t="s">
        <v>324</v>
      </c>
      <c r="D40" s="193">
        <v>12</v>
      </c>
      <c r="G40" s="193">
        <v>26</v>
      </c>
    </row>
  </sheetData>
  <mergeCells count="11">
    <mergeCell ref="K6:K7"/>
    <mergeCell ref="N1:O1"/>
    <mergeCell ref="A3:O3"/>
    <mergeCell ref="A5:A7"/>
    <mergeCell ref="B5:D6"/>
    <mergeCell ref="E5:G6"/>
    <mergeCell ref="H5:I6"/>
    <mergeCell ref="J5:J7"/>
    <mergeCell ref="L5:M6"/>
    <mergeCell ref="N5:N7"/>
    <mergeCell ref="O5:O7"/>
  </mergeCells>
  <pageMargins left="0.39370078740157483" right="0.39370078740157483" top="0.98425196850393704" bottom="0.59055118110236227" header="0.70866141732283472" footer="0.31496062992125984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36"/>
  <sheetViews>
    <sheetView zoomScale="85" zoomScaleNormal="85" workbookViewId="0">
      <selection activeCell="A4" sqref="A4"/>
    </sheetView>
  </sheetViews>
  <sheetFormatPr defaultColWidth="8.19921875" defaultRowHeight="13.2" x14ac:dyDescent="0.25"/>
  <cols>
    <col min="1" max="1" width="19.296875" style="192" customWidth="1"/>
    <col min="2" max="3" width="11.09765625" style="193" bestFit="1" customWidth="1"/>
    <col min="4" max="4" width="5.5" style="193" bestFit="1" customWidth="1"/>
    <col min="5" max="6" width="10.19921875" style="193" bestFit="1" customWidth="1"/>
    <col min="7" max="7" width="5.8984375" style="193" customWidth="1"/>
    <col min="8" max="9" width="10.19921875" style="234" bestFit="1" customWidth="1"/>
    <col min="10" max="10" width="5.5" style="234" bestFit="1" customWidth="1"/>
    <col min="11" max="12" width="8.69921875" style="234" bestFit="1" customWidth="1"/>
    <col min="13" max="13" width="5.5" style="234" customWidth="1"/>
    <col min="14" max="15" width="10.19921875" style="234" bestFit="1" customWidth="1"/>
    <col min="16" max="16" width="5.5" style="234" bestFit="1" customWidth="1"/>
    <col min="17" max="18" width="8.69921875" style="234" bestFit="1" customWidth="1"/>
    <col min="19" max="19" width="5.5" style="234" bestFit="1" customWidth="1"/>
    <col min="20" max="16384" width="8.19921875" style="234"/>
  </cols>
  <sheetData>
    <row r="1" spans="1:19" ht="15" customHeight="1" x14ac:dyDescent="0.25">
      <c r="N1" s="247"/>
      <c r="O1" s="247"/>
      <c r="P1" s="247"/>
      <c r="Q1" s="398" t="s">
        <v>416</v>
      </c>
      <c r="R1" s="398"/>
      <c r="S1" s="398"/>
    </row>
    <row r="3" spans="1:19" s="224" customFormat="1" ht="36.75" customHeight="1" x14ac:dyDescent="0.25">
      <c r="A3" s="399" t="s">
        <v>430</v>
      </c>
      <c r="B3" s="399"/>
      <c r="C3" s="399"/>
      <c r="D3" s="399"/>
      <c r="E3" s="399"/>
      <c r="F3" s="399"/>
      <c r="G3" s="399"/>
      <c r="H3" s="399"/>
      <c r="I3" s="399"/>
      <c r="J3" s="399"/>
      <c r="K3" s="399"/>
      <c r="L3" s="399"/>
      <c r="M3" s="399"/>
      <c r="N3" s="399"/>
      <c r="O3" s="399"/>
      <c r="P3" s="399"/>
      <c r="Q3" s="399"/>
      <c r="R3" s="399"/>
      <c r="S3" s="399"/>
    </row>
    <row r="4" spans="1:19" s="224" customFormat="1" ht="13.8" thickBot="1" x14ac:dyDescent="0.3">
      <c r="A4" s="192"/>
      <c r="B4" s="192"/>
      <c r="C4" s="192"/>
      <c r="D4" s="192"/>
      <c r="E4" s="192"/>
      <c r="F4" s="192"/>
      <c r="G4" s="192"/>
      <c r="S4" s="370" t="s">
        <v>424</v>
      </c>
    </row>
    <row r="5" spans="1:19" s="246" customFormat="1" ht="12.75" customHeight="1" thickTop="1" x14ac:dyDescent="0.25">
      <c r="A5" s="375" t="s">
        <v>153</v>
      </c>
      <c r="B5" s="377" t="s">
        <v>336</v>
      </c>
      <c r="C5" s="377"/>
      <c r="D5" s="377"/>
      <c r="E5" s="377" t="s">
        <v>195</v>
      </c>
      <c r="F5" s="377"/>
      <c r="G5" s="377"/>
      <c r="H5" s="377"/>
      <c r="I5" s="377"/>
      <c r="J5" s="377"/>
      <c r="K5" s="377"/>
      <c r="L5" s="377"/>
      <c r="M5" s="377"/>
      <c r="N5" s="377"/>
      <c r="O5" s="377"/>
      <c r="P5" s="377"/>
      <c r="Q5" s="377"/>
      <c r="R5" s="377"/>
      <c r="S5" s="378"/>
    </row>
    <row r="6" spans="1:19" s="246" customFormat="1" ht="39.75" customHeight="1" x14ac:dyDescent="0.25">
      <c r="A6" s="376"/>
      <c r="B6" s="383"/>
      <c r="C6" s="383"/>
      <c r="D6" s="383"/>
      <c r="E6" s="383" t="s">
        <v>196</v>
      </c>
      <c r="F6" s="383"/>
      <c r="G6" s="383"/>
      <c r="H6" s="400" t="s">
        <v>337</v>
      </c>
      <c r="I6" s="400"/>
      <c r="J6" s="400"/>
      <c r="K6" s="400" t="s">
        <v>338</v>
      </c>
      <c r="L6" s="400"/>
      <c r="M6" s="400"/>
      <c r="N6" s="400" t="s">
        <v>339</v>
      </c>
      <c r="O6" s="400"/>
      <c r="P6" s="400"/>
      <c r="Q6" s="400" t="s">
        <v>69</v>
      </c>
      <c r="R6" s="400"/>
      <c r="S6" s="401"/>
    </row>
    <row r="7" spans="1:19" s="291" customFormat="1" ht="24" x14ac:dyDescent="0.25">
      <c r="A7" s="376"/>
      <c r="B7" s="8" t="s">
        <v>157</v>
      </c>
      <c r="C7" s="8" t="s">
        <v>158</v>
      </c>
      <c r="D7" s="8" t="s">
        <v>151</v>
      </c>
      <c r="E7" s="8" t="s">
        <v>157</v>
      </c>
      <c r="F7" s="8" t="s">
        <v>158</v>
      </c>
      <c r="G7" s="8" t="s">
        <v>151</v>
      </c>
      <c r="H7" s="289" t="s">
        <v>157</v>
      </c>
      <c r="I7" s="289" t="s">
        <v>158</v>
      </c>
      <c r="J7" s="289" t="s">
        <v>151</v>
      </c>
      <c r="K7" s="289" t="s">
        <v>157</v>
      </c>
      <c r="L7" s="289" t="s">
        <v>158</v>
      </c>
      <c r="M7" s="289" t="s">
        <v>151</v>
      </c>
      <c r="N7" s="289" t="s">
        <v>157</v>
      </c>
      <c r="O7" s="289" t="s">
        <v>158</v>
      </c>
      <c r="P7" s="289" t="s">
        <v>151</v>
      </c>
      <c r="Q7" s="289" t="s">
        <v>157</v>
      </c>
      <c r="R7" s="289" t="s">
        <v>158</v>
      </c>
      <c r="S7" s="290" t="s">
        <v>151</v>
      </c>
    </row>
    <row r="8" spans="1:19" s="294" customFormat="1" ht="10.199999999999999" x14ac:dyDescent="0.25">
      <c r="A8" s="232" t="s">
        <v>28</v>
      </c>
      <c r="B8" s="288" t="s">
        <v>49</v>
      </c>
      <c r="C8" s="288" t="s">
        <v>50</v>
      </c>
      <c r="D8" s="288" t="s">
        <v>51</v>
      </c>
      <c r="E8" s="288" t="s">
        <v>162</v>
      </c>
      <c r="F8" s="288" t="s">
        <v>197</v>
      </c>
      <c r="G8" s="288" t="s">
        <v>164</v>
      </c>
      <c r="H8" s="292" t="s">
        <v>52</v>
      </c>
      <c r="I8" s="292" t="s">
        <v>53</v>
      </c>
      <c r="J8" s="292" t="s">
        <v>54</v>
      </c>
      <c r="K8" s="292" t="s">
        <v>165</v>
      </c>
      <c r="L8" s="292" t="s">
        <v>166</v>
      </c>
      <c r="M8" s="292" t="s">
        <v>167</v>
      </c>
      <c r="N8" s="292" t="s">
        <v>340</v>
      </c>
      <c r="O8" s="292" t="s">
        <v>341</v>
      </c>
      <c r="P8" s="292" t="s">
        <v>342</v>
      </c>
      <c r="Q8" s="292" t="s">
        <v>343</v>
      </c>
      <c r="R8" s="292" t="s">
        <v>344</v>
      </c>
      <c r="S8" s="293" t="s">
        <v>345</v>
      </c>
    </row>
    <row r="9" spans="1:19" x14ac:dyDescent="0.25">
      <c r="A9" s="145" t="s">
        <v>168</v>
      </c>
      <c r="B9" s="229">
        <v>461753.18563000002</v>
      </c>
      <c r="C9" s="229">
        <v>470967.24501999997</v>
      </c>
      <c r="D9" s="229">
        <v>101.99545117970949</v>
      </c>
      <c r="E9" s="229">
        <v>233424.01433999999</v>
      </c>
      <c r="F9" s="229">
        <v>243092.17130000002</v>
      </c>
      <c r="G9" s="229">
        <v>104.14188616682669</v>
      </c>
      <c r="H9" s="229">
        <v>53472</v>
      </c>
      <c r="I9" s="229">
        <v>46277.448250000001</v>
      </c>
      <c r="J9" s="229">
        <v>86.545197954069423</v>
      </c>
      <c r="K9" s="229">
        <v>40249.3537</v>
      </c>
      <c r="L9" s="229">
        <v>38462.609600000003</v>
      </c>
      <c r="M9" s="229">
        <v>95.560812942941752</v>
      </c>
      <c r="N9" s="229">
        <v>30736.980329999999</v>
      </c>
      <c r="O9" s="229">
        <v>31393.357530000001</v>
      </c>
      <c r="P9" s="229">
        <v>102.1354641638605</v>
      </c>
      <c r="Q9" s="229">
        <v>32970.920299999998</v>
      </c>
      <c r="R9" s="229">
        <v>36977.195869999996</v>
      </c>
      <c r="S9" s="231">
        <v>112.1509364420137</v>
      </c>
    </row>
    <row r="10" spans="1:19" x14ac:dyDescent="0.25">
      <c r="A10" s="145" t="s">
        <v>169</v>
      </c>
      <c r="B10" s="229">
        <v>101008.50756999999</v>
      </c>
      <c r="C10" s="229">
        <v>101263.14135999999</v>
      </c>
      <c r="D10" s="229">
        <v>100.25209142885667</v>
      </c>
      <c r="E10" s="229">
        <v>39538.699999999997</v>
      </c>
      <c r="F10" s="229">
        <v>39845.968489999999</v>
      </c>
      <c r="G10" s="229">
        <v>100.77713351728814</v>
      </c>
      <c r="H10" s="229">
        <v>5795.1</v>
      </c>
      <c r="I10" s="229">
        <v>5864.9900800000005</v>
      </c>
      <c r="J10" s="230">
        <v>101.20602025849425</v>
      </c>
      <c r="K10" s="229">
        <v>10781.2</v>
      </c>
      <c r="L10" s="229">
        <v>9472.1648000000005</v>
      </c>
      <c r="M10" s="229">
        <v>87.85816792193819</v>
      </c>
      <c r="N10" s="229">
        <v>13950.877570000001</v>
      </c>
      <c r="O10" s="229">
        <v>14520.75488</v>
      </c>
      <c r="P10" s="229">
        <v>104.08488503422512</v>
      </c>
      <c r="Q10" s="229">
        <v>1064.7</v>
      </c>
      <c r="R10" s="229">
        <v>1429.6939</v>
      </c>
      <c r="S10" s="231">
        <v>134.28138442753826</v>
      </c>
    </row>
    <row r="11" spans="1:19" x14ac:dyDescent="0.25">
      <c r="A11" s="145" t="s">
        <v>170</v>
      </c>
      <c r="B11" s="229">
        <v>82355.691000000006</v>
      </c>
      <c r="C11" s="229">
        <v>89544.878689999998</v>
      </c>
      <c r="D11" s="229">
        <v>108.7294364271681</v>
      </c>
      <c r="E11" s="229">
        <v>44059.707999999999</v>
      </c>
      <c r="F11" s="229">
        <v>47853.204469999997</v>
      </c>
      <c r="G11" s="229">
        <v>108.6098992530772</v>
      </c>
      <c r="H11" s="229">
        <v>9162</v>
      </c>
      <c r="I11" s="229">
        <v>9234.2364600000001</v>
      </c>
      <c r="J11" s="230">
        <v>100.78843549443353</v>
      </c>
      <c r="K11" s="229">
        <v>5159</v>
      </c>
      <c r="L11" s="229">
        <v>4883.5521799999997</v>
      </c>
      <c r="M11" s="229">
        <v>94.660829230471009</v>
      </c>
      <c r="N11" s="229">
        <v>9102.6569999999992</v>
      </c>
      <c r="O11" s="229">
        <v>10243.55387</v>
      </c>
      <c r="P11" s="229">
        <v>112.53366868596719</v>
      </c>
      <c r="Q11" s="229">
        <v>1559.326</v>
      </c>
      <c r="R11" s="229">
        <v>1734.1797099999999</v>
      </c>
      <c r="S11" s="231">
        <v>111.21341592457253</v>
      </c>
    </row>
    <row r="12" spans="1:19" x14ac:dyDescent="0.25">
      <c r="A12" s="145" t="s">
        <v>171</v>
      </c>
      <c r="B12" s="229">
        <v>107464.24231</v>
      </c>
      <c r="C12" s="229">
        <v>106031.59200999999</v>
      </c>
      <c r="D12" s="230">
        <v>98.666858604123149</v>
      </c>
      <c r="E12" s="229">
        <v>49183</v>
      </c>
      <c r="F12" s="229">
        <v>51497.9493</v>
      </c>
      <c r="G12" s="229">
        <v>104.70680784010736</v>
      </c>
      <c r="H12" s="229">
        <v>12106</v>
      </c>
      <c r="I12" s="229">
        <v>11142.50635</v>
      </c>
      <c r="J12" s="229">
        <v>92.041189079795132</v>
      </c>
      <c r="K12" s="229">
        <v>7567.7</v>
      </c>
      <c r="L12" s="229">
        <v>3865.7997300000002</v>
      </c>
      <c r="M12" s="230">
        <v>51.082888195885154</v>
      </c>
      <c r="N12" s="229">
        <v>18017.702309999997</v>
      </c>
      <c r="O12" s="229">
        <v>18742.094510000003</v>
      </c>
      <c r="P12" s="229">
        <v>104.02044715545091</v>
      </c>
      <c r="Q12" s="229">
        <v>5931.34</v>
      </c>
      <c r="R12" s="229">
        <v>4594.1083099999996</v>
      </c>
      <c r="S12" s="233">
        <v>77.45481307765192</v>
      </c>
    </row>
    <row r="13" spans="1:19" x14ac:dyDescent="0.25">
      <c r="A13" s="145" t="s">
        <v>172</v>
      </c>
      <c r="B13" s="229">
        <v>128146.66647</v>
      </c>
      <c r="C13" s="229">
        <v>128169.94555000002</v>
      </c>
      <c r="D13" s="229">
        <v>100.01816596610843</v>
      </c>
      <c r="E13" s="229">
        <v>51854</v>
      </c>
      <c r="F13" s="229">
        <v>53036.927009999999</v>
      </c>
      <c r="G13" s="229">
        <v>102.28126472403287</v>
      </c>
      <c r="H13" s="229">
        <v>21500</v>
      </c>
      <c r="I13" s="229">
        <v>20302.244640000001</v>
      </c>
      <c r="J13" s="229">
        <v>94.429044837209304</v>
      </c>
      <c r="K13" s="229">
        <v>10741</v>
      </c>
      <c r="L13" s="229">
        <v>8690.7742600000001</v>
      </c>
      <c r="M13" s="230">
        <v>80.912152127362447</v>
      </c>
      <c r="N13" s="229">
        <v>11463</v>
      </c>
      <c r="O13" s="229">
        <v>13342.103929999999</v>
      </c>
      <c r="P13" s="229">
        <v>116.39277614935008</v>
      </c>
      <c r="Q13" s="229">
        <v>7717.81747</v>
      </c>
      <c r="R13" s="229">
        <v>3484.8303500000002</v>
      </c>
      <c r="S13" s="233">
        <v>45.153054779358499</v>
      </c>
    </row>
    <row r="14" spans="1:19" x14ac:dyDescent="0.25">
      <c r="A14" s="145" t="s">
        <v>173</v>
      </c>
      <c r="B14" s="229">
        <v>162221.40920000002</v>
      </c>
      <c r="C14" s="229">
        <v>160950.78737999999</v>
      </c>
      <c r="D14" s="230">
        <v>99.216736048425332</v>
      </c>
      <c r="E14" s="229">
        <v>89370</v>
      </c>
      <c r="F14" s="229">
        <v>87588.963839999997</v>
      </c>
      <c r="G14" s="230">
        <v>98.007120778784824</v>
      </c>
      <c r="H14" s="229">
        <v>18393</v>
      </c>
      <c r="I14" s="229">
        <v>18513.89847</v>
      </c>
      <c r="J14" s="230">
        <v>100.65730696460609</v>
      </c>
      <c r="K14" s="229">
        <v>9254.0425899999991</v>
      </c>
      <c r="L14" s="229">
        <v>8965.6308100000006</v>
      </c>
      <c r="M14" s="229">
        <v>96.883396880930079</v>
      </c>
      <c r="N14" s="229">
        <v>10069</v>
      </c>
      <c r="O14" s="229">
        <v>9768.4517500000002</v>
      </c>
      <c r="P14" s="229">
        <v>97.015113218790347</v>
      </c>
      <c r="Q14" s="229">
        <v>4468</v>
      </c>
      <c r="R14" s="229">
        <v>4574.50342</v>
      </c>
      <c r="S14" s="231">
        <v>102.3836933751119</v>
      </c>
    </row>
    <row r="15" spans="1:19" x14ac:dyDescent="0.25">
      <c r="A15" s="145" t="s">
        <v>174</v>
      </c>
      <c r="B15" s="229">
        <v>190078.61716000002</v>
      </c>
      <c r="C15" s="229">
        <v>180986.46331999998</v>
      </c>
      <c r="D15" s="230">
        <v>95.216635108226484</v>
      </c>
      <c r="E15" s="229">
        <v>96448.75</v>
      </c>
      <c r="F15" s="229">
        <v>99921.369260000007</v>
      </c>
      <c r="G15" s="229">
        <v>103.60048135408702</v>
      </c>
      <c r="H15" s="229">
        <v>7797.73</v>
      </c>
      <c r="I15" s="229">
        <v>7690.2317300000004</v>
      </c>
      <c r="J15" s="229">
        <v>98.621415847945499</v>
      </c>
      <c r="K15" s="229">
        <v>21824.13</v>
      </c>
      <c r="L15" s="229">
        <v>20876.533159999999</v>
      </c>
      <c r="M15" s="229">
        <v>95.65803154581647</v>
      </c>
      <c r="N15" s="229">
        <v>30286.19</v>
      </c>
      <c r="O15" s="229">
        <v>20701.747010000003</v>
      </c>
      <c r="P15" s="230">
        <v>68.353751363245109</v>
      </c>
      <c r="Q15" s="229">
        <v>7806.38148</v>
      </c>
      <c r="R15" s="229">
        <v>3616.3500099999997</v>
      </c>
      <c r="S15" s="233">
        <v>46.325560943506431</v>
      </c>
    </row>
    <row r="16" spans="1:19" x14ac:dyDescent="0.25">
      <c r="A16" s="145" t="s">
        <v>175</v>
      </c>
      <c r="B16" s="229">
        <v>94706.099019999994</v>
      </c>
      <c r="C16" s="229">
        <v>92180.243989999988</v>
      </c>
      <c r="D16" s="230">
        <v>97.332954206606487</v>
      </c>
      <c r="E16" s="229">
        <v>43264.096440000001</v>
      </c>
      <c r="F16" s="229">
        <v>42366.344770000003</v>
      </c>
      <c r="G16" s="230">
        <v>97.924949914890675</v>
      </c>
      <c r="H16" s="229">
        <v>11878.752560000001</v>
      </c>
      <c r="I16" s="229">
        <v>11345.95012</v>
      </c>
      <c r="J16" s="229">
        <v>95.514660000628879</v>
      </c>
      <c r="K16" s="229">
        <v>9464.4416300000012</v>
      </c>
      <c r="L16" s="229">
        <v>8717.885839999999</v>
      </c>
      <c r="M16" s="229">
        <v>92.111993298858749</v>
      </c>
      <c r="N16" s="229">
        <v>9650.8138800000015</v>
      </c>
      <c r="O16" s="229">
        <v>9348.4339</v>
      </c>
      <c r="P16" s="229">
        <v>96.866792959020358</v>
      </c>
      <c r="Q16" s="229">
        <v>1272.75</v>
      </c>
      <c r="R16" s="229">
        <v>1132.0154499999999</v>
      </c>
      <c r="S16" s="233">
        <v>88.942482812806915</v>
      </c>
    </row>
    <row r="17" spans="1:19" x14ac:dyDescent="0.25">
      <c r="A17" s="145" t="s">
        <v>176</v>
      </c>
      <c r="B17" s="229">
        <v>125662.46956999999</v>
      </c>
      <c r="C17" s="229">
        <v>127100.98641</v>
      </c>
      <c r="D17" s="229">
        <v>101.14474659373035</v>
      </c>
      <c r="E17" s="229">
        <v>78648.3</v>
      </c>
      <c r="F17" s="229">
        <v>77417.023050000003</v>
      </c>
      <c r="G17" s="230">
        <v>98.43445192076625</v>
      </c>
      <c r="H17" s="229">
        <v>10702.3</v>
      </c>
      <c r="I17" s="229">
        <v>10790.737939999999</v>
      </c>
      <c r="J17" s="230">
        <v>100.82634517813928</v>
      </c>
      <c r="K17" s="229">
        <v>8714</v>
      </c>
      <c r="L17" s="229">
        <v>8091.1789400000007</v>
      </c>
      <c r="M17" s="229">
        <v>92.852638742253845</v>
      </c>
      <c r="N17" s="229">
        <v>11000.195750000001</v>
      </c>
      <c r="O17" s="229">
        <v>13861.24538</v>
      </c>
      <c r="P17" s="229">
        <v>126.00907924752157</v>
      </c>
      <c r="Q17" s="229">
        <v>2292.2559999999999</v>
      </c>
      <c r="R17" s="229">
        <v>2401.5139100000001</v>
      </c>
      <c r="S17" s="231">
        <v>104.76639214817195</v>
      </c>
    </row>
    <row r="18" spans="1:19" x14ac:dyDescent="0.25">
      <c r="A18" s="145" t="s">
        <v>177</v>
      </c>
      <c r="B18" s="229">
        <v>55815.6</v>
      </c>
      <c r="C18" s="229">
        <v>52146.734270000001</v>
      </c>
      <c r="D18" s="230">
        <v>93.4268094762038</v>
      </c>
      <c r="E18" s="229">
        <v>30447.3</v>
      </c>
      <c r="F18" s="229">
        <v>30136.72711</v>
      </c>
      <c r="G18" s="230">
        <v>98.979965744088958</v>
      </c>
      <c r="H18" s="229">
        <v>3490.6</v>
      </c>
      <c r="I18" s="229">
        <v>3450.3667</v>
      </c>
      <c r="J18" s="229">
        <v>98.847381538990433</v>
      </c>
      <c r="K18" s="229">
        <v>1424</v>
      </c>
      <c r="L18" s="229">
        <v>557.37068999999997</v>
      </c>
      <c r="M18" s="230">
        <v>39.141200140449435</v>
      </c>
      <c r="N18" s="229">
        <v>11136</v>
      </c>
      <c r="O18" s="229">
        <v>8436.3156199999994</v>
      </c>
      <c r="P18" s="230">
        <v>75.757144576149415</v>
      </c>
      <c r="Q18" s="229">
        <v>510</v>
      </c>
      <c r="R18" s="229">
        <v>409.79081000000002</v>
      </c>
      <c r="S18" s="233">
        <v>80.351139215686288</v>
      </c>
    </row>
    <row r="19" spans="1:19" x14ac:dyDescent="0.25">
      <c r="A19" s="145" t="s">
        <v>178</v>
      </c>
      <c r="B19" s="229">
        <v>178184.65946</v>
      </c>
      <c r="C19" s="229">
        <v>185828.04871999999</v>
      </c>
      <c r="D19" s="229">
        <v>104.28958883619038</v>
      </c>
      <c r="E19" s="229">
        <v>98723.6</v>
      </c>
      <c r="F19" s="229">
        <v>103896.23215000001</v>
      </c>
      <c r="G19" s="229">
        <v>105.23950924601615</v>
      </c>
      <c r="H19" s="229">
        <v>18718</v>
      </c>
      <c r="I19" s="229">
        <v>22564.005359999999</v>
      </c>
      <c r="J19" s="230">
        <v>120.54709562987497</v>
      </c>
      <c r="K19" s="229">
        <v>4390.5789999999997</v>
      </c>
      <c r="L19" s="229">
        <v>3362.6175400000002</v>
      </c>
      <c r="M19" s="230">
        <v>76.587109353914386</v>
      </c>
      <c r="N19" s="229">
        <v>13980.94895</v>
      </c>
      <c r="O19" s="229">
        <v>14073.927519999999</v>
      </c>
      <c r="P19" s="229">
        <v>100.66503761892356</v>
      </c>
      <c r="Q19" s="229">
        <v>1689.2</v>
      </c>
      <c r="R19" s="229">
        <v>1247.8567499999999</v>
      </c>
      <c r="S19" s="233">
        <v>73.872646815060378</v>
      </c>
    </row>
    <row r="20" spans="1:19" x14ac:dyDescent="0.25">
      <c r="A20" s="145" t="s">
        <v>179</v>
      </c>
      <c r="B20" s="229">
        <v>252220.5</v>
      </c>
      <c r="C20" s="229">
        <v>246757.81237</v>
      </c>
      <c r="D20" s="230">
        <v>97.834161921810477</v>
      </c>
      <c r="E20" s="229">
        <v>149532</v>
      </c>
      <c r="F20" s="229">
        <v>152236.92212</v>
      </c>
      <c r="G20" s="229">
        <v>101.80892526014499</v>
      </c>
      <c r="H20" s="229">
        <v>31224</v>
      </c>
      <c r="I20" s="229">
        <v>31362.570010000003</v>
      </c>
      <c r="J20" s="230">
        <v>100.44379326799898</v>
      </c>
      <c r="K20" s="229">
        <v>19087</v>
      </c>
      <c r="L20" s="229">
        <v>18063.760999999999</v>
      </c>
      <c r="M20" s="229">
        <v>94.639078954262047</v>
      </c>
      <c r="N20" s="229">
        <v>32861.5</v>
      </c>
      <c r="O20" s="229">
        <v>24607.643399999997</v>
      </c>
      <c r="P20" s="230">
        <v>74.882897615750949</v>
      </c>
      <c r="Q20" s="229">
        <v>2384</v>
      </c>
      <c r="R20" s="229">
        <v>3172.3579399999999</v>
      </c>
      <c r="S20" s="231">
        <v>133.06870553691274</v>
      </c>
    </row>
    <row r="21" spans="1:19" x14ac:dyDescent="0.25">
      <c r="A21" s="145" t="s">
        <v>180</v>
      </c>
      <c r="B21" s="229">
        <v>245670.23975000001</v>
      </c>
      <c r="C21" s="229">
        <v>243112.02650000001</v>
      </c>
      <c r="D21" s="230">
        <v>98.958680036864337</v>
      </c>
      <c r="E21" s="229">
        <v>131713</v>
      </c>
      <c r="F21" s="229">
        <v>128639.17290999999</v>
      </c>
      <c r="G21" s="230">
        <v>97.666269016725749</v>
      </c>
      <c r="H21" s="229">
        <v>32510.27865</v>
      </c>
      <c r="I21" s="229">
        <v>31168.914079999999</v>
      </c>
      <c r="J21" s="229">
        <v>95.874029304882626</v>
      </c>
      <c r="K21" s="229">
        <v>14678.54</v>
      </c>
      <c r="L21" s="229">
        <v>13352.491769999999</v>
      </c>
      <c r="M21" s="229">
        <v>90.966075440745456</v>
      </c>
      <c r="N21" s="229">
        <v>32203.750479999999</v>
      </c>
      <c r="O21" s="229">
        <v>28191.462339999998</v>
      </c>
      <c r="P21" s="229">
        <v>87.540928990578863</v>
      </c>
      <c r="Q21" s="229">
        <v>10303.31573</v>
      </c>
      <c r="R21" s="229">
        <v>12465.407710000001</v>
      </c>
      <c r="S21" s="231">
        <v>120.98442905815914</v>
      </c>
    </row>
    <row r="22" spans="1:19" x14ac:dyDescent="0.25">
      <c r="A22" s="145" t="s">
        <v>181</v>
      </c>
      <c r="B22" s="229">
        <v>153905.37736000001</v>
      </c>
      <c r="C22" s="229">
        <v>156145.0625</v>
      </c>
      <c r="D22" s="229">
        <v>101.45523514409841</v>
      </c>
      <c r="E22" s="229">
        <v>90535.9</v>
      </c>
      <c r="F22" s="229">
        <v>93685.527060000008</v>
      </c>
      <c r="G22" s="229">
        <v>103.47887087884476</v>
      </c>
      <c r="H22" s="229">
        <v>13450</v>
      </c>
      <c r="I22" s="229">
        <v>12650.399619999998</v>
      </c>
      <c r="J22" s="229">
        <v>94.055015762081766</v>
      </c>
      <c r="K22" s="229">
        <v>11003.82</v>
      </c>
      <c r="L22" s="229">
        <v>10352.41345</v>
      </c>
      <c r="M22" s="229">
        <v>94.080178065435462</v>
      </c>
      <c r="N22" s="229">
        <v>13290.66373</v>
      </c>
      <c r="O22" s="229">
        <v>13120.582199999999</v>
      </c>
      <c r="P22" s="229">
        <v>98.720293181324806</v>
      </c>
      <c r="Q22" s="229">
        <v>3221.2</v>
      </c>
      <c r="R22" s="229">
        <v>511.55538999999999</v>
      </c>
      <c r="S22" s="233">
        <v>15.880895008071528</v>
      </c>
    </row>
    <row r="23" spans="1:19" x14ac:dyDescent="0.25">
      <c r="A23" s="145" t="s">
        <v>182</v>
      </c>
      <c r="B23" s="229">
        <v>348344.92194999999</v>
      </c>
      <c r="C23" s="229">
        <v>337503.71685000003</v>
      </c>
      <c r="D23" s="230">
        <v>96.887795854949758</v>
      </c>
      <c r="E23" s="229">
        <v>193347.3</v>
      </c>
      <c r="F23" s="229">
        <v>193836.67628000001</v>
      </c>
      <c r="G23" s="229">
        <v>100.25310737724293</v>
      </c>
      <c r="H23" s="229">
        <v>28108.2</v>
      </c>
      <c r="I23" s="229">
        <v>26152.23214</v>
      </c>
      <c r="J23" s="229">
        <v>93.041290940010384</v>
      </c>
      <c r="K23" s="229">
        <v>40163.523000000001</v>
      </c>
      <c r="L23" s="229">
        <v>40884.802969999997</v>
      </c>
      <c r="M23" s="229">
        <v>101.79585832149235</v>
      </c>
      <c r="N23" s="229">
        <v>42271.911310000003</v>
      </c>
      <c r="O23" s="229">
        <v>36584.200290000001</v>
      </c>
      <c r="P23" s="230">
        <v>86.544940023437036</v>
      </c>
      <c r="Q23" s="229">
        <v>13007.157710000001</v>
      </c>
      <c r="R23" s="229">
        <v>7099.2972399999999</v>
      </c>
      <c r="S23" s="233">
        <v>54.579927439043864</v>
      </c>
    </row>
    <row r="24" spans="1:19" x14ac:dyDescent="0.25">
      <c r="A24" s="145" t="s">
        <v>183</v>
      </c>
      <c r="B24" s="229">
        <v>360192.59109000006</v>
      </c>
      <c r="C24" s="229">
        <v>371209.21487000003</v>
      </c>
      <c r="D24" s="229">
        <v>103.05853703060963</v>
      </c>
      <c r="E24" s="229">
        <v>225134.79431</v>
      </c>
      <c r="F24" s="229">
        <v>231373.61637999999</v>
      </c>
      <c r="G24" s="229">
        <v>102.77114965242086</v>
      </c>
      <c r="H24" s="229">
        <v>15725.86551</v>
      </c>
      <c r="I24" s="229">
        <v>15647.88715</v>
      </c>
      <c r="J24" s="229">
        <v>99.504139470413165</v>
      </c>
      <c r="K24" s="229">
        <v>25319.132100000003</v>
      </c>
      <c r="L24" s="229">
        <v>26486.861219999999</v>
      </c>
      <c r="M24" s="229">
        <v>104.61204244832705</v>
      </c>
      <c r="N24" s="229">
        <v>30987.18346</v>
      </c>
      <c r="O24" s="229">
        <v>31111.585440000003</v>
      </c>
      <c r="P24" s="229">
        <v>100.40146268911657</v>
      </c>
      <c r="Q24" s="229">
        <v>20945.22292</v>
      </c>
      <c r="R24" s="229">
        <v>22113.553350000002</v>
      </c>
      <c r="S24" s="231">
        <v>105.57802814733662</v>
      </c>
    </row>
    <row r="25" spans="1:19" x14ac:dyDescent="0.25">
      <c r="A25" s="145" t="s">
        <v>184</v>
      </c>
      <c r="B25" s="229">
        <v>239074.41190000001</v>
      </c>
      <c r="C25" s="229">
        <v>244005.16012000002</v>
      </c>
      <c r="D25" s="229">
        <v>102.06243243717041</v>
      </c>
      <c r="E25" s="229">
        <v>124159.44606999999</v>
      </c>
      <c r="F25" s="229">
        <v>126545.25593000001</v>
      </c>
      <c r="G25" s="229">
        <v>101.92156934934691</v>
      </c>
      <c r="H25" s="229">
        <v>25207.942999999999</v>
      </c>
      <c r="I25" s="229">
        <v>23147.17928</v>
      </c>
      <c r="J25" s="229">
        <v>91.824942955480338</v>
      </c>
      <c r="K25" s="229">
        <v>22122.211460000002</v>
      </c>
      <c r="L25" s="229">
        <v>18939.46572</v>
      </c>
      <c r="M25" s="229">
        <v>85.612895230864041</v>
      </c>
      <c r="N25" s="229">
        <v>26460.678469999999</v>
      </c>
      <c r="O25" s="229">
        <v>28565.864170000001</v>
      </c>
      <c r="P25" s="229">
        <v>107.95590219799833</v>
      </c>
      <c r="Q25" s="229">
        <v>6957</v>
      </c>
      <c r="R25" s="229">
        <v>7853.2840199999991</v>
      </c>
      <c r="S25" s="231">
        <v>112.88319706770159</v>
      </c>
    </row>
    <row r="26" spans="1:19" x14ac:dyDescent="0.25">
      <c r="A26" s="145" t="s">
        <v>185</v>
      </c>
      <c r="B26" s="229">
        <v>181134.83963999999</v>
      </c>
      <c r="C26" s="229">
        <v>175556.45204</v>
      </c>
      <c r="D26" s="230">
        <v>96.920312176781195</v>
      </c>
      <c r="E26" s="229">
        <v>81727</v>
      </c>
      <c r="F26" s="229">
        <v>77673.916370000006</v>
      </c>
      <c r="G26" s="230">
        <v>95.040704259302316</v>
      </c>
      <c r="H26" s="229">
        <v>17440.703020000001</v>
      </c>
      <c r="I26" s="229">
        <v>17310.073579999997</v>
      </c>
      <c r="J26" s="229">
        <v>99.251008174095929</v>
      </c>
      <c r="K26" s="229">
        <v>15147.585869999999</v>
      </c>
      <c r="L26" s="229">
        <v>14093.24307</v>
      </c>
      <c r="M26" s="229">
        <v>93.039532443990694</v>
      </c>
      <c r="N26" s="229">
        <v>18833.320030000003</v>
      </c>
      <c r="O26" s="229">
        <v>17936.798989999999</v>
      </c>
      <c r="P26" s="229">
        <v>95.239707929499872</v>
      </c>
      <c r="Q26" s="229">
        <v>14611.718939999999</v>
      </c>
      <c r="R26" s="229">
        <v>14214.299509999999</v>
      </c>
      <c r="S26" s="231">
        <v>97.280132258005224</v>
      </c>
    </row>
    <row r="27" spans="1:19" x14ac:dyDescent="0.25">
      <c r="A27" s="145" t="s">
        <v>186</v>
      </c>
      <c r="B27" s="229">
        <v>86657.343370000002</v>
      </c>
      <c r="C27" s="229">
        <v>86326.665729999993</v>
      </c>
      <c r="D27" s="230">
        <v>99.618407826572621</v>
      </c>
      <c r="E27" s="229">
        <v>36056</v>
      </c>
      <c r="F27" s="229">
        <v>35073.97019</v>
      </c>
      <c r="G27" s="230">
        <v>97.276376164854668</v>
      </c>
      <c r="H27" s="229">
        <v>10870</v>
      </c>
      <c r="I27" s="229">
        <v>8983.9486500000003</v>
      </c>
      <c r="J27" s="229">
        <v>82.64902161913524</v>
      </c>
      <c r="K27" s="229">
        <v>10406</v>
      </c>
      <c r="L27" s="229">
        <v>9317.7354600000017</v>
      </c>
      <c r="M27" s="229">
        <v>89.541951374207201</v>
      </c>
      <c r="N27" s="229">
        <v>13587.36</v>
      </c>
      <c r="O27" s="229">
        <v>14387.840529999999</v>
      </c>
      <c r="P27" s="229">
        <v>105.89136175092143</v>
      </c>
      <c r="Q27" s="229">
        <v>750</v>
      </c>
      <c r="R27" s="229">
        <v>668.53316000000007</v>
      </c>
      <c r="S27" s="233">
        <v>89.13775466666668</v>
      </c>
    </row>
    <row r="28" spans="1:19" x14ac:dyDescent="0.25">
      <c r="A28" s="145" t="s">
        <v>187</v>
      </c>
      <c r="B28" s="229">
        <v>4161946.1584299998</v>
      </c>
      <c r="C28" s="229">
        <v>4276064.91077</v>
      </c>
      <c r="D28" s="229">
        <v>102.74195647891439</v>
      </c>
      <c r="E28" s="229">
        <v>2587534.6</v>
      </c>
      <c r="F28" s="229">
        <v>2663723.17741</v>
      </c>
      <c r="G28" s="229">
        <v>102.94444671039375</v>
      </c>
      <c r="H28" s="229">
        <v>487500</v>
      </c>
      <c r="I28" s="229">
        <v>489468.82126999996</v>
      </c>
      <c r="J28" s="230">
        <v>100.40386077333332</v>
      </c>
      <c r="K28" s="229">
        <v>238000</v>
      </c>
      <c r="L28" s="229">
        <v>237441.47256999998</v>
      </c>
      <c r="M28" s="229">
        <v>99.765324609243692</v>
      </c>
      <c r="N28" s="229">
        <v>400676.72482</v>
      </c>
      <c r="O28" s="229">
        <v>421447.97386000003</v>
      </c>
      <c r="P28" s="229">
        <v>105.18404183555492</v>
      </c>
      <c r="Q28" s="229">
        <v>216456.5</v>
      </c>
      <c r="R28" s="229">
        <v>223186.78718000001</v>
      </c>
      <c r="S28" s="231">
        <v>103.10930241411093</v>
      </c>
    </row>
    <row r="29" spans="1:19" x14ac:dyDescent="0.25">
      <c r="A29" s="145" t="s">
        <v>188</v>
      </c>
      <c r="B29" s="229">
        <v>3192824.12598</v>
      </c>
      <c r="C29" s="229">
        <v>3185791.3364800001</v>
      </c>
      <c r="D29" s="230">
        <v>99.77973138442627</v>
      </c>
      <c r="E29" s="229">
        <v>2200609.9</v>
      </c>
      <c r="F29" s="229">
        <v>2198093.5966500002</v>
      </c>
      <c r="G29" s="230">
        <v>99.885654274753577</v>
      </c>
      <c r="H29" s="229">
        <v>165258.16</v>
      </c>
      <c r="I29" s="229">
        <v>164824.02072</v>
      </c>
      <c r="J29" s="229">
        <v>99.737296312629894</v>
      </c>
      <c r="K29" s="229">
        <v>209934.3</v>
      </c>
      <c r="L29" s="229">
        <v>197878.30288999999</v>
      </c>
      <c r="M29" s="229">
        <v>94.257252335611668</v>
      </c>
      <c r="N29" s="229">
        <v>216386.30081000002</v>
      </c>
      <c r="O29" s="229">
        <v>220089.04397</v>
      </c>
      <c r="P29" s="229">
        <v>101.71117263252779</v>
      </c>
      <c r="Q29" s="229">
        <v>253281.85</v>
      </c>
      <c r="R29" s="229">
        <v>255041.51293999999</v>
      </c>
      <c r="S29" s="231">
        <v>100.69474498073984</v>
      </c>
    </row>
    <row r="30" spans="1:19" x14ac:dyDescent="0.25">
      <c r="A30" s="145" t="s">
        <v>189</v>
      </c>
      <c r="B30" s="229">
        <v>723113.9</v>
      </c>
      <c r="C30" s="229">
        <v>738139.53252000001</v>
      </c>
      <c r="D30" s="229">
        <v>102.07790674747091</v>
      </c>
      <c r="E30" s="229">
        <v>424710.40000000002</v>
      </c>
      <c r="F30" s="229">
        <v>426996.48304000002</v>
      </c>
      <c r="G30" s="229">
        <v>100.53826867437199</v>
      </c>
      <c r="H30" s="229">
        <v>95063.6</v>
      </c>
      <c r="I30" s="229">
        <v>87540.199099999998</v>
      </c>
      <c r="J30" s="229">
        <v>92.08592889391943</v>
      </c>
      <c r="K30" s="229">
        <v>49601.5</v>
      </c>
      <c r="L30" s="229">
        <v>51125.864540000002</v>
      </c>
      <c r="M30" s="229">
        <v>103.07322266463717</v>
      </c>
      <c r="N30" s="229">
        <v>60099.9</v>
      </c>
      <c r="O30" s="229">
        <v>67431.799239999993</v>
      </c>
      <c r="P30" s="229">
        <v>112.19951986608962</v>
      </c>
      <c r="Q30" s="229">
        <v>45533</v>
      </c>
      <c r="R30" s="229">
        <v>45298.614840000002</v>
      </c>
      <c r="S30" s="231">
        <v>99.485241121823734</v>
      </c>
    </row>
    <row r="31" spans="1:19" x14ac:dyDescent="0.25">
      <c r="A31" s="145" t="s">
        <v>190</v>
      </c>
      <c r="B31" s="229">
        <v>340810.2</v>
      </c>
      <c r="C31" s="229">
        <v>347266.72200000001</v>
      </c>
      <c r="D31" s="229">
        <v>101.89446266573007</v>
      </c>
      <c r="E31" s="229">
        <v>217097</v>
      </c>
      <c r="F31" s="229">
        <v>227788.07626</v>
      </c>
      <c r="G31" s="229">
        <v>104.92456195157004</v>
      </c>
      <c r="H31" s="229">
        <v>22160</v>
      </c>
      <c r="I31" s="229">
        <v>21932.468679999998</v>
      </c>
      <c r="J31" s="229">
        <v>98.973234115523454</v>
      </c>
      <c r="K31" s="229">
        <v>48200</v>
      </c>
      <c r="L31" s="229">
        <v>29451.66661</v>
      </c>
      <c r="M31" s="230">
        <v>61.103042759336098</v>
      </c>
      <c r="N31" s="229">
        <v>24511</v>
      </c>
      <c r="O31" s="229">
        <v>24671.878720000001</v>
      </c>
      <c r="P31" s="229">
        <v>100.65635314756639</v>
      </c>
      <c r="Q31" s="229">
        <v>1700</v>
      </c>
      <c r="R31" s="229">
        <v>4321.1544199999998</v>
      </c>
      <c r="S31" s="231">
        <v>254.18555411764706</v>
      </c>
    </row>
    <row r="32" spans="1:19" x14ac:dyDescent="0.25">
      <c r="A32" s="145" t="s">
        <v>191</v>
      </c>
      <c r="B32" s="229">
        <v>405648.10503999999</v>
      </c>
      <c r="C32" s="229">
        <v>411810.02551000001</v>
      </c>
      <c r="D32" s="229">
        <v>101.51903100087019</v>
      </c>
      <c r="E32" s="229">
        <v>255065.7</v>
      </c>
      <c r="F32" s="229">
        <v>260324.96561000001</v>
      </c>
      <c r="G32" s="229">
        <v>102.06192585282929</v>
      </c>
      <c r="H32" s="229">
        <v>30295.3</v>
      </c>
      <c r="I32" s="229">
        <v>30790.675350000001</v>
      </c>
      <c r="J32" s="230">
        <v>101.63515578324032</v>
      </c>
      <c r="K32" s="229">
        <v>34696</v>
      </c>
      <c r="L32" s="229">
        <v>35176.695009999996</v>
      </c>
      <c r="M32" s="229">
        <v>101.38544791906847</v>
      </c>
      <c r="N32" s="229">
        <v>30952.012899999998</v>
      </c>
      <c r="O32" s="229">
        <v>30539.988739999997</v>
      </c>
      <c r="P32" s="229">
        <v>98.668829192688776</v>
      </c>
      <c r="Q32" s="229">
        <v>11003.163640000001</v>
      </c>
      <c r="R32" s="229">
        <v>11150.452949999999</v>
      </c>
      <c r="S32" s="231">
        <v>101.33860873853183</v>
      </c>
    </row>
    <row r="33" spans="1:19" x14ac:dyDescent="0.25">
      <c r="A33" s="145" t="s">
        <v>192</v>
      </c>
      <c r="B33" s="229">
        <v>479318</v>
      </c>
      <c r="C33" s="229">
        <v>488162.92352999997</v>
      </c>
      <c r="D33" s="229">
        <v>101.84531428613154</v>
      </c>
      <c r="E33" s="229">
        <v>333420</v>
      </c>
      <c r="F33" s="229">
        <v>345885.48764000001</v>
      </c>
      <c r="G33" s="229">
        <v>103.73867423669847</v>
      </c>
      <c r="H33" s="229">
        <v>17327</v>
      </c>
      <c r="I33" s="229">
        <v>16177.642539999999</v>
      </c>
      <c r="J33" s="229">
        <v>93.366667859410157</v>
      </c>
      <c r="K33" s="229">
        <v>16841</v>
      </c>
      <c r="L33" s="229">
        <v>16383.33389</v>
      </c>
      <c r="M33" s="229">
        <v>97.282429131286747</v>
      </c>
      <c r="N33" s="229">
        <v>42973</v>
      </c>
      <c r="O33" s="229">
        <v>43764.409759999995</v>
      </c>
      <c r="P33" s="229">
        <v>101.84164419519232</v>
      </c>
      <c r="Q33" s="229">
        <v>18514</v>
      </c>
      <c r="R33" s="229">
        <v>18533.475050000001</v>
      </c>
      <c r="S33" s="231">
        <v>100.10519093658854</v>
      </c>
    </row>
    <row r="34" spans="1:19" x14ac:dyDescent="0.25">
      <c r="A34" s="145" t="s">
        <v>193</v>
      </c>
      <c r="B34" s="229">
        <v>87142.826790000006</v>
      </c>
      <c r="C34" s="229">
        <v>91203.288780000003</v>
      </c>
      <c r="D34" s="229">
        <v>104.65954816887573</v>
      </c>
      <c r="E34" s="229">
        <v>86312.1</v>
      </c>
      <c r="F34" s="229">
        <v>90531.230540000004</v>
      </c>
      <c r="G34" s="229">
        <v>104.88822603088094</v>
      </c>
      <c r="H34" s="229">
        <v>44</v>
      </c>
      <c r="I34" s="229">
        <v>50.975999999999999</v>
      </c>
      <c r="J34" s="230">
        <v>115.85454545454546</v>
      </c>
      <c r="K34" s="229">
        <v>86.703999999999994</v>
      </c>
      <c r="L34" s="229">
        <v>86.703999999999994</v>
      </c>
      <c r="M34" s="229">
        <v>100</v>
      </c>
      <c r="N34" s="229">
        <v>202.82279</v>
      </c>
      <c r="O34" s="229">
        <v>145.08049</v>
      </c>
      <c r="P34" s="230">
        <v>71.530664773914211</v>
      </c>
      <c r="Q34" s="229">
        <v>0</v>
      </c>
      <c r="R34" s="229">
        <v>0</v>
      </c>
      <c r="S34" s="231"/>
    </row>
    <row r="35" spans="1:19" s="247" customFormat="1" ht="13.8" thickBot="1" x14ac:dyDescent="0.3">
      <c r="A35" s="279" t="s">
        <v>194</v>
      </c>
      <c r="B35" s="274">
        <v>12945400.688690001</v>
      </c>
      <c r="C35" s="274">
        <v>13094224.917289998</v>
      </c>
      <c r="D35" s="274">
        <v>101.14963014416402</v>
      </c>
      <c r="E35" s="274">
        <v>7991916.6091600014</v>
      </c>
      <c r="F35" s="274">
        <v>8129060.9551400002</v>
      </c>
      <c r="G35" s="274">
        <v>101.71603825073463</v>
      </c>
      <c r="H35" s="274">
        <v>1165200.5327400002</v>
      </c>
      <c r="I35" s="274">
        <v>1144384.6242699998</v>
      </c>
      <c r="J35" s="274">
        <v>98.213534247100696</v>
      </c>
      <c r="K35" s="274">
        <v>884856.76335000002</v>
      </c>
      <c r="L35" s="274">
        <v>834980.93171999988</v>
      </c>
      <c r="M35" s="274">
        <v>94.363400530366732</v>
      </c>
      <c r="N35" s="274">
        <v>1155692.4945899998</v>
      </c>
      <c r="O35" s="274">
        <v>1167028.1380399999</v>
      </c>
      <c r="P35" s="274">
        <v>100.98085290880266</v>
      </c>
      <c r="Q35" s="274">
        <v>685950.82019</v>
      </c>
      <c r="R35" s="274">
        <v>687232.32419000007</v>
      </c>
      <c r="S35" s="275">
        <v>100.1868215566307</v>
      </c>
    </row>
    <row r="36" spans="1:19" ht="13.8" thickTop="1" x14ac:dyDescent="0.25"/>
  </sheetData>
  <mergeCells count="10">
    <mergeCell ref="Q1:S1"/>
    <mergeCell ref="A3:S3"/>
    <mergeCell ref="A5:A7"/>
    <mergeCell ref="B5:D6"/>
    <mergeCell ref="E6:G6"/>
    <mergeCell ref="H6:J6"/>
    <mergeCell ref="K6:M6"/>
    <mergeCell ref="Q6:S6"/>
    <mergeCell ref="N6:P6"/>
    <mergeCell ref="E5:S5"/>
  </mergeCells>
  <pageMargins left="0.39370078740157483" right="0.39370078740157483" top="0.59055118110236227" bottom="0.59055118110236227" header="0.31496062992125984" footer="0.31496062992125984"/>
  <pageSetup paperSize="9" scale="7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37"/>
  <sheetViews>
    <sheetView view="pageBreakPreview" zoomScaleNormal="115" zoomScaleSheetLayoutView="100" workbookViewId="0">
      <selection activeCell="P4" sqref="P4"/>
    </sheetView>
  </sheetViews>
  <sheetFormatPr defaultColWidth="9" defaultRowHeight="13.2" x14ac:dyDescent="0.25"/>
  <cols>
    <col min="1" max="1" width="18.8984375" style="192" customWidth="1"/>
    <col min="2" max="2" width="11.09765625" style="193" bestFit="1" customWidth="1"/>
    <col min="3" max="3" width="10.19921875" style="193" bestFit="1" customWidth="1"/>
    <col min="4" max="4" width="11.09765625" style="193" bestFit="1" customWidth="1"/>
    <col min="5" max="5" width="10.19921875" style="193" bestFit="1" customWidth="1"/>
    <col min="6" max="6" width="8.796875" style="193" bestFit="1" customWidth="1"/>
    <col min="7" max="7" width="11.09765625" style="193" bestFit="1" customWidth="1"/>
    <col min="8" max="8" width="10.19921875" style="193" bestFit="1" customWidth="1"/>
    <col min="9" max="9" width="11.09765625" style="193" bestFit="1" customWidth="1"/>
    <col min="10" max="10" width="10.19921875" style="193" bestFit="1" customWidth="1"/>
    <col min="11" max="11" width="8.796875" style="193" bestFit="1" customWidth="1"/>
    <col min="12" max="12" width="5.69921875" style="193" bestFit="1" customWidth="1"/>
    <col min="13" max="13" width="5.796875" style="193" bestFit="1" customWidth="1"/>
    <col min="14" max="14" width="6.69921875" style="193" bestFit="1" customWidth="1"/>
    <col min="15" max="16" width="5.5" style="193" bestFit="1" customWidth="1"/>
    <col min="17" max="16384" width="9" style="193"/>
  </cols>
  <sheetData>
    <row r="1" spans="1:16" s="192" customFormat="1" x14ac:dyDescent="0.25">
      <c r="N1" s="403" t="s">
        <v>417</v>
      </c>
      <c r="O1" s="403"/>
      <c r="P1" s="403"/>
    </row>
    <row r="2" spans="1:16" s="192" customFormat="1" x14ac:dyDescent="0.25"/>
    <row r="3" spans="1:16" s="192" customFormat="1" ht="31.5" customHeight="1" x14ac:dyDescent="0.25">
      <c r="A3" s="404" t="s">
        <v>418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</row>
    <row r="4" spans="1:16" s="192" customFormat="1" ht="13.8" thickBot="1" x14ac:dyDescent="0.3">
      <c r="P4" s="369" t="s">
        <v>424</v>
      </c>
    </row>
    <row r="5" spans="1:16" s="245" customFormat="1" ht="13.8" thickTop="1" x14ac:dyDescent="0.25">
      <c r="A5" s="375" t="s">
        <v>153</v>
      </c>
      <c r="B5" s="405" t="s">
        <v>201</v>
      </c>
      <c r="C5" s="405"/>
      <c r="D5" s="405"/>
      <c r="E5" s="405"/>
      <c r="F5" s="405"/>
      <c r="G5" s="405" t="s">
        <v>238</v>
      </c>
      <c r="H5" s="405"/>
      <c r="I5" s="405"/>
      <c r="J5" s="405"/>
      <c r="K5" s="405"/>
      <c r="L5" s="405" t="s">
        <v>198</v>
      </c>
      <c r="M5" s="405"/>
      <c r="N5" s="405"/>
      <c r="O5" s="405"/>
      <c r="P5" s="406"/>
    </row>
    <row r="6" spans="1:16" s="245" customFormat="1" x14ac:dyDescent="0.25">
      <c r="A6" s="376"/>
      <c r="B6" s="402" t="s">
        <v>159</v>
      </c>
      <c r="C6" s="402" t="s">
        <v>325</v>
      </c>
      <c r="D6" s="402"/>
      <c r="E6" s="402"/>
      <c r="F6" s="402"/>
      <c r="G6" s="402" t="s">
        <v>159</v>
      </c>
      <c r="H6" s="402" t="s">
        <v>325</v>
      </c>
      <c r="I6" s="402"/>
      <c r="J6" s="402"/>
      <c r="K6" s="402"/>
      <c r="L6" s="402" t="s">
        <v>159</v>
      </c>
      <c r="M6" s="402" t="s">
        <v>325</v>
      </c>
      <c r="N6" s="402"/>
      <c r="O6" s="402"/>
      <c r="P6" s="407"/>
    </row>
    <row r="7" spans="1:16" s="245" customFormat="1" ht="25.5" customHeight="1" x14ac:dyDescent="0.25">
      <c r="A7" s="376"/>
      <c r="B7" s="402"/>
      <c r="C7" s="402" t="s">
        <v>326</v>
      </c>
      <c r="D7" s="402" t="s">
        <v>327</v>
      </c>
      <c r="E7" s="402" t="s">
        <v>328</v>
      </c>
      <c r="F7" s="402" t="s">
        <v>329</v>
      </c>
      <c r="G7" s="402"/>
      <c r="H7" s="402" t="s">
        <v>326</v>
      </c>
      <c r="I7" s="402" t="s">
        <v>327</v>
      </c>
      <c r="J7" s="402" t="s">
        <v>328</v>
      </c>
      <c r="K7" s="402" t="s">
        <v>329</v>
      </c>
      <c r="L7" s="402"/>
      <c r="M7" s="402" t="s">
        <v>346</v>
      </c>
      <c r="N7" s="402" t="s">
        <v>347</v>
      </c>
      <c r="O7" s="402" t="s">
        <v>348</v>
      </c>
      <c r="P7" s="407" t="s">
        <v>329</v>
      </c>
    </row>
    <row r="8" spans="1:16" s="245" customFormat="1" x14ac:dyDescent="0.25">
      <c r="A8" s="376"/>
      <c r="B8" s="402"/>
      <c r="C8" s="402"/>
      <c r="D8" s="402"/>
      <c r="E8" s="402"/>
      <c r="F8" s="402"/>
      <c r="G8" s="402"/>
      <c r="H8" s="402"/>
      <c r="I8" s="402"/>
      <c r="J8" s="402"/>
      <c r="K8" s="402"/>
      <c r="L8" s="402"/>
      <c r="M8" s="402"/>
      <c r="N8" s="402"/>
      <c r="O8" s="402"/>
      <c r="P8" s="407"/>
    </row>
    <row r="9" spans="1:16" s="238" customFormat="1" ht="10.199999999999999" x14ac:dyDescent="0.25">
      <c r="A9" s="232" t="s">
        <v>28</v>
      </c>
      <c r="B9" s="236">
        <v>1</v>
      </c>
      <c r="C9" s="236">
        <v>2</v>
      </c>
      <c r="D9" s="236">
        <v>3</v>
      </c>
      <c r="E9" s="236">
        <v>4</v>
      </c>
      <c r="F9" s="236">
        <v>5</v>
      </c>
      <c r="G9" s="236">
        <v>6</v>
      </c>
      <c r="H9" s="236">
        <v>7</v>
      </c>
      <c r="I9" s="236">
        <v>8</v>
      </c>
      <c r="J9" s="236">
        <v>9</v>
      </c>
      <c r="K9" s="236">
        <v>10</v>
      </c>
      <c r="L9" s="236">
        <v>11</v>
      </c>
      <c r="M9" s="236">
        <v>12</v>
      </c>
      <c r="N9" s="236">
        <v>13</v>
      </c>
      <c r="O9" s="236">
        <v>14</v>
      </c>
      <c r="P9" s="237">
        <v>15</v>
      </c>
    </row>
    <row r="10" spans="1:16" x14ac:dyDescent="0.25">
      <c r="A10" s="145" t="s">
        <v>168</v>
      </c>
      <c r="B10" s="25">
        <v>1081945.9569300001</v>
      </c>
      <c r="C10" s="25">
        <v>371398.14092000003</v>
      </c>
      <c r="D10" s="25">
        <v>607057.33800999995</v>
      </c>
      <c r="E10" s="25">
        <v>91867.1</v>
      </c>
      <c r="F10" s="25">
        <v>11623.378000000001</v>
      </c>
      <c r="G10" s="25">
        <v>1019046.7939299999</v>
      </c>
      <c r="H10" s="25">
        <v>315121.61888999998</v>
      </c>
      <c r="I10" s="25">
        <v>610230.77541</v>
      </c>
      <c r="J10" s="25">
        <v>87543.3</v>
      </c>
      <c r="K10" s="25">
        <v>6151.0996299999997</v>
      </c>
      <c r="L10" s="25">
        <v>-5.8135217010723181</v>
      </c>
      <c r="M10" s="25">
        <v>-15.152612743455308</v>
      </c>
      <c r="N10" s="239">
        <v>0.52275744008019842</v>
      </c>
      <c r="O10" s="239">
        <v>-4.7065815727284388</v>
      </c>
      <c r="P10" s="38">
        <v>-47.079931238577984</v>
      </c>
    </row>
    <row r="11" spans="1:16" x14ac:dyDescent="0.25">
      <c r="A11" s="145" t="s">
        <v>169</v>
      </c>
      <c r="B11" s="25">
        <v>601818.80861000007</v>
      </c>
      <c r="C11" s="25">
        <v>269416.20163999998</v>
      </c>
      <c r="D11" s="25">
        <v>278977.22451999999</v>
      </c>
      <c r="E11" s="25">
        <v>47646.1</v>
      </c>
      <c r="F11" s="25">
        <v>5779.2824500000006</v>
      </c>
      <c r="G11" s="25">
        <v>508377.29904000001</v>
      </c>
      <c r="H11" s="25">
        <v>192368.98483</v>
      </c>
      <c r="I11" s="25">
        <v>267935.47931000002</v>
      </c>
      <c r="J11" s="25">
        <v>47389.3</v>
      </c>
      <c r="K11" s="25">
        <v>683.53489999999999</v>
      </c>
      <c r="L11" s="25">
        <v>-15.526518651987416</v>
      </c>
      <c r="M11" s="25">
        <v>-28.597840939407277</v>
      </c>
      <c r="N11" s="25">
        <v>-3.9579378671495675</v>
      </c>
      <c r="O11" s="239">
        <v>-0.53897380897912228</v>
      </c>
      <c r="P11" s="38">
        <v>-88.172668390692692</v>
      </c>
    </row>
    <row r="12" spans="1:16" x14ac:dyDescent="0.25">
      <c r="A12" s="145" t="s">
        <v>170</v>
      </c>
      <c r="B12" s="25">
        <v>349026.75248999998</v>
      </c>
      <c r="C12" s="25">
        <v>133180.8352</v>
      </c>
      <c r="D12" s="25">
        <v>186195.73629</v>
      </c>
      <c r="E12" s="25">
        <v>23233.5</v>
      </c>
      <c r="F12" s="25">
        <v>6416.6809999999996</v>
      </c>
      <c r="G12" s="25">
        <v>337976.17853999999</v>
      </c>
      <c r="H12" s="25">
        <v>127743.93728</v>
      </c>
      <c r="I12" s="25">
        <v>179692.92530999999</v>
      </c>
      <c r="J12" s="25">
        <v>29047.391949999997</v>
      </c>
      <c r="K12" s="25">
        <v>1491.924</v>
      </c>
      <c r="L12" s="25">
        <v>-3.1661108700590574</v>
      </c>
      <c r="M12" s="25">
        <v>-4.0823425621526752</v>
      </c>
      <c r="N12" s="25">
        <v>-3.492459660768958</v>
      </c>
      <c r="O12" s="25">
        <v>25.023745668969354</v>
      </c>
      <c r="P12" s="38">
        <v>-76.74928830029107</v>
      </c>
    </row>
    <row r="13" spans="1:16" x14ac:dyDescent="0.25">
      <c r="A13" s="145" t="s">
        <v>171</v>
      </c>
      <c r="B13" s="25">
        <v>573395.84446000005</v>
      </c>
      <c r="C13" s="25">
        <v>295298.96685999999</v>
      </c>
      <c r="D13" s="25">
        <v>231367.18059999999</v>
      </c>
      <c r="E13" s="25">
        <v>42695.7</v>
      </c>
      <c r="F13" s="25">
        <v>4033.9969999999998</v>
      </c>
      <c r="G13" s="25">
        <v>487451.99458999996</v>
      </c>
      <c r="H13" s="25">
        <v>186621.49434999999</v>
      </c>
      <c r="I13" s="25">
        <v>237970.70024000001</v>
      </c>
      <c r="J13" s="25">
        <v>60622.8</v>
      </c>
      <c r="K13" s="25">
        <v>2237</v>
      </c>
      <c r="L13" s="25">
        <v>-14.988572153141149</v>
      </c>
      <c r="M13" s="25">
        <v>-36.802523783133829</v>
      </c>
      <c r="N13" s="239">
        <v>2.8541297961427574</v>
      </c>
      <c r="O13" s="25">
        <v>41.988069056134464</v>
      </c>
      <c r="P13" s="38">
        <v>-44.54631473449286</v>
      </c>
    </row>
    <row r="14" spans="1:16" x14ac:dyDescent="0.25">
      <c r="A14" s="145" t="s">
        <v>172</v>
      </c>
      <c r="B14" s="25">
        <v>589656.92489000002</v>
      </c>
      <c r="C14" s="25">
        <v>291480.32393999997</v>
      </c>
      <c r="D14" s="25">
        <v>249813.21794999999</v>
      </c>
      <c r="E14" s="25">
        <v>42882.1</v>
      </c>
      <c r="F14" s="25">
        <v>5481.2830000000004</v>
      </c>
      <c r="G14" s="25">
        <v>509165.33297000005</v>
      </c>
      <c r="H14" s="25">
        <v>203001.79159000001</v>
      </c>
      <c r="I14" s="25">
        <v>240563.24137999999</v>
      </c>
      <c r="J14" s="25">
        <v>59668.2</v>
      </c>
      <c r="K14" s="25">
        <v>5932.1</v>
      </c>
      <c r="L14" s="25">
        <v>-13.650580281918266</v>
      </c>
      <c r="M14" s="25">
        <v>-30.354890221754005</v>
      </c>
      <c r="N14" s="25">
        <v>-3.7027570622189359</v>
      </c>
      <c r="O14" s="25">
        <v>39.144771361477183</v>
      </c>
      <c r="P14" s="278">
        <v>8.2246619997544315</v>
      </c>
    </row>
    <row r="15" spans="1:16" x14ac:dyDescent="0.25">
      <c r="A15" s="145" t="s">
        <v>173</v>
      </c>
      <c r="B15" s="25">
        <v>1142912.37848</v>
      </c>
      <c r="C15" s="25">
        <v>782299.64550999994</v>
      </c>
      <c r="D15" s="25">
        <v>291911.79550000001</v>
      </c>
      <c r="E15" s="25">
        <v>64401.208570000003</v>
      </c>
      <c r="F15" s="25">
        <v>4299.7289000000001</v>
      </c>
      <c r="G15" s="25">
        <v>861170.47187000001</v>
      </c>
      <c r="H15" s="25">
        <v>469785.89786999999</v>
      </c>
      <c r="I15" s="25">
        <v>316442.15000000002</v>
      </c>
      <c r="J15" s="25">
        <v>70856.399999999994</v>
      </c>
      <c r="K15" s="25">
        <v>4086.0239999999999</v>
      </c>
      <c r="L15" s="25">
        <v>-24.6512254058092</v>
      </c>
      <c r="M15" s="25">
        <v>-39.948087594525845</v>
      </c>
      <c r="N15" s="239">
        <v>8.4033447356874689</v>
      </c>
      <c r="O15" s="25">
        <v>10.023401071710651</v>
      </c>
      <c r="P15" s="38">
        <v>-4.970194748789865</v>
      </c>
    </row>
    <row r="16" spans="1:16" x14ac:dyDescent="0.25">
      <c r="A16" s="145" t="s">
        <v>174</v>
      </c>
      <c r="B16" s="25">
        <v>495253.25385000004</v>
      </c>
      <c r="C16" s="25">
        <v>257201.96408000001</v>
      </c>
      <c r="D16" s="25">
        <v>194098.59977</v>
      </c>
      <c r="E16" s="25">
        <v>41371.199999999997</v>
      </c>
      <c r="F16" s="25">
        <v>2581.4899999999998</v>
      </c>
      <c r="G16" s="25">
        <v>391006.43799000001</v>
      </c>
      <c r="H16" s="25">
        <v>133371.63125999999</v>
      </c>
      <c r="I16" s="25">
        <v>213070.55972999998</v>
      </c>
      <c r="J16" s="25">
        <v>41452</v>
      </c>
      <c r="K16" s="25">
        <v>3112.2469999999998</v>
      </c>
      <c r="L16" s="25">
        <v>-21.049193528685791</v>
      </c>
      <c r="M16" s="25">
        <v>-48.145173876465371</v>
      </c>
      <c r="N16" s="239">
        <v>9.7743930056584958</v>
      </c>
      <c r="O16" s="25">
        <v>0.19530494643616692</v>
      </c>
      <c r="P16" s="278">
        <v>20.560102886317594</v>
      </c>
    </row>
    <row r="17" spans="1:16" x14ac:dyDescent="0.25">
      <c r="A17" s="145" t="s">
        <v>175</v>
      </c>
      <c r="B17" s="25">
        <v>415355.53286000004</v>
      </c>
      <c r="C17" s="25">
        <v>152811.84406</v>
      </c>
      <c r="D17" s="25">
        <v>223726.45981999999</v>
      </c>
      <c r="E17" s="25">
        <v>28175.200000000001</v>
      </c>
      <c r="F17" s="25">
        <v>10642.028980000001</v>
      </c>
      <c r="G17" s="25">
        <v>519872.63494999998</v>
      </c>
      <c r="H17" s="25">
        <v>265605.66271</v>
      </c>
      <c r="I17" s="25">
        <v>220377.42191999999</v>
      </c>
      <c r="J17" s="25">
        <v>29147.5</v>
      </c>
      <c r="K17" s="25">
        <v>4742.0503200000003</v>
      </c>
      <c r="L17" s="239">
        <v>25.163286346598042</v>
      </c>
      <c r="M17" s="239">
        <v>73.812222700298463</v>
      </c>
      <c r="N17" s="25">
        <v>-1.4969342038015867</v>
      </c>
      <c r="O17" s="25">
        <v>3.4509071807830907</v>
      </c>
      <c r="P17" s="38">
        <v>-55.440355134233059</v>
      </c>
    </row>
    <row r="18" spans="1:16" x14ac:dyDescent="0.25">
      <c r="A18" s="145" t="s">
        <v>176</v>
      </c>
      <c r="B18" s="25">
        <v>740465.72807000007</v>
      </c>
      <c r="C18" s="25">
        <v>502110.23095</v>
      </c>
      <c r="D18" s="25">
        <v>226757.00797999999</v>
      </c>
      <c r="E18" s="25">
        <v>5887.9034000000001</v>
      </c>
      <c r="F18" s="25">
        <v>5710.5857400000004</v>
      </c>
      <c r="G18" s="25">
        <v>421777.48245000001</v>
      </c>
      <c r="H18" s="25">
        <v>149385.97965999998</v>
      </c>
      <c r="I18" s="25">
        <v>243549.96937999999</v>
      </c>
      <c r="J18" s="25">
        <v>26395.3</v>
      </c>
      <c r="K18" s="25">
        <v>2446.2334100000003</v>
      </c>
      <c r="L18" s="25">
        <v>-43.038892083587811</v>
      </c>
      <c r="M18" s="25">
        <v>-70.248369690185456</v>
      </c>
      <c r="N18" s="239">
        <v>7.405707788083518</v>
      </c>
      <c r="O18" s="25">
        <v>348.29709672206911</v>
      </c>
      <c r="P18" s="38">
        <v>-57.163178675958378</v>
      </c>
    </row>
    <row r="19" spans="1:16" x14ac:dyDescent="0.25">
      <c r="A19" s="145" t="s">
        <v>177</v>
      </c>
      <c r="B19" s="25">
        <v>322046.69358999998</v>
      </c>
      <c r="C19" s="25">
        <v>141231.23859999998</v>
      </c>
      <c r="D19" s="25">
        <v>154053.85499000002</v>
      </c>
      <c r="E19" s="25">
        <v>21348.5</v>
      </c>
      <c r="F19" s="25">
        <v>5413.1</v>
      </c>
      <c r="G19" s="25">
        <v>299998.15743000002</v>
      </c>
      <c r="H19" s="25">
        <v>103581.53479000001</v>
      </c>
      <c r="I19" s="25">
        <v>159165.78063999998</v>
      </c>
      <c r="J19" s="25">
        <v>36216</v>
      </c>
      <c r="K19" s="25">
        <v>1034.8420000000001</v>
      </c>
      <c r="L19" s="25">
        <v>-6.8463786770219457</v>
      </c>
      <c r="M19" s="25">
        <v>-26.658198415035343</v>
      </c>
      <c r="N19" s="239">
        <v>3.3182718149648309</v>
      </c>
      <c r="O19" s="25">
        <v>69.641895215120485</v>
      </c>
      <c r="P19" s="38">
        <v>-80.882636566847083</v>
      </c>
    </row>
    <row r="20" spans="1:16" x14ac:dyDescent="0.25">
      <c r="A20" s="145" t="s">
        <v>178</v>
      </c>
      <c r="B20" s="25">
        <v>360476.67356999998</v>
      </c>
      <c r="C20" s="25">
        <v>159730.66278000001</v>
      </c>
      <c r="D20" s="25">
        <v>197652.56318999999</v>
      </c>
      <c r="E20" s="25">
        <v>1000</v>
      </c>
      <c r="F20" s="25">
        <v>2093.4476</v>
      </c>
      <c r="G20" s="25">
        <v>360956.26293999999</v>
      </c>
      <c r="H20" s="25">
        <v>172848.14862999998</v>
      </c>
      <c r="I20" s="25">
        <v>185614.21231</v>
      </c>
      <c r="J20" s="25">
        <v>1000</v>
      </c>
      <c r="K20" s="25">
        <v>1493.902</v>
      </c>
      <c r="L20" s="239">
        <v>0.13304310796323193</v>
      </c>
      <c r="M20" s="239">
        <v>8.2122528146439322</v>
      </c>
      <c r="N20" s="25">
        <v>-6.0906626687293226</v>
      </c>
      <c r="O20" s="25">
        <v>0</v>
      </c>
      <c r="P20" s="38">
        <v>-28.639150079514764</v>
      </c>
    </row>
    <row r="21" spans="1:16" x14ac:dyDescent="0.25">
      <c r="A21" s="145" t="s">
        <v>179</v>
      </c>
      <c r="B21" s="25">
        <v>503034.39333999995</v>
      </c>
      <c r="C21" s="25">
        <v>135417.94563999999</v>
      </c>
      <c r="D21" s="25">
        <v>323834.09002</v>
      </c>
      <c r="E21" s="25">
        <v>38060</v>
      </c>
      <c r="F21" s="25">
        <v>5722.3576800000001</v>
      </c>
      <c r="G21" s="25">
        <v>501624.31823000003</v>
      </c>
      <c r="H21" s="25">
        <v>140509.68986000001</v>
      </c>
      <c r="I21" s="25">
        <v>309126.85414999997</v>
      </c>
      <c r="J21" s="25">
        <v>50653</v>
      </c>
      <c r="K21" s="25">
        <v>1334.77422</v>
      </c>
      <c r="L21" s="25">
        <v>-0.28031385699841849</v>
      </c>
      <c r="M21" s="239">
        <v>3.7600217577780199</v>
      </c>
      <c r="N21" s="25">
        <v>-4.5415959354655087</v>
      </c>
      <c r="O21" s="25">
        <v>33.08723068838674</v>
      </c>
      <c r="P21" s="38">
        <v>-76.674400751544766</v>
      </c>
    </row>
    <row r="22" spans="1:16" x14ac:dyDescent="0.25">
      <c r="A22" s="145" t="s">
        <v>180</v>
      </c>
      <c r="B22" s="25">
        <v>769687.62301999994</v>
      </c>
      <c r="C22" s="25">
        <v>314747.25482999999</v>
      </c>
      <c r="D22" s="25">
        <v>373051.78818999999</v>
      </c>
      <c r="E22" s="25">
        <v>77938.2</v>
      </c>
      <c r="F22" s="25">
        <v>3950.38</v>
      </c>
      <c r="G22" s="25">
        <v>581698.04269999999</v>
      </c>
      <c r="H22" s="25">
        <v>82490.141959999994</v>
      </c>
      <c r="I22" s="25">
        <v>366319.27869000001</v>
      </c>
      <c r="J22" s="25">
        <v>90604.800000000003</v>
      </c>
      <c r="K22" s="25">
        <v>42283.822049999995</v>
      </c>
      <c r="L22" s="25">
        <v>-24.424139702596619</v>
      </c>
      <c r="M22" s="25">
        <v>-73.791624646717182</v>
      </c>
      <c r="N22" s="25">
        <v>-1.8047117620492514</v>
      </c>
      <c r="O22" s="25">
        <v>16.252107438970882</v>
      </c>
      <c r="P22" s="278">
        <v>970.373534951068</v>
      </c>
    </row>
    <row r="23" spans="1:16" x14ac:dyDescent="0.25">
      <c r="A23" s="145" t="s">
        <v>181</v>
      </c>
      <c r="B23" s="25">
        <v>927257.43382000003</v>
      </c>
      <c r="C23" s="25">
        <v>336497.63383000001</v>
      </c>
      <c r="D23" s="25">
        <v>502726.76795000001</v>
      </c>
      <c r="E23" s="25">
        <v>79815.600000000006</v>
      </c>
      <c r="F23" s="25">
        <v>8217.4320399999997</v>
      </c>
      <c r="G23" s="25">
        <v>872451.34234000009</v>
      </c>
      <c r="H23" s="25">
        <v>259937.66258</v>
      </c>
      <c r="I23" s="25">
        <v>495089.91726000002</v>
      </c>
      <c r="J23" s="25">
        <v>116117.1</v>
      </c>
      <c r="K23" s="25">
        <v>1306.6624999999999</v>
      </c>
      <c r="L23" s="25">
        <v>-5.9105583283615886</v>
      </c>
      <c r="M23" s="25">
        <v>-22.752008796792438</v>
      </c>
      <c r="N23" s="25">
        <v>-1.5190857493308414</v>
      </c>
      <c r="O23" s="25">
        <v>45.481710342339085</v>
      </c>
      <c r="P23" s="38">
        <v>-84.098894963298051</v>
      </c>
    </row>
    <row r="24" spans="1:16" x14ac:dyDescent="0.25">
      <c r="A24" s="145" t="s">
        <v>182</v>
      </c>
      <c r="B24" s="25">
        <v>812945.88769</v>
      </c>
      <c r="C24" s="25">
        <v>131623.47837999999</v>
      </c>
      <c r="D24" s="25">
        <v>545052.38991999999</v>
      </c>
      <c r="E24" s="25">
        <v>124756.8</v>
      </c>
      <c r="F24" s="25">
        <v>11513.21939</v>
      </c>
      <c r="G24" s="25">
        <v>800454.23936000001</v>
      </c>
      <c r="H24" s="25">
        <v>162358.5153</v>
      </c>
      <c r="I24" s="25">
        <v>525559.03526000003</v>
      </c>
      <c r="J24" s="25">
        <v>109057.60000000001</v>
      </c>
      <c r="K24" s="25">
        <v>3479.0888</v>
      </c>
      <c r="L24" s="25">
        <v>-1.5365903830936674</v>
      </c>
      <c r="M24" s="239">
        <v>23.350725340404139</v>
      </c>
      <c r="N24" s="25">
        <v>-3.5764185279255543</v>
      </c>
      <c r="O24" s="239">
        <v>-12.583843125184359</v>
      </c>
      <c r="P24" s="38">
        <v>-69.78179011318224</v>
      </c>
    </row>
    <row r="25" spans="1:16" x14ac:dyDescent="0.25">
      <c r="A25" s="145" t="s">
        <v>183</v>
      </c>
      <c r="B25" s="25">
        <v>924816.09605999989</v>
      </c>
      <c r="C25" s="25">
        <v>565736.57634999999</v>
      </c>
      <c r="D25" s="25">
        <v>332469.93311000004</v>
      </c>
      <c r="E25" s="25">
        <v>15981.8</v>
      </c>
      <c r="F25" s="25">
        <v>10627.786599999999</v>
      </c>
      <c r="G25" s="25">
        <v>876818.35996999999</v>
      </c>
      <c r="H25" s="25">
        <v>484102.51660000003</v>
      </c>
      <c r="I25" s="25">
        <v>378285.30725000001</v>
      </c>
      <c r="J25" s="25">
        <v>9161.5</v>
      </c>
      <c r="K25" s="25">
        <v>5269.0361199999998</v>
      </c>
      <c r="L25" s="25">
        <v>-5.1899762876624749</v>
      </c>
      <c r="M25" s="25">
        <v>-14.429694519078794</v>
      </c>
      <c r="N25" s="239">
        <v>13.780305999833558</v>
      </c>
      <c r="O25" s="239">
        <v>-42.675418288302936</v>
      </c>
      <c r="P25" s="38">
        <v>-50.422074526788109</v>
      </c>
    </row>
    <row r="26" spans="1:16" x14ac:dyDescent="0.25">
      <c r="A26" s="145" t="s">
        <v>184</v>
      </c>
      <c r="B26" s="25">
        <v>858636.27041999996</v>
      </c>
      <c r="C26" s="25">
        <v>315855.11038999999</v>
      </c>
      <c r="D26" s="25">
        <v>470736.36531999998</v>
      </c>
      <c r="E26" s="25">
        <v>57164.3</v>
      </c>
      <c r="F26" s="25">
        <v>14880.494710000001</v>
      </c>
      <c r="G26" s="25">
        <v>804329.51217999996</v>
      </c>
      <c r="H26" s="25">
        <v>258034.07136999999</v>
      </c>
      <c r="I26" s="25">
        <v>484942.89600000001</v>
      </c>
      <c r="J26" s="25">
        <v>54429</v>
      </c>
      <c r="K26" s="25">
        <v>6923.5448099999994</v>
      </c>
      <c r="L26" s="25">
        <v>-6.3247687188238473</v>
      </c>
      <c r="M26" s="25">
        <v>-18.306190755820239</v>
      </c>
      <c r="N26" s="239">
        <v>3.0179377941924201</v>
      </c>
      <c r="O26" s="239">
        <v>-4.7849794364664717</v>
      </c>
      <c r="P26" s="38">
        <v>-53.472347896154062</v>
      </c>
    </row>
    <row r="27" spans="1:16" x14ac:dyDescent="0.25">
      <c r="A27" s="145" t="s">
        <v>185</v>
      </c>
      <c r="B27" s="25">
        <v>948982.47615</v>
      </c>
      <c r="C27" s="25">
        <v>426837.42466000002</v>
      </c>
      <c r="D27" s="25">
        <v>456627.47454000002</v>
      </c>
      <c r="E27" s="25">
        <v>54009.9</v>
      </c>
      <c r="F27" s="25">
        <v>11507.676949999999</v>
      </c>
      <c r="G27" s="25">
        <v>880782.98412000004</v>
      </c>
      <c r="H27" s="25">
        <v>345465.05161999998</v>
      </c>
      <c r="I27" s="25">
        <v>464665.32929999998</v>
      </c>
      <c r="J27" s="25">
        <v>62924.9</v>
      </c>
      <c r="K27" s="25">
        <v>7727.7031999999999</v>
      </c>
      <c r="L27" s="25">
        <v>-7.1865912958354841</v>
      </c>
      <c r="M27" s="25">
        <v>-19.064020242559025</v>
      </c>
      <c r="N27" s="239">
        <v>1.7602652508146122</v>
      </c>
      <c r="O27" s="25">
        <v>16.50623311652123</v>
      </c>
      <c r="P27" s="38">
        <v>-32.847409311398863</v>
      </c>
    </row>
    <row r="28" spans="1:16" x14ac:dyDescent="0.25">
      <c r="A28" s="145" t="s">
        <v>186</v>
      </c>
      <c r="B28" s="25">
        <v>322891.00279</v>
      </c>
      <c r="C28" s="25">
        <v>89293.284299999999</v>
      </c>
      <c r="D28" s="25">
        <v>183564.11849000002</v>
      </c>
      <c r="E28" s="25">
        <v>47309.4</v>
      </c>
      <c r="F28" s="25">
        <v>2724.2</v>
      </c>
      <c r="G28" s="25">
        <v>312220.84198999999</v>
      </c>
      <c r="H28" s="25">
        <v>79918.755219999992</v>
      </c>
      <c r="I28" s="25">
        <v>178755.70906999998</v>
      </c>
      <c r="J28" s="25">
        <v>52049.7</v>
      </c>
      <c r="K28" s="25">
        <v>1496.6777</v>
      </c>
      <c r="L28" s="25">
        <v>-3.3045704921482724</v>
      </c>
      <c r="M28" s="25">
        <v>-10.498582456105282</v>
      </c>
      <c r="N28" s="25">
        <v>-2.6194713103813854</v>
      </c>
      <c r="O28" s="25">
        <v>10.019784651675977</v>
      </c>
      <c r="P28" s="38">
        <v>-45.059918508185888</v>
      </c>
    </row>
    <row r="29" spans="1:16" x14ac:dyDescent="0.25">
      <c r="A29" s="145" t="s">
        <v>187</v>
      </c>
      <c r="B29" s="25">
        <v>3492087.4988099998</v>
      </c>
      <c r="C29" s="25">
        <v>589217.99766999995</v>
      </c>
      <c r="D29" s="25">
        <v>2885606.2643300002</v>
      </c>
      <c r="E29" s="25">
        <v>0</v>
      </c>
      <c r="F29" s="25">
        <v>17263.236809999999</v>
      </c>
      <c r="G29" s="25">
        <v>3659829.1921599996</v>
      </c>
      <c r="H29" s="25">
        <v>466802.88101999997</v>
      </c>
      <c r="I29" s="25">
        <v>2974114.74817</v>
      </c>
      <c r="J29" s="25">
        <v>94490.5</v>
      </c>
      <c r="K29" s="25">
        <v>124421.06297</v>
      </c>
      <c r="L29" s="239">
        <v>4.8034791054680426</v>
      </c>
      <c r="M29" s="25">
        <v>-20.775861758140039</v>
      </c>
      <c r="N29" s="239">
        <v>3.0672404941063718</v>
      </c>
      <c r="O29" s="25"/>
      <c r="P29" s="278">
        <v>620.72847253029147</v>
      </c>
    </row>
    <row r="30" spans="1:16" x14ac:dyDescent="0.25">
      <c r="A30" s="145" t="s">
        <v>188</v>
      </c>
      <c r="B30" s="25">
        <v>2722018.9697600002</v>
      </c>
      <c r="C30" s="25">
        <v>694583.56305999996</v>
      </c>
      <c r="D30" s="25">
        <v>2014498.5132599999</v>
      </c>
      <c r="E30" s="25">
        <v>0</v>
      </c>
      <c r="F30" s="25">
        <v>12936.89344</v>
      </c>
      <c r="G30" s="25">
        <v>3046504.2488099998</v>
      </c>
      <c r="H30" s="25">
        <v>936305.28973000008</v>
      </c>
      <c r="I30" s="25">
        <v>2104642.1515000002</v>
      </c>
      <c r="J30" s="25">
        <v>0</v>
      </c>
      <c r="K30" s="25">
        <v>5556.8075799999997</v>
      </c>
      <c r="L30" s="239">
        <v>11.920757447131578</v>
      </c>
      <c r="M30" s="239">
        <v>34.800956936713391</v>
      </c>
      <c r="N30" s="239">
        <v>4.4747433491089339</v>
      </c>
      <c r="O30" s="25"/>
      <c r="P30" s="38">
        <v>-57.04681648827124</v>
      </c>
    </row>
    <row r="31" spans="1:16" x14ac:dyDescent="0.25">
      <c r="A31" s="145" t="s">
        <v>189</v>
      </c>
      <c r="B31" s="25">
        <v>987795.51937999995</v>
      </c>
      <c r="C31" s="25">
        <v>204772.60040999998</v>
      </c>
      <c r="D31" s="25">
        <v>737916.78597000008</v>
      </c>
      <c r="E31" s="25">
        <v>42001.599999999999</v>
      </c>
      <c r="F31" s="25">
        <v>3104.5329999999999</v>
      </c>
      <c r="G31" s="25">
        <v>964556.87405999994</v>
      </c>
      <c r="H31" s="25">
        <v>128755.27372</v>
      </c>
      <c r="I31" s="25">
        <v>761210.16417</v>
      </c>
      <c r="J31" s="25">
        <v>64559.3</v>
      </c>
      <c r="K31" s="25">
        <v>10032.13617</v>
      </c>
      <c r="L31" s="25">
        <v>-2.3525765063791795</v>
      </c>
      <c r="M31" s="25">
        <v>-37.122801848390125</v>
      </c>
      <c r="N31" s="239">
        <v>3.1566402395062028</v>
      </c>
      <c r="O31" s="25">
        <v>53.706763551864725</v>
      </c>
      <c r="P31" s="278">
        <v>223.14477475356199</v>
      </c>
    </row>
    <row r="32" spans="1:16" x14ac:dyDescent="0.25">
      <c r="A32" s="145" t="s">
        <v>190</v>
      </c>
      <c r="B32" s="25">
        <v>605937.19598000008</v>
      </c>
      <c r="C32" s="25">
        <v>172390.78112999999</v>
      </c>
      <c r="D32" s="25">
        <v>365136.08585000003</v>
      </c>
      <c r="E32" s="25">
        <v>64370.8</v>
      </c>
      <c r="F32" s="25">
        <v>4039.529</v>
      </c>
      <c r="G32" s="25">
        <v>584130.01977999997</v>
      </c>
      <c r="H32" s="25">
        <v>140493.29119999998</v>
      </c>
      <c r="I32" s="25">
        <v>369393.98858</v>
      </c>
      <c r="J32" s="25">
        <v>73027.8</v>
      </c>
      <c r="K32" s="25">
        <v>1214.94</v>
      </c>
      <c r="L32" s="25">
        <v>-3.5989169083325123</v>
      </c>
      <c r="M32" s="25">
        <v>-18.50301374639406</v>
      </c>
      <c r="N32" s="239">
        <v>1.1661139216322596</v>
      </c>
      <c r="O32" s="25">
        <v>13.448644416412407</v>
      </c>
      <c r="P32" s="38">
        <v>-69.923721305132361</v>
      </c>
    </row>
    <row r="33" spans="1:16" x14ac:dyDescent="0.25">
      <c r="A33" s="145" t="s">
        <v>191</v>
      </c>
      <c r="B33" s="25">
        <v>451734.46480999998</v>
      </c>
      <c r="C33" s="25">
        <v>27845.89</v>
      </c>
      <c r="D33" s="25">
        <v>404171.85480999999</v>
      </c>
      <c r="E33" s="25">
        <v>18664.2</v>
      </c>
      <c r="F33" s="25">
        <v>1052.52</v>
      </c>
      <c r="G33" s="25">
        <v>466066.27651999996</v>
      </c>
      <c r="H33" s="25">
        <v>43205.995590000006</v>
      </c>
      <c r="I33" s="25">
        <v>406199.23093000002</v>
      </c>
      <c r="J33" s="25">
        <v>11729.8</v>
      </c>
      <c r="K33" s="25">
        <v>4931.25</v>
      </c>
      <c r="L33" s="239">
        <v>3.172618612579825</v>
      </c>
      <c r="M33" s="239">
        <v>55.161122844340809</v>
      </c>
      <c r="N33" s="239">
        <v>0.50161239479506037</v>
      </c>
      <c r="O33" s="239">
        <v>-37.153480995703006</v>
      </c>
      <c r="P33" s="278">
        <v>368.51841295177292</v>
      </c>
    </row>
    <row r="34" spans="1:16" x14ac:dyDescent="0.25">
      <c r="A34" s="145" t="s">
        <v>192</v>
      </c>
      <c r="B34" s="25">
        <v>420770.64127999998</v>
      </c>
      <c r="C34" s="25">
        <v>14522.17957</v>
      </c>
      <c r="D34" s="25">
        <v>282823.36170999997</v>
      </c>
      <c r="E34" s="25">
        <v>122956</v>
      </c>
      <c r="F34" s="25">
        <v>469.1</v>
      </c>
      <c r="G34" s="25">
        <v>425128.04824999999</v>
      </c>
      <c r="H34" s="25">
        <v>15022.281210000001</v>
      </c>
      <c r="I34" s="25">
        <v>297445.46704000002</v>
      </c>
      <c r="J34" s="25">
        <v>112657.7</v>
      </c>
      <c r="K34" s="25">
        <v>2.6</v>
      </c>
      <c r="L34" s="239">
        <v>1.0355777096863505</v>
      </c>
      <c r="M34" s="239">
        <v>3.4437092420556041</v>
      </c>
      <c r="N34" s="239">
        <v>5.1700486273807797</v>
      </c>
      <c r="O34" s="239">
        <v>-8.3755977748137553</v>
      </c>
      <c r="P34" s="38">
        <v>-99.445747175442335</v>
      </c>
    </row>
    <row r="35" spans="1:16" x14ac:dyDescent="0.25">
      <c r="A35" s="145" t="s">
        <v>193</v>
      </c>
      <c r="B35" s="25">
        <v>7266.3330199999991</v>
      </c>
      <c r="C35" s="25">
        <v>72.099999999999994</v>
      </c>
      <c r="D35" s="25">
        <v>6526.5330199999999</v>
      </c>
      <c r="E35" s="25">
        <v>667.7</v>
      </c>
      <c r="F35" s="25">
        <v>0</v>
      </c>
      <c r="G35" s="25">
        <v>7288.0168700000004</v>
      </c>
      <c r="H35" s="25">
        <v>7</v>
      </c>
      <c r="I35" s="25">
        <v>6531.3168700000006</v>
      </c>
      <c r="J35" s="25">
        <v>749.7</v>
      </c>
      <c r="K35" s="25">
        <v>0</v>
      </c>
      <c r="L35" s="239">
        <v>0.29841530714760722</v>
      </c>
      <c r="M35" s="25">
        <v>-90.291262135922324</v>
      </c>
      <c r="N35" s="239">
        <v>7.3298487655563349E-2</v>
      </c>
      <c r="O35" s="25">
        <v>12.280964505017224</v>
      </c>
      <c r="P35" s="38"/>
    </row>
    <row r="36" spans="1:16" s="280" customFormat="1" ht="13.8" thickBot="1" x14ac:dyDescent="0.3">
      <c r="A36" s="279" t="s">
        <v>194</v>
      </c>
      <c r="B36" s="274">
        <v>21428216.354130004</v>
      </c>
      <c r="C36" s="274">
        <v>7375573.8747599991</v>
      </c>
      <c r="D36" s="274">
        <v>12726353.305110002</v>
      </c>
      <c r="E36" s="274">
        <v>1154204.8119700002</v>
      </c>
      <c r="F36" s="274">
        <v>172084.36228999999</v>
      </c>
      <c r="G36" s="274">
        <v>20500681.364039999</v>
      </c>
      <c r="H36" s="274">
        <v>5862845.098840001</v>
      </c>
      <c r="I36" s="274">
        <v>12996894.609870002</v>
      </c>
      <c r="J36" s="274">
        <v>1391550.59195</v>
      </c>
      <c r="K36" s="274">
        <v>249391.06338000001</v>
      </c>
      <c r="L36" s="274">
        <v>-4.3285683454061115</v>
      </c>
      <c r="M36" s="274">
        <v>-20.509980668714022</v>
      </c>
      <c r="N36" s="274">
        <v>2.1258352512606251</v>
      </c>
      <c r="O36" s="274">
        <v>20.563575677257617</v>
      </c>
      <c r="P36" s="275">
        <v>44.923722330865388</v>
      </c>
    </row>
    <row r="37" spans="1:16" ht="13.8" thickTop="1" x14ac:dyDescent="0.25">
      <c r="A37" s="192" t="s">
        <v>330</v>
      </c>
      <c r="C37" s="193">
        <f>C36/$B$36%</f>
        <v>34.419915091712497</v>
      </c>
      <c r="D37" s="193">
        <f t="shared" ref="D37:F37" si="0">D36/$B$36%</f>
        <v>59.390632868316949</v>
      </c>
      <c r="E37" s="193">
        <f t="shared" si="0"/>
        <v>5.386378375573674</v>
      </c>
      <c r="F37" s="193">
        <f t="shared" si="0"/>
        <v>0.80307366439686434</v>
      </c>
      <c r="H37" s="193">
        <f>H36/$G$36%</f>
        <v>28.598293855363988</v>
      </c>
      <c r="I37" s="193">
        <f t="shared" ref="I37:K37" si="1">I36/$G$36%</f>
        <v>63.397378745994757</v>
      </c>
      <c r="J37" s="193">
        <f t="shared" si="1"/>
        <v>6.7878260592396815</v>
      </c>
      <c r="K37" s="193">
        <f t="shared" si="1"/>
        <v>1.2165013394015962</v>
      </c>
      <c r="M37" s="193">
        <f>H37-C37</f>
        <v>-5.8216212363485091</v>
      </c>
      <c r="N37" s="193">
        <f t="shared" ref="N37:P37" si="2">I37-D37</f>
        <v>4.0067458776778082</v>
      </c>
      <c r="O37" s="193">
        <f t="shared" si="2"/>
        <v>1.4014476836660075</v>
      </c>
      <c r="P37" s="193">
        <f t="shared" si="2"/>
        <v>0.41342767500473188</v>
      </c>
    </row>
  </sheetData>
  <mergeCells count="24">
    <mergeCell ref="N1:P1"/>
    <mergeCell ref="A3:P3"/>
    <mergeCell ref="A5:A8"/>
    <mergeCell ref="B5:F5"/>
    <mergeCell ref="G5:K5"/>
    <mergeCell ref="L5:P5"/>
    <mergeCell ref="B6:B8"/>
    <mergeCell ref="C6:F6"/>
    <mergeCell ref="G6:G8"/>
    <mergeCell ref="H6:K6"/>
    <mergeCell ref="C7:C8"/>
    <mergeCell ref="D7:D8"/>
    <mergeCell ref="E7:E8"/>
    <mergeCell ref="P7:P8"/>
    <mergeCell ref="L6:L8"/>
    <mergeCell ref="M6:P6"/>
    <mergeCell ref="F7:F8"/>
    <mergeCell ref="H7:H8"/>
    <mergeCell ref="M7:M8"/>
    <mergeCell ref="N7:N8"/>
    <mergeCell ref="O7:O8"/>
    <mergeCell ref="I7:I8"/>
    <mergeCell ref="J7:J8"/>
    <mergeCell ref="K7:K8"/>
  </mergeCells>
  <pageMargins left="0.39370078740157483" right="0.39370078740157483" top="0.78740157480314965" bottom="0.39370078740157483" header="0.31496062992125984" footer="0.31496062992125984"/>
  <pageSetup paperSize="256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31"/>
  <sheetViews>
    <sheetView zoomScaleNormal="100" zoomScaleSheetLayoutView="100" workbookViewId="0">
      <pane xSplit="7" ySplit="7" topLeftCell="P8" activePane="bottomRight" state="frozen"/>
      <selection activeCell="I7" sqref="I7"/>
      <selection pane="topRight" activeCell="I7" sqref="I7"/>
      <selection pane="bottomLeft" activeCell="I7" sqref="I7"/>
      <selection pane="bottomRight" activeCell="Q6" sqref="Q6:Q7"/>
    </sheetView>
  </sheetViews>
  <sheetFormatPr defaultColWidth="8.19921875" defaultRowHeight="13.2" x14ac:dyDescent="0.25"/>
  <cols>
    <col min="1" max="1" width="5.796875" style="334" bestFit="1" customWidth="1"/>
    <col min="2" max="2" width="47.796875" style="334" customWidth="1"/>
    <col min="3" max="3" width="11.296875" style="334" hidden="1" customWidth="1"/>
    <col min="4" max="4" width="11.19921875" style="334" hidden="1" customWidth="1"/>
    <col min="5" max="6" width="10.796875" style="334" hidden="1" customWidth="1"/>
    <col min="7" max="7" width="15" style="334" hidden="1" customWidth="1"/>
    <col min="8" max="8" width="11.3984375" style="334" hidden="1" customWidth="1"/>
    <col min="9" max="9" width="10.3984375" style="334" hidden="1" customWidth="1"/>
    <col min="10" max="10" width="10.19921875" style="334" hidden="1" customWidth="1"/>
    <col min="11" max="11" width="11.69921875" style="334" hidden="1" customWidth="1"/>
    <col min="12" max="12" width="15.796875" style="334" hidden="1" customWidth="1"/>
    <col min="13" max="13" width="13.19921875" style="334" customWidth="1"/>
    <col min="14" max="14" width="10.3984375" style="334" customWidth="1"/>
    <col min="15" max="15" width="10.8984375" style="334" customWidth="1"/>
    <col min="16" max="16" width="11.59765625" style="334" customWidth="1"/>
    <col min="17" max="17" width="13.3984375" style="336" customWidth="1"/>
    <col min="18" max="18" width="11.59765625" style="334" customWidth="1"/>
    <col min="19" max="19" width="9.8984375" style="334" customWidth="1"/>
    <col min="20" max="20" width="10.3984375" style="334" customWidth="1"/>
    <col min="21" max="21" width="8.19921875" style="334"/>
    <col min="22" max="22" width="13" style="334" customWidth="1"/>
    <col min="23" max="24" width="0" style="334" hidden="1" customWidth="1"/>
    <col min="25" max="256" width="8.19921875" style="334"/>
    <col min="257" max="257" width="5.796875" style="334" bestFit="1" customWidth="1"/>
    <col min="258" max="258" width="34.796875" style="334" customWidth="1"/>
    <col min="259" max="268" width="0" style="334" hidden="1" customWidth="1"/>
    <col min="269" max="269" width="13.19921875" style="334" customWidth="1"/>
    <col min="270" max="270" width="10.3984375" style="334" customWidth="1"/>
    <col min="271" max="271" width="10.8984375" style="334" customWidth="1"/>
    <col min="272" max="272" width="11.59765625" style="334" customWidth="1"/>
    <col min="273" max="273" width="13.3984375" style="334" customWidth="1"/>
    <col min="274" max="274" width="11.59765625" style="334" customWidth="1"/>
    <col min="275" max="275" width="9.8984375" style="334" customWidth="1"/>
    <col min="276" max="276" width="10.3984375" style="334" customWidth="1"/>
    <col min="277" max="277" width="8.19921875" style="334"/>
    <col min="278" max="278" width="13" style="334" customWidth="1"/>
    <col min="279" max="512" width="8.19921875" style="334"/>
    <col min="513" max="513" width="5.796875" style="334" bestFit="1" customWidth="1"/>
    <col min="514" max="514" width="34.796875" style="334" customWidth="1"/>
    <col min="515" max="524" width="0" style="334" hidden="1" customWidth="1"/>
    <col min="525" max="525" width="13.19921875" style="334" customWidth="1"/>
    <col min="526" max="526" width="10.3984375" style="334" customWidth="1"/>
    <col min="527" max="527" width="10.8984375" style="334" customWidth="1"/>
    <col min="528" max="528" width="11.59765625" style="334" customWidth="1"/>
    <col min="529" max="529" width="13.3984375" style="334" customWidth="1"/>
    <col min="530" max="530" width="11.59765625" style="334" customWidth="1"/>
    <col min="531" max="531" width="9.8984375" style="334" customWidth="1"/>
    <col min="532" max="532" width="10.3984375" style="334" customWidth="1"/>
    <col min="533" max="533" width="8.19921875" style="334"/>
    <col min="534" max="534" width="13" style="334" customWidth="1"/>
    <col min="535" max="768" width="8.19921875" style="334"/>
    <col min="769" max="769" width="5.796875" style="334" bestFit="1" customWidth="1"/>
    <col min="770" max="770" width="34.796875" style="334" customWidth="1"/>
    <col min="771" max="780" width="0" style="334" hidden="1" customWidth="1"/>
    <col min="781" max="781" width="13.19921875" style="334" customWidth="1"/>
    <col min="782" max="782" width="10.3984375" style="334" customWidth="1"/>
    <col min="783" max="783" width="10.8984375" style="334" customWidth="1"/>
    <col min="784" max="784" width="11.59765625" style="334" customWidth="1"/>
    <col min="785" max="785" width="13.3984375" style="334" customWidth="1"/>
    <col min="786" max="786" width="11.59765625" style="334" customWidth="1"/>
    <col min="787" max="787" width="9.8984375" style="334" customWidth="1"/>
    <col min="788" max="788" width="10.3984375" style="334" customWidth="1"/>
    <col min="789" max="789" width="8.19921875" style="334"/>
    <col min="790" max="790" width="13" style="334" customWidth="1"/>
    <col min="791" max="1024" width="8.19921875" style="334"/>
    <col min="1025" max="1025" width="5.796875" style="334" bestFit="1" customWidth="1"/>
    <col min="1026" max="1026" width="34.796875" style="334" customWidth="1"/>
    <col min="1027" max="1036" width="0" style="334" hidden="1" customWidth="1"/>
    <col min="1037" max="1037" width="13.19921875" style="334" customWidth="1"/>
    <col min="1038" max="1038" width="10.3984375" style="334" customWidth="1"/>
    <col min="1039" max="1039" width="10.8984375" style="334" customWidth="1"/>
    <col min="1040" max="1040" width="11.59765625" style="334" customWidth="1"/>
    <col min="1041" max="1041" width="13.3984375" style="334" customWidth="1"/>
    <col min="1042" max="1042" width="11.59765625" style="334" customWidth="1"/>
    <col min="1043" max="1043" width="9.8984375" style="334" customWidth="1"/>
    <col min="1044" max="1044" width="10.3984375" style="334" customWidth="1"/>
    <col min="1045" max="1045" width="8.19921875" style="334"/>
    <col min="1046" max="1046" width="13" style="334" customWidth="1"/>
    <col min="1047" max="1280" width="8.19921875" style="334"/>
    <col min="1281" max="1281" width="5.796875" style="334" bestFit="1" customWidth="1"/>
    <col min="1282" max="1282" width="34.796875" style="334" customWidth="1"/>
    <col min="1283" max="1292" width="0" style="334" hidden="1" customWidth="1"/>
    <col min="1293" max="1293" width="13.19921875" style="334" customWidth="1"/>
    <col min="1294" max="1294" width="10.3984375" style="334" customWidth="1"/>
    <col min="1295" max="1295" width="10.8984375" style="334" customWidth="1"/>
    <col min="1296" max="1296" width="11.59765625" style="334" customWidth="1"/>
    <col min="1297" max="1297" width="13.3984375" style="334" customWidth="1"/>
    <col min="1298" max="1298" width="11.59765625" style="334" customWidth="1"/>
    <col min="1299" max="1299" width="9.8984375" style="334" customWidth="1"/>
    <col min="1300" max="1300" width="10.3984375" style="334" customWidth="1"/>
    <col min="1301" max="1301" width="8.19921875" style="334"/>
    <col min="1302" max="1302" width="13" style="334" customWidth="1"/>
    <col min="1303" max="1536" width="8.19921875" style="334"/>
    <col min="1537" max="1537" width="5.796875" style="334" bestFit="1" customWidth="1"/>
    <col min="1538" max="1538" width="34.796875" style="334" customWidth="1"/>
    <col min="1539" max="1548" width="0" style="334" hidden="1" customWidth="1"/>
    <col min="1549" max="1549" width="13.19921875" style="334" customWidth="1"/>
    <col min="1550" max="1550" width="10.3984375" style="334" customWidth="1"/>
    <col min="1551" max="1551" width="10.8984375" style="334" customWidth="1"/>
    <col min="1552" max="1552" width="11.59765625" style="334" customWidth="1"/>
    <col min="1553" max="1553" width="13.3984375" style="334" customWidth="1"/>
    <col min="1554" max="1554" width="11.59765625" style="334" customWidth="1"/>
    <col min="1555" max="1555" width="9.8984375" style="334" customWidth="1"/>
    <col min="1556" max="1556" width="10.3984375" style="334" customWidth="1"/>
    <col min="1557" max="1557" width="8.19921875" style="334"/>
    <col min="1558" max="1558" width="13" style="334" customWidth="1"/>
    <col min="1559" max="1792" width="8.19921875" style="334"/>
    <col min="1793" max="1793" width="5.796875" style="334" bestFit="1" customWidth="1"/>
    <col min="1794" max="1794" width="34.796875" style="334" customWidth="1"/>
    <col min="1795" max="1804" width="0" style="334" hidden="1" customWidth="1"/>
    <col min="1805" max="1805" width="13.19921875" style="334" customWidth="1"/>
    <col min="1806" max="1806" width="10.3984375" style="334" customWidth="1"/>
    <col min="1807" max="1807" width="10.8984375" style="334" customWidth="1"/>
    <col min="1808" max="1808" width="11.59765625" style="334" customWidth="1"/>
    <col min="1809" max="1809" width="13.3984375" style="334" customWidth="1"/>
    <col min="1810" max="1810" width="11.59765625" style="334" customWidth="1"/>
    <col min="1811" max="1811" width="9.8984375" style="334" customWidth="1"/>
    <col min="1812" max="1812" width="10.3984375" style="334" customWidth="1"/>
    <col min="1813" max="1813" width="8.19921875" style="334"/>
    <col min="1814" max="1814" width="13" style="334" customWidth="1"/>
    <col min="1815" max="2048" width="8.19921875" style="334"/>
    <col min="2049" max="2049" width="5.796875" style="334" bestFit="1" customWidth="1"/>
    <col min="2050" max="2050" width="34.796875" style="334" customWidth="1"/>
    <col min="2051" max="2060" width="0" style="334" hidden="1" customWidth="1"/>
    <col min="2061" max="2061" width="13.19921875" style="334" customWidth="1"/>
    <col min="2062" max="2062" width="10.3984375" style="334" customWidth="1"/>
    <col min="2063" max="2063" width="10.8984375" style="334" customWidth="1"/>
    <col min="2064" max="2064" width="11.59765625" style="334" customWidth="1"/>
    <col min="2065" max="2065" width="13.3984375" style="334" customWidth="1"/>
    <col min="2066" max="2066" width="11.59765625" style="334" customWidth="1"/>
    <col min="2067" max="2067" width="9.8984375" style="334" customWidth="1"/>
    <col min="2068" max="2068" width="10.3984375" style="334" customWidth="1"/>
    <col min="2069" max="2069" width="8.19921875" style="334"/>
    <col min="2070" max="2070" width="13" style="334" customWidth="1"/>
    <col min="2071" max="2304" width="8.19921875" style="334"/>
    <col min="2305" max="2305" width="5.796875" style="334" bestFit="1" customWidth="1"/>
    <col min="2306" max="2306" width="34.796875" style="334" customWidth="1"/>
    <col min="2307" max="2316" width="0" style="334" hidden="1" customWidth="1"/>
    <col min="2317" max="2317" width="13.19921875" style="334" customWidth="1"/>
    <col min="2318" max="2318" width="10.3984375" style="334" customWidth="1"/>
    <col min="2319" max="2319" width="10.8984375" style="334" customWidth="1"/>
    <col min="2320" max="2320" width="11.59765625" style="334" customWidth="1"/>
    <col min="2321" max="2321" width="13.3984375" style="334" customWidth="1"/>
    <col min="2322" max="2322" width="11.59765625" style="334" customWidth="1"/>
    <col min="2323" max="2323" width="9.8984375" style="334" customWidth="1"/>
    <col min="2324" max="2324" width="10.3984375" style="334" customWidth="1"/>
    <col min="2325" max="2325" width="8.19921875" style="334"/>
    <col min="2326" max="2326" width="13" style="334" customWidth="1"/>
    <col min="2327" max="2560" width="8.19921875" style="334"/>
    <col min="2561" max="2561" width="5.796875" style="334" bestFit="1" customWidth="1"/>
    <col min="2562" max="2562" width="34.796875" style="334" customWidth="1"/>
    <col min="2563" max="2572" width="0" style="334" hidden="1" customWidth="1"/>
    <col min="2573" max="2573" width="13.19921875" style="334" customWidth="1"/>
    <col min="2574" max="2574" width="10.3984375" style="334" customWidth="1"/>
    <col min="2575" max="2575" width="10.8984375" style="334" customWidth="1"/>
    <col min="2576" max="2576" width="11.59765625" style="334" customWidth="1"/>
    <col min="2577" max="2577" width="13.3984375" style="334" customWidth="1"/>
    <col min="2578" max="2578" width="11.59765625" style="334" customWidth="1"/>
    <col min="2579" max="2579" width="9.8984375" style="334" customWidth="1"/>
    <col min="2580" max="2580" width="10.3984375" style="334" customWidth="1"/>
    <col min="2581" max="2581" width="8.19921875" style="334"/>
    <col min="2582" max="2582" width="13" style="334" customWidth="1"/>
    <col min="2583" max="2816" width="8.19921875" style="334"/>
    <col min="2817" max="2817" width="5.796875" style="334" bestFit="1" customWidth="1"/>
    <col min="2818" max="2818" width="34.796875" style="334" customWidth="1"/>
    <col min="2819" max="2828" width="0" style="334" hidden="1" customWidth="1"/>
    <col min="2829" max="2829" width="13.19921875" style="334" customWidth="1"/>
    <col min="2830" max="2830" width="10.3984375" style="334" customWidth="1"/>
    <col min="2831" max="2831" width="10.8984375" style="334" customWidth="1"/>
    <col min="2832" max="2832" width="11.59765625" style="334" customWidth="1"/>
    <col min="2833" max="2833" width="13.3984375" style="334" customWidth="1"/>
    <col min="2834" max="2834" width="11.59765625" style="334" customWidth="1"/>
    <col min="2835" max="2835" width="9.8984375" style="334" customWidth="1"/>
    <col min="2836" max="2836" width="10.3984375" style="334" customWidth="1"/>
    <col min="2837" max="2837" width="8.19921875" style="334"/>
    <col min="2838" max="2838" width="13" style="334" customWidth="1"/>
    <col min="2839" max="3072" width="8.19921875" style="334"/>
    <col min="3073" max="3073" width="5.796875" style="334" bestFit="1" customWidth="1"/>
    <col min="3074" max="3074" width="34.796875" style="334" customWidth="1"/>
    <col min="3075" max="3084" width="0" style="334" hidden="1" customWidth="1"/>
    <col min="3085" max="3085" width="13.19921875" style="334" customWidth="1"/>
    <col min="3086" max="3086" width="10.3984375" style="334" customWidth="1"/>
    <col min="3087" max="3087" width="10.8984375" style="334" customWidth="1"/>
    <col min="3088" max="3088" width="11.59765625" style="334" customWidth="1"/>
    <col min="3089" max="3089" width="13.3984375" style="334" customWidth="1"/>
    <col min="3090" max="3090" width="11.59765625" style="334" customWidth="1"/>
    <col min="3091" max="3091" width="9.8984375" style="334" customWidth="1"/>
    <col min="3092" max="3092" width="10.3984375" style="334" customWidth="1"/>
    <col min="3093" max="3093" width="8.19921875" style="334"/>
    <col min="3094" max="3094" width="13" style="334" customWidth="1"/>
    <col min="3095" max="3328" width="8.19921875" style="334"/>
    <col min="3329" max="3329" width="5.796875" style="334" bestFit="1" customWidth="1"/>
    <col min="3330" max="3330" width="34.796875" style="334" customWidth="1"/>
    <col min="3331" max="3340" width="0" style="334" hidden="1" customWidth="1"/>
    <col min="3341" max="3341" width="13.19921875" style="334" customWidth="1"/>
    <col min="3342" max="3342" width="10.3984375" style="334" customWidth="1"/>
    <col min="3343" max="3343" width="10.8984375" style="334" customWidth="1"/>
    <col min="3344" max="3344" width="11.59765625" style="334" customWidth="1"/>
    <col min="3345" max="3345" width="13.3984375" style="334" customWidth="1"/>
    <col min="3346" max="3346" width="11.59765625" style="334" customWidth="1"/>
    <col min="3347" max="3347" width="9.8984375" style="334" customWidth="1"/>
    <col min="3348" max="3348" width="10.3984375" style="334" customWidth="1"/>
    <col min="3349" max="3349" width="8.19921875" style="334"/>
    <col min="3350" max="3350" width="13" style="334" customWidth="1"/>
    <col min="3351" max="3584" width="8.19921875" style="334"/>
    <col min="3585" max="3585" width="5.796875" style="334" bestFit="1" customWidth="1"/>
    <col min="3586" max="3586" width="34.796875" style="334" customWidth="1"/>
    <col min="3587" max="3596" width="0" style="334" hidden="1" customWidth="1"/>
    <col min="3597" max="3597" width="13.19921875" style="334" customWidth="1"/>
    <col min="3598" max="3598" width="10.3984375" style="334" customWidth="1"/>
    <col min="3599" max="3599" width="10.8984375" style="334" customWidth="1"/>
    <col min="3600" max="3600" width="11.59765625" style="334" customWidth="1"/>
    <col min="3601" max="3601" width="13.3984375" style="334" customWidth="1"/>
    <col min="3602" max="3602" width="11.59765625" style="334" customWidth="1"/>
    <col min="3603" max="3603" width="9.8984375" style="334" customWidth="1"/>
    <col min="3604" max="3604" width="10.3984375" style="334" customWidth="1"/>
    <col min="3605" max="3605" width="8.19921875" style="334"/>
    <col min="3606" max="3606" width="13" style="334" customWidth="1"/>
    <col min="3607" max="3840" width="8.19921875" style="334"/>
    <col min="3841" max="3841" width="5.796875" style="334" bestFit="1" customWidth="1"/>
    <col min="3842" max="3842" width="34.796875" style="334" customWidth="1"/>
    <col min="3843" max="3852" width="0" style="334" hidden="1" customWidth="1"/>
    <col min="3853" max="3853" width="13.19921875" style="334" customWidth="1"/>
    <col min="3854" max="3854" width="10.3984375" style="334" customWidth="1"/>
    <col min="3855" max="3855" width="10.8984375" style="334" customWidth="1"/>
    <col min="3856" max="3856" width="11.59765625" style="334" customWidth="1"/>
    <col min="3857" max="3857" width="13.3984375" style="334" customWidth="1"/>
    <col min="3858" max="3858" width="11.59765625" style="334" customWidth="1"/>
    <col min="3859" max="3859" width="9.8984375" style="334" customWidth="1"/>
    <col min="3860" max="3860" width="10.3984375" style="334" customWidth="1"/>
    <col min="3861" max="3861" width="8.19921875" style="334"/>
    <col min="3862" max="3862" width="13" style="334" customWidth="1"/>
    <col min="3863" max="4096" width="8.19921875" style="334"/>
    <col min="4097" max="4097" width="5.796875" style="334" bestFit="1" customWidth="1"/>
    <col min="4098" max="4098" width="34.796875" style="334" customWidth="1"/>
    <col min="4099" max="4108" width="0" style="334" hidden="1" customWidth="1"/>
    <col min="4109" max="4109" width="13.19921875" style="334" customWidth="1"/>
    <col min="4110" max="4110" width="10.3984375" style="334" customWidth="1"/>
    <col min="4111" max="4111" width="10.8984375" style="334" customWidth="1"/>
    <col min="4112" max="4112" width="11.59765625" style="334" customWidth="1"/>
    <col min="4113" max="4113" width="13.3984375" style="334" customWidth="1"/>
    <col min="4114" max="4114" width="11.59765625" style="334" customWidth="1"/>
    <col min="4115" max="4115" width="9.8984375" style="334" customWidth="1"/>
    <col min="4116" max="4116" width="10.3984375" style="334" customWidth="1"/>
    <col min="4117" max="4117" width="8.19921875" style="334"/>
    <col min="4118" max="4118" width="13" style="334" customWidth="1"/>
    <col min="4119" max="4352" width="8.19921875" style="334"/>
    <col min="4353" max="4353" width="5.796875" style="334" bestFit="1" customWidth="1"/>
    <col min="4354" max="4354" width="34.796875" style="334" customWidth="1"/>
    <col min="4355" max="4364" width="0" style="334" hidden="1" customWidth="1"/>
    <col min="4365" max="4365" width="13.19921875" style="334" customWidth="1"/>
    <col min="4366" max="4366" width="10.3984375" style="334" customWidth="1"/>
    <col min="4367" max="4367" width="10.8984375" style="334" customWidth="1"/>
    <col min="4368" max="4368" width="11.59765625" style="334" customWidth="1"/>
    <col min="4369" max="4369" width="13.3984375" style="334" customWidth="1"/>
    <col min="4370" max="4370" width="11.59765625" style="334" customWidth="1"/>
    <col min="4371" max="4371" width="9.8984375" style="334" customWidth="1"/>
    <col min="4372" max="4372" width="10.3984375" style="334" customWidth="1"/>
    <col min="4373" max="4373" width="8.19921875" style="334"/>
    <col min="4374" max="4374" width="13" style="334" customWidth="1"/>
    <col min="4375" max="4608" width="8.19921875" style="334"/>
    <col min="4609" max="4609" width="5.796875" style="334" bestFit="1" customWidth="1"/>
    <col min="4610" max="4610" width="34.796875" style="334" customWidth="1"/>
    <col min="4611" max="4620" width="0" style="334" hidden="1" customWidth="1"/>
    <col min="4621" max="4621" width="13.19921875" style="334" customWidth="1"/>
    <col min="4622" max="4622" width="10.3984375" style="334" customWidth="1"/>
    <col min="4623" max="4623" width="10.8984375" style="334" customWidth="1"/>
    <col min="4624" max="4624" width="11.59765625" style="334" customWidth="1"/>
    <col min="4625" max="4625" width="13.3984375" style="334" customWidth="1"/>
    <col min="4626" max="4626" width="11.59765625" style="334" customWidth="1"/>
    <col min="4627" max="4627" width="9.8984375" style="334" customWidth="1"/>
    <col min="4628" max="4628" width="10.3984375" style="334" customWidth="1"/>
    <col min="4629" max="4629" width="8.19921875" style="334"/>
    <col min="4630" max="4630" width="13" style="334" customWidth="1"/>
    <col min="4631" max="4864" width="8.19921875" style="334"/>
    <col min="4865" max="4865" width="5.796875" style="334" bestFit="1" customWidth="1"/>
    <col min="4866" max="4866" width="34.796875" style="334" customWidth="1"/>
    <col min="4867" max="4876" width="0" style="334" hidden="1" customWidth="1"/>
    <col min="4877" max="4877" width="13.19921875" style="334" customWidth="1"/>
    <col min="4878" max="4878" width="10.3984375" style="334" customWidth="1"/>
    <col min="4879" max="4879" width="10.8984375" style="334" customWidth="1"/>
    <col min="4880" max="4880" width="11.59765625" style="334" customWidth="1"/>
    <col min="4881" max="4881" width="13.3984375" style="334" customWidth="1"/>
    <col min="4882" max="4882" width="11.59765625" style="334" customWidth="1"/>
    <col min="4883" max="4883" width="9.8984375" style="334" customWidth="1"/>
    <col min="4884" max="4884" width="10.3984375" style="334" customWidth="1"/>
    <col min="4885" max="4885" width="8.19921875" style="334"/>
    <col min="4886" max="4886" width="13" style="334" customWidth="1"/>
    <col min="4887" max="5120" width="8.19921875" style="334"/>
    <col min="5121" max="5121" width="5.796875" style="334" bestFit="1" customWidth="1"/>
    <col min="5122" max="5122" width="34.796875" style="334" customWidth="1"/>
    <col min="5123" max="5132" width="0" style="334" hidden="1" customWidth="1"/>
    <col min="5133" max="5133" width="13.19921875" style="334" customWidth="1"/>
    <col min="5134" max="5134" width="10.3984375" style="334" customWidth="1"/>
    <col min="5135" max="5135" width="10.8984375" style="334" customWidth="1"/>
    <col min="5136" max="5136" width="11.59765625" style="334" customWidth="1"/>
    <col min="5137" max="5137" width="13.3984375" style="334" customWidth="1"/>
    <col min="5138" max="5138" width="11.59765625" style="334" customWidth="1"/>
    <col min="5139" max="5139" width="9.8984375" style="334" customWidth="1"/>
    <col min="5140" max="5140" width="10.3984375" style="334" customWidth="1"/>
    <col min="5141" max="5141" width="8.19921875" style="334"/>
    <col min="5142" max="5142" width="13" style="334" customWidth="1"/>
    <col min="5143" max="5376" width="8.19921875" style="334"/>
    <col min="5377" max="5377" width="5.796875" style="334" bestFit="1" customWidth="1"/>
    <col min="5378" max="5378" width="34.796875" style="334" customWidth="1"/>
    <col min="5379" max="5388" width="0" style="334" hidden="1" customWidth="1"/>
    <col min="5389" max="5389" width="13.19921875" style="334" customWidth="1"/>
    <col min="5390" max="5390" width="10.3984375" style="334" customWidth="1"/>
    <col min="5391" max="5391" width="10.8984375" style="334" customWidth="1"/>
    <col min="5392" max="5392" width="11.59765625" style="334" customWidth="1"/>
    <col min="5393" max="5393" width="13.3984375" style="334" customWidth="1"/>
    <col min="5394" max="5394" width="11.59765625" style="334" customWidth="1"/>
    <col min="5395" max="5395" width="9.8984375" style="334" customWidth="1"/>
    <col min="5396" max="5396" width="10.3984375" style="334" customWidth="1"/>
    <col min="5397" max="5397" width="8.19921875" style="334"/>
    <col min="5398" max="5398" width="13" style="334" customWidth="1"/>
    <col min="5399" max="5632" width="8.19921875" style="334"/>
    <col min="5633" max="5633" width="5.796875" style="334" bestFit="1" customWidth="1"/>
    <col min="5634" max="5634" width="34.796875" style="334" customWidth="1"/>
    <col min="5635" max="5644" width="0" style="334" hidden="1" customWidth="1"/>
    <col min="5645" max="5645" width="13.19921875" style="334" customWidth="1"/>
    <col min="5646" max="5646" width="10.3984375" style="334" customWidth="1"/>
    <col min="5647" max="5647" width="10.8984375" style="334" customWidth="1"/>
    <col min="5648" max="5648" width="11.59765625" style="334" customWidth="1"/>
    <col min="5649" max="5649" width="13.3984375" style="334" customWidth="1"/>
    <col min="5650" max="5650" width="11.59765625" style="334" customWidth="1"/>
    <col min="5651" max="5651" width="9.8984375" style="334" customWidth="1"/>
    <col min="5652" max="5652" width="10.3984375" style="334" customWidth="1"/>
    <col min="5653" max="5653" width="8.19921875" style="334"/>
    <col min="5654" max="5654" width="13" style="334" customWidth="1"/>
    <col min="5655" max="5888" width="8.19921875" style="334"/>
    <col min="5889" max="5889" width="5.796875" style="334" bestFit="1" customWidth="1"/>
    <col min="5890" max="5890" width="34.796875" style="334" customWidth="1"/>
    <col min="5891" max="5900" width="0" style="334" hidden="1" customWidth="1"/>
    <col min="5901" max="5901" width="13.19921875" style="334" customWidth="1"/>
    <col min="5902" max="5902" width="10.3984375" style="334" customWidth="1"/>
    <col min="5903" max="5903" width="10.8984375" style="334" customWidth="1"/>
    <col min="5904" max="5904" width="11.59765625" style="334" customWidth="1"/>
    <col min="5905" max="5905" width="13.3984375" style="334" customWidth="1"/>
    <col min="5906" max="5906" width="11.59765625" style="334" customWidth="1"/>
    <col min="5907" max="5907" width="9.8984375" style="334" customWidth="1"/>
    <col min="5908" max="5908" width="10.3984375" style="334" customWidth="1"/>
    <col min="5909" max="5909" width="8.19921875" style="334"/>
    <col min="5910" max="5910" width="13" style="334" customWidth="1"/>
    <col min="5911" max="6144" width="8.19921875" style="334"/>
    <col min="6145" max="6145" width="5.796875" style="334" bestFit="1" customWidth="1"/>
    <col min="6146" max="6146" width="34.796875" style="334" customWidth="1"/>
    <col min="6147" max="6156" width="0" style="334" hidden="1" customWidth="1"/>
    <col min="6157" max="6157" width="13.19921875" style="334" customWidth="1"/>
    <col min="6158" max="6158" width="10.3984375" style="334" customWidth="1"/>
    <col min="6159" max="6159" width="10.8984375" style="334" customWidth="1"/>
    <col min="6160" max="6160" width="11.59765625" style="334" customWidth="1"/>
    <col min="6161" max="6161" width="13.3984375" style="334" customWidth="1"/>
    <col min="6162" max="6162" width="11.59765625" style="334" customWidth="1"/>
    <col min="6163" max="6163" width="9.8984375" style="334" customWidth="1"/>
    <col min="6164" max="6164" width="10.3984375" style="334" customWidth="1"/>
    <col min="6165" max="6165" width="8.19921875" style="334"/>
    <col min="6166" max="6166" width="13" style="334" customWidth="1"/>
    <col min="6167" max="6400" width="8.19921875" style="334"/>
    <col min="6401" max="6401" width="5.796875" style="334" bestFit="1" customWidth="1"/>
    <col min="6402" max="6402" width="34.796875" style="334" customWidth="1"/>
    <col min="6403" max="6412" width="0" style="334" hidden="1" customWidth="1"/>
    <col min="6413" max="6413" width="13.19921875" style="334" customWidth="1"/>
    <col min="6414" max="6414" width="10.3984375" style="334" customWidth="1"/>
    <col min="6415" max="6415" width="10.8984375" style="334" customWidth="1"/>
    <col min="6416" max="6416" width="11.59765625" style="334" customWidth="1"/>
    <col min="6417" max="6417" width="13.3984375" style="334" customWidth="1"/>
    <col min="6418" max="6418" width="11.59765625" style="334" customWidth="1"/>
    <col min="6419" max="6419" width="9.8984375" style="334" customWidth="1"/>
    <col min="6420" max="6420" width="10.3984375" style="334" customWidth="1"/>
    <col min="6421" max="6421" width="8.19921875" style="334"/>
    <col min="6422" max="6422" width="13" style="334" customWidth="1"/>
    <col min="6423" max="6656" width="8.19921875" style="334"/>
    <col min="6657" max="6657" width="5.796875" style="334" bestFit="1" customWidth="1"/>
    <col min="6658" max="6658" width="34.796875" style="334" customWidth="1"/>
    <col min="6659" max="6668" width="0" style="334" hidden="1" customWidth="1"/>
    <col min="6669" max="6669" width="13.19921875" style="334" customWidth="1"/>
    <col min="6670" max="6670" width="10.3984375" style="334" customWidth="1"/>
    <col min="6671" max="6671" width="10.8984375" style="334" customWidth="1"/>
    <col min="6672" max="6672" width="11.59765625" style="334" customWidth="1"/>
    <col min="6673" max="6673" width="13.3984375" style="334" customWidth="1"/>
    <col min="6674" max="6674" width="11.59765625" style="334" customWidth="1"/>
    <col min="6675" max="6675" width="9.8984375" style="334" customWidth="1"/>
    <col min="6676" max="6676" width="10.3984375" style="334" customWidth="1"/>
    <col min="6677" max="6677" width="8.19921875" style="334"/>
    <col min="6678" max="6678" width="13" style="334" customWidth="1"/>
    <col min="6679" max="6912" width="8.19921875" style="334"/>
    <col min="6913" max="6913" width="5.796875" style="334" bestFit="1" customWidth="1"/>
    <col min="6914" max="6914" width="34.796875" style="334" customWidth="1"/>
    <col min="6915" max="6924" width="0" style="334" hidden="1" customWidth="1"/>
    <col min="6925" max="6925" width="13.19921875" style="334" customWidth="1"/>
    <col min="6926" max="6926" width="10.3984375" style="334" customWidth="1"/>
    <col min="6927" max="6927" width="10.8984375" style="334" customWidth="1"/>
    <col min="6928" max="6928" width="11.59765625" style="334" customWidth="1"/>
    <col min="6929" max="6929" width="13.3984375" style="334" customWidth="1"/>
    <col min="6930" max="6930" width="11.59765625" style="334" customWidth="1"/>
    <col min="6931" max="6931" width="9.8984375" style="334" customWidth="1"/>
    <col min="6932" max="6932" width="10.3984375" style="334" customWidth="1"/>
    <col min="6933" max="6933" width="8.19921875" style="334"/>
    <col min="6934" max="6934" width="13" style="334" customWidth="1"/>
    <col min="6935" max="7168" width="8.19921875" style="334"/>
    <col min="7169" max="7169" width="5.796875" style="334" bestFit="1" customWidth="1"/>
    <col min="7170" max="7170" width="34.796875" style="334" customWidth="1"/>
    <col min="7171" max="7180" width="0" style="334" hidden="1" customWidth="1"/>
    <col min="7181" max="7181" width="13.19921875" style="334" customWidth="1"/>
    <col min="7182" max="7182" width="10.3984375" style="334" customWidth="1"/>
    <col min="7183" max="7183" width="10.8984375" style="334" customWidth="1"/>
    <col min="7184" max="7184" width="11.59765625" style="334" customWidth="1"/>
    <col min="7185" max="7185" width="13.3984375" style="334" customWidth="1"/>
    <col min="7186" max="7186" width="11.59765625" style="334" customWidth="1"/>
    <col min="7187" max="7187" width="9.8984375" style="334" customWidth="1"/>
    <col min="7188" max="7188" width="10.3984375" style="334" customWidth="1"/>
    <col min="7189" max="7189" width="8.19921875" style="334"/>
    <col min="7190" max="7190" width="13" style="334" customWidth="1"/>
    <col min="7191" max="7424" width="8.19921875" style="334"/>
    <col min="7425" max="7425" width="5.796875" style="334" bestFit="1" customWidth="1"/>
    <col min="7426" max="7426" width="34.796875" style="334" customWidth="1"/>
    <col min="7427" max="7436" width="0" style="334" hidden="1" customWidth="1"/>
    <col min="7437" max="7437" width="13.19921875" style="334" customWidth="1"/>
    <col min="7438" max="7438" width="10.3984375" style="334" customWidth="1"/>
    <col min="7439" max="7439" width="10.8984375" style="334" customWidth="1"/>
    <col min="7440" max="7440" width="11.59765625" style="334" customWidth="1"/>
    <col min="7441" max="7441" width="13.3984375" style="334" customWidth="1"/>
    <col min="7442" max="7442" width="11.59765625" style="334" customWidth="1"/>
    <col min="7443" max="7443" width="9.8984375" style="334" customWidth="1"/>
    <col min="7444" max="7444" width="10.3984375" style="334" customWidth="1"/>
    <col min="7445" max="7445" width="8.19921875" style="334"/>
    <col min="7446" max="7446" width="13" style="334" customWidth="1"/>
    <col min="7447" max="7680" width="8.19921875" style="334"/>
    <col min="7681" max="7681" width="5.796875" style="334" bestFit="1" customWidth="1"/>
    <col min="7682" max="7682" width="34.796875" style="334" customWidth="1"/>
    <col min="7683" max="7692" width="0" style="334" hidden="1" customWidth="1"/>
    <col min="7693" max="7693" width="13.19921875" style="334" customWidth="1"/>
    <col min="7694" max="7694" width="10.3984375" style="334" customWidth="1"/>
    <col min="7695" max="7695" width="10.8984375" style="334" customWidth="1"/>
    <col min="7696" max="7696" width="11.59765625" style="334" customWidth="1"/>
    <col min="7697" max="7697" width="13.3984375" style="334" customWidth="1"/>
    <col min="7698" max="7698" width="11.59765625" style="334" customWidth="1"/>
    <col min="7699" max="7699" width="9.8984375" style="334" customWidth="1"/>
    <col min="7700" max="7700" width="10.3984375" style="334" customWidth="1"/>
    <col min="7701" max="7701" width="8.19921875" style="334"/>
    <col min="7702" max="7702" width="13" style="334" customWidth="1"/>
    <col min="7703" max="7936" width="8.19921875" style="334"/>
    <col min="7937" max="7937" width="5.796875" style="334" bestFit="1" customWidth="1"/>
    <col min="7938" max="7938" width="34.796875" style="334" customWidth="1"/>
    <col min="7939" max="7948" width="0" style="334" hidden="1" customWidth="1"/>
    <col min="7949" max="7949" width="13.19921875" style="334" customWidth="1"/>
    <col min="7950" max="7950" width="10.3984375" style="334" customWidth="1"/>
    <col min="7951" max="7951" width="10.8984375" style="334" customWidth="1"/>
    <col min="7952" max="7952" width="11.59765625" style="334" customWidth="1"/>
    <col min="7953" max="7953" width="13.3984375" style="334" customWidth="1"/>
    <col min="7954" max="7954" width="11.59765625" style="334" customWidth="1"/>
    <col min="7955" max="7955" width="9.8984375" style="334" customWidth="1"/>
    <col min="7956" max="7956" width="10.3984375" style="334" customWidth="1"/>
    <col min="7957" max="7957" width="8.19921875" style="334"/>
    <col min="7958" max="7958" width="13" style="334" customWidth="1"/>
    <col min="7959" max="8192" width="8.19921875" style="334"/>
    <col min="8193" max="8193" width="5.796875" style="334" bestFit="1" customWidth="1"/>
    <col min="8194" max="8194" width="34.796875" style="334" customWidth="1"/>
    <col min="8195" max="8204" width="0" style="334" hidden="1" customWidth="1"/>
    <col min="8205" max="8205" width="13.19921875" style="334" customWidth="1"/>
    <col min="8206" max="8206" width="10.3984375" style="334" customWidth="1"/>
    <col min="8207" max="8207" width="10.8984375" style="334" customWidth="1"/>
    <col min="8208" max="8208" width="11.59765625" style="334" customWidth="1"/>
    <col min="8209" max="8209" width="13.3984375" style="334" customWidth="1"/>
    <col min="8210" max="8210" width="11.59765625" style="334" customWidth="1"/>
    <col min="8211" max="8211" width="9.8984375" style="334" customWidth="1"/>
    <col min="8212" max="8212" width="10.3984375" style="334" customWidth="1"/>
    <col min="8213" max="8213" width="8.19921875" style="334"/>
    <col min="8214" max="8214" width="13" style="334" customWidth="1"/>
    <col min="8215" max="8448" width="8.19921875" style="334"/>
    <col min="8449" max="8449" width="5.796875" style="334" bestFit="1" customWidth="1"/>
    <col min="8450" max="8450" width="34.796875" style="334" customWidth="1"/>
    <col min="8451" max="8460" width="0" style="334" hidden="1" customWidth="1"/>
    <col min="8461" max="8461" width="13.19921875" style="334" customWidth="1"/>
    <col min="8462" max="8462" width="10.3984375" style="334" customWidth="1"/>
    <col min="8463" max="8463" width="10.8984375" style="334" customWidth="1"/>
    <col min="8464" max="8464" width="11.59765625" style="334" customWidth="1"/>
    <col min="8465" max="8465" width="13.3984375" style="334" customWidth="1"/>
    <col min="8466" max="8466" width="11.59765625" style="334" customWidth="1"/>
    <col min="8467" max="8467" width="9.8984375" style="334" customWidth="1"/>
    <col min="8468" max="8468" width="10.3984375" style="334" customWidth="1"/>
    <col min="8469" max="8469" width="8.19921875" style="334"/>
    <col min="8470" max="8470" width="13" style="334" customWidth="1"/>
    <col min="8471" max="8704" width="8.19921875" style="334"/>
    <col min="8705" max="8705" width="5.796875" style="334" bestFit="1" customWidth="1"/>
    <col min="8706" max="8706" width="34.796875" style="334" customWidth="1"/>
    <col min="8707" max="8716" width="0" style="334" hidden="1" customWidth="1"/>
    <col min="8717" max="8717" width="13.19921875" style="334" customWidth="1"/>
    <col min="8718" max="8718" width="10.3984375" style="334" customWidth="1"/>
    <col min="8719" max="8719" width="10.8984375" style="334" customWidth="1"/>
    <col min="8720" max="8720" width="11.59765625" style="334" customWidth="1"/>
    <col min="8721" max="8721" width="13.3984375" style="334" customWidth="1"/>
    <col min="8722" max="8722" width="11.59765625" style="334" customWidth="1"/>
    <col min="8723" max="8723" width="9.8984375" style="334" customWidth="1"/>
    <col min="8724" max="8724" width="10.3984375" style="334" customWidth="1"/>
    <col min="8725" max="8725" width="8.19921875" style="334"/>
    <col min="8726" max="8726" width="13" style="334" customWidth="1"/>
    <col min="8727" max="8960" width="8.19921875" style="334"/>
    <col min="8961" max="8961" width="5.796875" style="334" bestFit="1" customWidth="1"/>
    <col min="8962" max="8962" width="34.796875" style="334" customWidth="1"/>
    <col min="8963" max="8972" width="0" style="334" hidden="1" customWidth="1"/>
    <col min="8973" max="8973" width="13.19921875" style="334" customWidth="1"/>
    <col min="8974" max="8974" width="10.3984375" style="334" customWidth="1"/>
    <col min="8975" max="8975" width="10.8984375" style="334" customWidth="1"/>
    <col min="8976" max="8976" width="11.59765625" style="334" customWidth="1"/>
    <col min="8977" max="8977" width="13.3984375" style="334" customWidth="1"/>
    <col min="8978" max="8978" width="11.59765625" style="334" customWidth="1"/>
    <col min="8979" max="8979" width="9.8984375" style="334" customWidth="1"/>
    <col min="8980" max="8980" width="10.3984375" style="334" customWidth="1"/>
    <col min="8981" max="8981" width="8.19921875" style="334"/>
    <col min="8982" max="8982" width="13" style="334" customWidth="1"/>
    <col min="8983" max="9216" width="8.19921875" style="334"/>
    <col min="9217" max="9217" width="5.796875" style="334" bestFit="1" customWidth="1"/>
    <col min="9218" max="9218" width="34.796875" style="334" customWidth="1"/>
    <col min="9219" max="9228" width="0" style="334" hidden="1" customWidth="1"/>
    <col min="9229" max="9229" width="13.19921875" style="334" customWidth="1"/>
    <col min="9230" max="9230" width="10.3984375" style="334" customWidth="1"/>
    <col min="9231" max="9231" width="10.8984375" style="334" customWidth="1"/>
    <col min="9232" max="9232" width="11.59765625" style="334" customWidth="1"/>
    <col min="9233" max="9233" width="13.3984375" style="334" customWidth="1"/>
    <col min="9234" max="9234" width="11.59765625" style="334" customWidth="1"/>
    <col min="9235" max="9235" width="9.8984375" style="334" customWidth="1"/>
    <col min="9236" max="9236" width="10.3984375" style="334" customWidth="1"/>
    <col min="9237" max="9237" width="8.19921875" style="334"/>
    <col min="9238" max="9238" width="13" style="334" customWidth="1"/>
    <col min="9239" max="9472" width="8.19921875" style="334"/>
    <col min="9473" max="9473" width="5.796875" style="334" bestFit="1" customWidth="1"/>
    <col min="9474" max="9474" width="34.796875" style="334" customWidth="1"/>
    <col min="9475" max="9484" width="0" style="334" hidden="1" customWidth="1"/>
    <col min="9485" max="9485" width="13.19921875" style="334" customWidth="1"/>
    <col min="9486" max="9486" width="10.3984375" style="334" customWidth="1"/>
    <col min="9487" max="9487" width="10.8984375" style="334" customWidth="1"/>
    <col min="9488" max="9488" width="11.59765625" style="334" customWidth="1"/>
    <col min="9489" max="9489" width="13.3984375" style="334" customWidth="1"/>
    <col min="9490" max="9490" width="11.59765625" style="334" customWidth="1"/>
    <col min="9491" max="9491" width="9.8984375" style="334" customWidth="1"/>
    <col min="9492" max="9492" width="10.3984375" style="334" customWidth="1"/>
    <col min="9493" max="9493" width="8.19921875" style="334"/>
    <col min="9494" max="9494" width="13" style="334" customWidth="1"/>
    <col min="9495" max="9728" width="8.19921875" style="334"/>
    <col min="9729" max="9729" width="5.796875" style="334" bestFit="1" customWidth="1"/>
    <col min="9730" max="9730" width="34.796875" style="334" customWidth="1"/>
    <col min="9731" max="9740" width="0" style="334" hidden="1" customWidth="1"/>
    <col min="9741" max="9741" width="13.19921875" style="334" customWidth="1"/>
    <col min="9742" max="9742" width="10.3984375" style="334" customWidth="1"/>
    <col min="9743" max="9743" width="10.8984375" style="334" customWidth="1"/>
    <col min="9744" max="9744" width="11.59765625" style="334" customWidth="1"/>
    <col min="9745" max="9745" width="13.3984375" style="334" customWidth="1"/>
    <col min="9746" max="9746" width="11.59765625" style="334" customWidth="1"/>
    <col min="9747" max="9747" width="9.8984375" style="334" customWidth="1"/>
    <col min="9748" max="9748" width="10.3984375" style="334" customWidth="1"/>
    <col min="9749" max="9749" width="8.19921875" style="334"/>
    <col min="9750" max="9750" width="13" style="334" customWidth="1"/>
    <col min="9751" max="9984" width="8.19921875" style="334"/>
    <col min="9985" max="9985" width="5.796875" style="334" bestFit="1" customWidth="1"/>
    <col min="9986" max="9986" width="34.796875" style="334" customWidth="1"/>
    <col min="9987" max="9996" width="0" style="334" hidden="1" customWidth="1"/>
    <col min="9997" max="9997" width="13.19921875" style="334" customWidth="1"/>
    <col min="9998" max="9998" width="10.3984375" style="334" customWidth="1"/>
    <col min="9999" max="9999" width="10.8984375" style="334" customWidth="1"/>
    <col min="10000" max="10000" width="11.59765625" style="334" customWidth="1"/>
    <col min="10001" max="10001" width="13.3984375" style="334" customWidth="1"/>
    <col min="10002" max="10002" width="11.59765625" style="334" customWidth="1"/>
    <col min="10003" max="10003" width="9.8984375" style="334" customWidth="1"/>
    <col min="10004" max="10004" width="10.3984375" style="334" customWidth="1"/>
    <col min="10005" max="10005" width="8.19921875" style="334"/>
    <col min="10006" max="10006" width="13" style="334" customWidth="1"/>
    <col min="10007" max="10240" width="8.19921875" style="334"/>
    <col min="10241" max="10241" width="5.796875" style="334" bestFit="1" customWidth="1"/>
    <col min="10242" max="10242" width="34.796875" style="334" customWidth="1"/>
    <col min="10243" max="10252" width="0" style="334" hidden="1" customWidth="1"/>
    <col min="10253" max="10253" width="13.19921875" style="334" customWidth="1"/>
    <col min="10254" max="10254" width="10.3984375" style="334" customWidth="1"/>
    <col min="10255" max="10255" width="10.8984375" style="334" customWidth="1"/>
    <col min="10256" max="10256" width="11.59765625" style="334" customWidth="1"/>
    <col min="10257" max="10257" width="13.3984375" style="334" customWidth="1"/>
    <col min="10258" max="10258" width="11.59765625" style="334" customWidth="1"/>
    <col min="10259" max="10259" width="9.8984375" style="334" customWidth="1"/>
    <col min="10260" max="10260" width="10.3984375" style="334" customWidth="1"/>
    <col min="10261" max="10261" width="8.19921875" style="334"/>
    <col min="10262" max="10262" width="13" style="334" customWidth="1"/>
    <col min="10263" max="10496" width="8.19921875" style="334"/>
    <col min="10497" max="10497" width="5.796875" style="334" bestFit="1" customWidth="1"/>
    <col min="10498" max="10498" width="34.796875" style="334" customWidth="1"/>
    <col min="10499" max="10508" width="0" style="334" hidden="1" customWidth="1"/>
    <col min="10509" max="10509" width="13.19921875" style="334" customWidth="1"/>
    <col min="10510" max="10510" width="10.3984375" style="334" customWidth="1"/>
    <col min="10511" max="10511" width="10.8984375" style="334" customWidth="1"/>
    <col min="10512" max="10512" width="11.59765625" style="334" customWidth="1"/>
    <col min="10513" max="10513" width="13.3984375" style="334" customWidth="1"/>
    <col min="10514" max="10514" width="11.59765625" style="334" customWidth="1"/>
    <col min="10515" max="10515" width="9.8984375" style="334" customWidth="1"/>
    <col min="10516" max="10516" width="10.3984375" style="334" customWidth="1"/>
    <col min="10517" max="10517" width="8.19921875" style="334"/>
    <col min="10518" max="10518" width="13" style="334" customWidth="1"/>
    <col min="10519" max="10752" width="8.19921875" style="334"/>
    <col min="10753" max="10753" width="5.796875" style="334" bestFit="1" customWidth="1"/>
    <col min="10754" max="10754" width="34.796875" style="334" customWidth="1"/>
    <col min="10755" max="10764" width="0" style="334" hidden="1" customWidth="1"/>
    <col min="10765" max="10765" width="13.19921875" style="334" customWidth="1"/>
    <col min="10766" max="10766" width="10.3984375" style="334" customWidth="1"/>
    <col min="10767" max="10767" width="10.8984375" style="334" customWidth="1"/>
    <col min="10768" max="10768" width="11.59765625" style="334" customWidth="1"/>
    <col min="10769" max="10769" width="13.3984375" style="334" customWidth="1"/>
    <col min="10770" max="10770" width="11.59765625" style="334" customWidth="1"/>
    <col min="10771" max="10771" width="9.8984375" style="334" customWidth="1"/>
    <col min="10772" max="10772" width="10.3984375" style="334" customWidth="1"/>
    <col min="10773" max="10773" width="8.19921875" style="334"/>
    <col min="10774" max="10774" width="13" style="334" customWidth="1"/>
    <col min="10775" max="11008" width="8.19921875" style="334"/>
    <col min="11009" max="11009" width="5.796875" style="334" bestFit="1" customWidth="1"/>
    <col min="11010" max="11010" width="34.796875" style="334" customWidth="1"/>
    <col min="11011" max="11020" width="0" style="334" hidden="1" customWidth="1"/>
    <col min="11021" max="11021" width="13.19921875" style="334" customWidth="1"/>
    <col min="11022" max="11022" width="10.3984375" style="334" customWidth="1"/>
    <col min="11023" max="11023" width="10.8984375" style="334" customWidth="1"/>
    <col min="11024" max="11024" width="11.59765625" style="334" customWidth="1"/>
    <col min="11025" max="11025" width="13.3984375" style="334" customWidth="1"/>
    <col min="11026" max="11026" width="11.59765625" style="334" customWidth="1"/>
    <col min="11027" max="11027" width="9.8984375" style="334" customWidth="1"/>
    <col min="11028" max="11028" width="10.3984375" style="334" customWidth="1"/>
    <col min="11029" max="11029" width="8.19921875" style="334"/>
    <col min="11030" max="11030" width="13" style="334" customWidth="1"/>
    <col min="11031" max="11264" width="8.19921875" style="334"/>
    <col min="11265" max="11265" width="5.796875" style="334" bestFit="1" customWidth="1"/>
    <col min="11266" max="11266" width="34.796875" style="334" customWidth="1"/>
    <col min="11267" max="11276" width="0" style="334" hidden="1" customWidth="1"/>
    <col min="11277" max="11277" width="13.19921875" style="334" customWidth="1"/>
    <col min="11278" max="11278" width="10.3984375" style="334" customWidth="1"/>
    <col min="11279" max="11279" width="10.8984375" style="334" customWidth="1"/>
    <col min="11280" max="11280" width="11.59765625" style="334" customWidth="1"/>
    <col min="11281" max="11281" width="13.3984375" style="334" customWidth="1"/>
    <col min="11282" max="11282" width="11.59765625" style="334" customWidth="1"/>
    <col min="11283" max="11283" width="9.8984375" style="334" customWidth="1"/>
    <col min="11284" max="11284" width="10.3984375" style="334" customWidth="1"/>
    <col min="11285" max="11285" width="8.19921875" style="334"/>
    <col min="11286" max="11286" width="13" style="334" customWidth="1"/>
    <col min="11287" max="11520" width="8.19921875" style="334"/>
    <col min="11521" max="11521" width="5.796875" style="334" bestFit="1" customWidth="1"/>
    <col min="11522" max="11522" width="34.796875" style="334" customWidth="1"/>
    <col min="11523" max="11532" width="0" style="334" hidden="1" customWidth="1"/>
    <col min="11533" max="11533" width="13.19921875" style="334" customWidth="1"/>
    <col min="11534" max="11534" width="10.3984375" style="334" customWidth="1"/>
    <col min="11535" max="11535" width="10.8984375" style="334" customWidth="1"/>
    <col min="11536" max="11536" width="11.59765625" style="334" customWidth="1"/>
    <col min="11537" max="11537" width="13.3984375" style="334" customWidth="1"/>
    <col min="11538" max="11538" width="11.59765625" style="334" customWidth="1"/>
    <col min="11539" max="11539" width="9.8984375" style="334" customWidth="1"/>
    <col min="11540" max="11540" width="10.3984375" style="334" customWidth="1"/>
    <col min="11541" max="11541" width="8.19921875" style="334"/>
    <col min="11542" max="11542" width="13" style="334" customWidth="1"/>
    <col min="11543" max="11776" width="8.19921875" style="334"/>
    <col min="11777" max="11777" width="5.796875" style="334" bestFit="1" customWidth="1"/>
    <col min="11778" max="11778" width="34.796875" style="334" customWidth="1"/>
    <col min="11779" max="11788" width="0" style="334" hidden="1" customWidth="1"/>
    <col min="11789" max="11789" width="13.19921875" style="334" customWidth="1"/>
    <col min="11790" max="11790" width="10.3984375" style="334" customWidth="1"/>
    <col min="11791" max="11791" width="10.8984375" style="334" customWidth="1"/>
    <col min="11792" max="11792" width="11.59765625" style="334" customWidth="1"/>
    <col min="11793" max="11793" width="13.3984375" style="334" customWidth="1"/>
    <col min="11794" max="11794" width="11.59765625" style="334" customWidth="1"/>
    <col min="11795" max="11795" width="9.8984375" style="334" customWidth="1"/>
    <col min="11796" max="11796" width="10.3984375" style="334" customWidth="1"/>
    <col min="11797" max="11797" width="8.19921875" style="334"/>
    <col min="11798" max="11798" width="13" style="334" customWidth="1"/>
    <col min="11799" max="12032" width="8.19921875" style="334"/>
    <col min="12033" max="12033" width="5.796875" style="334" bestFit="1" customWidth="1"/>
    <col min="12034" max="12034" width="34.796875" style="334" customWidth="1"/>
    <col min="12035" max="12044" width="0" style="334" hidden="1" customWidth="1"/>
    <col min="12045" max="12045" width="13.19921875" style="334" customWidth="1"/>
    <col min="12046" max="12046" width="10.3984375" style="334" customWidth="1"/>
    <col min="12047" max="12047" width="10.8984375" style="334" customWidth="1"/>
    <col min="12048" max="12048" width="11.59765625" style="334" customWidth="1"/>
    <col min="12049" max="12049" width="13.3984375" style="334" customWidth="1"/>
    <col min="12050" max="12050" width="11.59765625" style="334" customWidth="1"/>
    <col min="12051" max="12051" width="9.8984375" style="334" customWidth="1"/>
    <col min="12052" max="12052" width="10.3984375" style="334" customWidth="1"/>
    <col min="12053" max="12053" width="8.19921875" style="334"/>
    <col min="12054" max="12054" width="13" style="334" customWidth="1"/>
    <col min="12055" max="12288" width="8.19921875" style="334"/>
    <col min="12289" max="12289" width="5.796875" style="334" bestFit="1" customWidth="1"/>
    <col min="12290" max="12290" width="34.796875" style="334" customWidth="1"/>
    <col min="12291" max="12300" width="0" style="334" hidden="1" customWidth="1"/>
    <col min="12301" max="12301" width="13.19921875" style="334" customWidth="1"/>
    <col min="12302" max="12302" width="10.3984375" style="334" customWidth="1"/>
    <col min="12303" max="12303" width="10.8984375" style="334" customWidth="1"/>
    <col min="12304" max="12304" width="11.59765625" style="334" customWidth="1"/>
    <col min="12305" max="12305" width="13.3984375" style="334" customWidth="1"/>
    <col min="12306" max="12306" width="11.59765625" style="334" customWidth="1"/>
    <col min="12307" max="12307" width="9.8984375" style="334" customWidth="1"/>
    <col min="12308" max="12308" width="10.3984375" style="334" customWidth="1"/>
    <col min="12309" max="12309" width="8.19921875" style="334"/>
    <col min="12310" max="12310" width="13" style="334" customWidth="1"/>
    <col min="12311" max="12544" width="8.19921875" style="334"/>
    <col min="12545" max="12545" width="5.796875" style="334" bestFit="1" customWidth="1"/>
    <col min="12546" max="12546" width="34.796875" style="334" customWidth="1"/>
    <col min="12547" max="12556" width="0" style="334" hidden="1" customWidth="1"/>
    <col min="12557" max="12557" width="13.19921875" style="334" customWidth="1"/>
    <col min="12558" max="12558" width="10.3984375" style="334" customWidth="1"/>
    <col min="12559" max="12559" width="10.8984375" style="334" customWidth="1"/>
    <col min="12560" max="12560" width="11.59765625" style="334" customWidth="1"/>
    <col min="12561" max="12561" width="13.3984375" style="334" customWidth="1"/>
    <col min="12562" max="12562" width="11.59765625" style="334" customWidth="1"/>
    <col min="12563" max="12563" width="9.8984375" style="334" customWidth="1"/>
    <col min="12564" max="12564" width="10.3984375" style="334" customWidth="1"/>
    <col min="12565" max="12565" width="8.19921875" style="334"/>
    <col min="12566" max="12566" width="13" style="334" customWidth="1"/>
    <col min="12567" max="12800" width="8.19921875" style="334"/>
    <col min="12801" max="12801" width="5.796875" style="334" bestFit="1" customWidth="1"/>
    <col min="12802" max="12802" width="34.796875" style="334" customWidth="1"/>
    <col min="12803" max="12812" width="0" style="334" hidden="1" customWidth="1"/>
    <col min="12813" max="12813" width="13.19921875" style="334" customWidth="1"/>
    <col min="12814" max="12814" width="10.3984375" style="334" customWidth="1"/>
    <col min="12815" max="12815" width="10.8984375" style="334" customWidth="1"/>
    <col min="12816" max="12816" width="11.59765625" style="334" customWidth="1"/>
    <col min="12817" max="12817" width="13.3984375" style="334" customWidth="1"/>
    <col min="12818" max="12818" width="11.59765625" style="334" customWidth="1"/>
    <col min="12819" max="12819" width="9.8984375" style="334" customWidth="1"/>
    <col min="12820" max="12820" width="10.3984375" style="334" customWidth="1"/>
    <col min="12821" max="12821" width="8.19921875" style="334"/>
    <col min="12822" max="12822" width="13" style="334" customWidth="1"/>
    <col min="12823" max="13056" width="8.19921875" style="334"/>
    <col min="13057" max="13057" width="5.796875" style="334" bestFit="1" customWidth="1"/>
    <col min="13058" max="13058" width="34.796875" style="334" customWidth="1"/>
    <col min="13059" max="13068" width="0" style="334" hidden="1" customWidth="1"/>
    <col min="13069" max="13069" width="13.19921875" style="334" customWidth="1"/>
    <col min="13070" max="13070" width="10.3984375" style="334" customWidth="1"/>
    <col min="13071" max="13071" width="10.8984375" style="334" customWidth="1"/>
    <col min="13072" max="13072" width="11.59765625" style="334" customWidth="1"/>
    <col min="13073" max="13073" width="13.3984375" style="334" customWidth="1"/>
    <col min="13074" max="13074" width="11.59765625" style="334" customWidth="1"/>
    <col min="13075" max="13075" width="9.8984375" style="334" customWidth="1"/>
    <col min="13076" max="13076" width="10.3984375" style="334" customWidth="1"/>
    <col min="13077" max="13077" width="8.19921875" style="334"/>
    <col min="13078" max="13078" width="13" style="334" customWidth="1"/>
    <col min="13079" max="13312" width="8.19921875" style="334"/>
    <col min="13313" max="13313" width="5.796875" style="334" bestFit="1" customWidth="1"/>
    <col min="13314" max="13314" width="34.796875" style="334" customWidth="1"/>
    <col min="13315" max="13324" width="0" style="334" hidden="1" customWidth="1"/>
    <col min="13325" max="13325" width="13.19921875" style="334" customWidth="1"/>
    <col min="13326" max="13326" width="10.3984375" style="334" customWidth="1"/>
    <col min="13327" max="13327" width="10.8984375" style="334" customWidth="1"/>
    <col min="13328" max="13328" width="11.59765625" style="334" customWidth="1"/>
    <col min="13329" max="13329" width="13.3984375" style="334" customWidth="1"/>
    <col min="13330" max="13330" width="11.59765625" style="334" customWidth="1"/>
    <col min="13331" max="13331" width="9.8984375" style="334" customWidth="1"/>
    <col min="13332" max="13332" width="10.3984375" style="334" customWidth="1"/>
    <col min="13333" max="13333" width="8.19921875" style="334"/>
    <col min="13334" max="13334" width="13" style="334" customWidth="1"/>
    <col min="13335" max="13568" width="8.19921875" style="334"/>
    <col min="13569" max="13569" width="5.796875" style="334" bestFit="1" customWidth="1"/>
    <col min="13570" max="13570" width="34.796875" style="334" customWidth="1"/>
    <col min="13571" max="13580" width="0" style="334" hidden="1" customWidth="1"/>
    <col min="13581" max="13581" width="13.19921875" style="334" customWidth="1"/>
    <col min="13582" max="13582" width="10.3984375" style="334" customWidth="1"/>
    <col min="13583" max="13583" width="10.8984375" style="334" customWidth="1"/>
    <col min="13584" max="13584" width="11.59765625" style="334" customWidth="1"/>
    <col min="13585" max="13585" width="13.3984375" style="334" customWidth="1"/>
    <col min="13586" max="13586" width="11.59765625" style="334" customWidth="1"/>
    <col min="13587" max="13587" width="9.8984375" style="334" customWidth="1"/>
    <col min="13588" max="13588" width="10.3984375" style="334" customWidth="1"/>
    <col min="13589" max="13589" width="8.19921875" style="334"/>
    <col min="13590" max="13590" width="13" style="334" customWidth="1"/>
    <col min="13591" max="13824" width="8.19921875" style="334"/>
    <col min="13825" max="13825" width="5.796875" style="334" bestFit="1" customWidth="1"/>
    <col min="13826" max="13826" width="34.796875" style="334" customWidth="1"/>
    <col min="13827" max="13836" width="0" style="334" hidden="1" customWidth="1"/>
    <col min="13837" max="13837" width="13.19921875" style="334" customWidth="1"/>
    <col min="13838" max="13838" width="10.3984375" style="334" customWidth="1"/>
    <col min="13839" max="13839" width="10.8984375" style="334" customWidth="1"/>
    <col min="13840" max="13840" width="11.59765625" style="334" customWidth="1"/>
    <col min="13841" max="13841" width="13.3984375" style="334" customWidth="1"/>
    <col min="13842" max="13842" width="11.59765625" style="334" customWidth="1"/>
    <col min="13843" max="13843" width="9.8984375" style="334" customWidth="1"/>
    <col min="13844" max="13844" width="10.3984375" style="334" customWidth="1"/>
    <col min="13845" max="13845" width="8.19921875" style="334"/>
    <col min="13846" max="13846" width="13" style="334" customWidth="1"/>
    <col min="13847" max="14080" width="8.19921875" style="334"/>
    <col min="14081" max="14081" width="5.796875" style="334" bestFit="1" customWidth="1"/>
    <col min="14082" max="14082" width="34.796875" style="334" customWidth="1"/>
    <col min="14083" max="14092" width="0" style="334" hidden="1" customWidth="1"/>
    <col min="14093" max="14093" width="13.19921875" style="334" customWidth="1"/>
    <col min="14094" max="14094" width="10.3984375" style="334" customWidth="1"/>
    <col min="14095" max="14095" width="10.8984375" style="334" customWidth="1"/>
    <col min="14096" max="14096" width="11.59765625" style="334" customWidth="1"/>
    <col min="14097" max="14097" width="13.3984375" style="334" customWidth="1"/>
    <col min="14098" max="14098" width="11.59765625" style="334" customWidth="1"/>
    <col min="14099" max="14099" width="9.8984375" style="334" customWidth="1"/>
    <col min="14100" max="14100" width="10.3984375" style="334" customWidth="1"/>
    <col min="14101" max="14101" width="8.19921875" style="334"/>
    <col min="14102" max="14102" width="13" style="334" customWidth="1"/>
    <col min="14103" max="14336" width="8.19921875" style="334"/>
    <col min="14337" max="14337" width="5.796875" style="334" bestFit="1" customWidth="1"/>
    <col min="14338" max="14338" width="34.796875" style="334" customWidth="1"/>
    <col min="14339" max="14348" width="0" style="334" hidden="1" customWidth="1"/>
    <col min="14349" max="14349" width="13.19921875" style="334" customWidth="1"/>
    <col min="14350" max="14350" width="10.3984375" style="334" customWidth="1"/>
    <col min="14351" max="14351" width="10.8984375" style="334" customWidth="1"/>
    <col min="14352" max="14352" width="11.59765625" style="334" customWidth="1"/>
    <col min="14353" max="14353" width="13.3984375" style="334" customWidth="1"/>
    <col min="14354" max="14354" width="11.59765625" style="334" customWidth="1"/>
    <col min="14355" max="14355" width="9.8984375" style="334" customWidth="1"/>
    <col min="14356" max="14356" width="10.3984375" style="334" customWidth="1"/>
    <col min="14357" max="14357" width="8.19921875" style="334"/>
    <col min="14358" max="14358" width="13" style="334" customWidth="1"/>
    <col min="14359" max="14592" width="8.19921875" style="334"/>
    <col min="14593" max="14593" width="5.796875" style="334" bestFit="1" customWidth="1"/>
    <col min="14594" max="14594" width="34.796875" style="334" customWidth="1"/>
    <col min="14595" max="14604" width="0" style="334" hidden="1" customWidth="1"/>
    <col min="14605" max="14605" width="13.19921875" style="334" customWidth="1"/>
    <col min="14606" max="14606" width="10.3984375" style="334" customWidth="1"/>
    <col min="14607" max="14607" width="10.8984375" style="334" customWidth="1"/>
    <col min="14608" max="14608" width="11.59765625" style="334" customWidth="1"/>
    <col min="14609" max="14609" width="13.3984375" style="334" customWidth="1"/>
    <col min="14610" max="14610" width="11.59765625" style="334" customWidth="1"/>
    <col min="14611" max="14611" width="9.8984375" style="334" customWidth="1"/>
    <col min="14612" max="14612" width="10.3984375" style="334" customWidth="1"/>
    <col min="14613" max="14613" width="8.19921875" style="334"/>
    <col min="14614" max="14614" width="13" style="334" customWidth="1"/>
    <col min="14615" max="14848" width="8.19921875" style="334"/>
    <col min="14849" max="14849" width="5.796875" style="334" bestFit="1" customWidth="1"/>
    <col min="14850" max="14850" width="34.796875" style="334" customWidth="1"/>
    <col min="14851" max="14860" width="0" style="334" hidden="1" customWidth="1"/>
    <col min="14861" max="14861" width="13.19921875" style="334" customWidth="1"/>
    <col min="14862" max="14862" width="10.3984375" style="334" customWidth="1"/>
    <col min="14863" max="14863" width="10.8984375" style="334" customWidth="1"/>
    <col min="14864" max="14864" width="11.59765625" style="334" customWidth="1"/>
    <col min="14865" max="14865" width="13.3984375" style="334" customWidth="1"/>
    <col min="14866" max="14866" width="11.59765625" style="334" customWidth="1"/>
    <col min="14867" max="14867" width="9.8984375" style="334" customWidth="1"/>
    <col min="14868" max="14868" width="10.3984375" style="334" customWidth="1"/>
    <col min="14869" max="14869" width="8.19921875" style="334"/>
    <col min="14870" max="14870" width="13" style="334" customWidth="1"/>
    <col min="14871" max="15104" width="8.19921875" style="334"/>
    <col min="15105" max="15105" width="5.796875" style="334" bestFit="1" customWidth="1"/>
    <col min="15106" max="15106" width="34.796875" style="334" customWidth="1"/>
    <col min="15107" max="15116" width="0" style="334" hidden="1" customWidth="1"/>
    <col min="15117" max="15117" width="13.19921875" style="334" customWidth="1"/>
    <col min="15118" max="15118" width="10.3984375" style="334" customWidth="1"/>
    <col min="15119" max="15119" width="10.8984375" style="334" customWidth="1"/>
    <col min="15120" max="15120" width="11.59765625" style="334" customWidth="1"/>
    <col min="15121" max="15121" width="13.3984375" style="334" customWidth="1"/>
    <col min="15122" max="15122" width="11.59765625" style="334" customWidth="1"/>
    <col min="15123" max="15123" width="9.8984375" style="334" customWidth="1"/>
    <col min="15124" max="15124" width="10.3984375" style="334" customWidth="1"/>
    <col min="15125" max="15125" width="8.19921875" style="334"/>
    <col min="15126" max="15126" width="13" style="334" customWidth="1"/>
    <col min="15127" max="15360" width="8.19921875" style="334"/>
    <col min="15361" max="15361" width="5.796875" style="334" bestFit="1" customWidth="1"/>
    <col min="15362" max="15362" width="34.796875" style="334" customWidth="1"/>
    <col min="15363" max="15372" width="0" style="334" hidden="1" customWidth="1"/>
    <col min="15373" max="15373" width="13.19921875" style="334" customWidth="1"/>
    <col min="15374" max="15374" width="10.3984375" style="334" customWidth="1"/>
    <col min="15375" max="15375" width="10.8984375" style="334" customWidth="1"/>
    <col min="15376" max="15376" width="11.59765625" style="334" customWidth="1"/>
    <col min="15377" max="15377" width="13.3984375" style="334" customWidth="1"/>
    <col min="15378" max="15378" width="11.59765625" style="334" customWidth="1"/>
    <col min="15379" max="15379" width="9.8984375" style="334" customWidth="1"/>
    <col min="15380" max="15380" width="10.3984375" style="334" customWidth="1"/>
    <col min="15381" max="15381" width="8.19921875" style="334"/>
    <col min="15382" max="15382" width="13" style="334" customWidth="1"/>
    <col min="15383" max="15616" width="8.19921875" style="334"/>
    <col min="15617" max="15617" width="5.796875" style="334" bestFit="1" customWidth="1"/>
    <col min="15618" max="15618" width="34.796875" style="334" customWidth="1"/>
    <col min="15619" max="15628" width="0" style="334" hidden="1" customWidth="1"/>
    <col min="15629" max="15629" width="13.19921875" style="334" customWidth="1"/>
    <col min="15630" max="15630" width="10.3984375" style="334" customWidth="1"/>
    <col min="15631" max="15631" width="10.8984375" style="334" customWidth="1"/>
    <col min="15632" max="15632" width="11.59765625" style="334" customWidth="1"/>
    <col min="15633" max="15633" width="13.3984375" style="334" customWidth="1"/>
    <col min="15634" max="15634" width="11.59765625" style="334" customWidth="1"/>
    <col min="15635" max="15635" width="9.8984375" style="334" customWidth="1"/>
    <col min="15636" max="15636" width="10.3984375" style="334" customWidth="1"/>
    <col min="15637" max="15637" width="8.19921875" style="334"/>
    <col min="15638" max="15638" width="13" style="334" customWidth="1"/>
    <col min="15639" max="15872" width="8.19921875" style="334"/>
    <col min="15873" max="15873" width="5.796875" style="334" bestFit="1" customWidth="1"/>
    <col min="15874" max="15874" width="34.796875" style="334" customWidth="1"/>
    <col min="15875" max="15884" width="0" style="334" hidden="1" customWidth="1"/>
    <col min="15885" max="15885" width="13.19921875" style="334" customWidth="1"/>
    <col min="15886" max="15886" width="10.3984375" style="334" customWidth="1"/>
    <col min="15887" max="15887" width="10.8984375" style="334" customWidth="1"/>
    <col min="15888" max="15888" width="11.59765625" style="334" customWidth="1"/>
    <col min="15889" max="15889" width="13.3984375" style="334" customWidth="1"/>
    <col min="15890" max="15890" width="11.59765625" style="334" customWidth="1"/>
    <col min="15891" max="15891" width="9.8984375" style="334" customWidth="1"/>
    <col min="15892" max="15892" width="10.3984375" style="334" customWidth="1"/>
    <col min="15893" max="15893" width="8.19921875" style="334"/>
    <col min="15894" max="15894" width="13" style="334" customWidth="1"/>
    <col min="15895" max="16128" width="8.19921875" style="334"/>
    <col min="16129" max="16129" width="5.796875" style="334" bestFit="1" customWidth="1"/>
    <col min="16130" max="16130" width="34.796875" style="334" customWidth="1"/>
    <col min="16131" max="16140" width="0" style="334" hidden="1" customWidth="1"/>
    <col min="16141" max="16141" width="13.19921875" style="334" customWidth="1"/>
    <col min="16142" max="16142" width="10.3984375" style="334" customWidth="1"/>
    <col min="16143" max="16143" width="10.8984375" style="334" customWidth="1"/>
    <col min="16144" max="16144" width="11.59765625" style="334" customWidth="1"/>
    <col min="16145" max="16145" width="13.3984375" style="334" customWidth="1"/>
    <col min="16146" max="16146" width="11.59765625" style="334" customWidth="1"/>
    <col min="16147" max="16147" width="9.8984375" style="334" customWidth="1"/>
    <col min="16148" max="16148" width="10.3984375" style="334" customWidth="1"/>
    <col min="16149" max="16149" width="8.19921875" style="334"/>
    <col min="16150" max="16150" width="13" style="334" customWidth="1"/>
    <col min="16151" max="16384" width="8.19921875" style="334"/>
  </cols>
  <sheetData>
    <row r="1" spans="1:24" x14ac:dyDescent="0.25">
      <c r="F1" s="335"/>
      <c r="L1" s="334" t="s">
        <v>393</v>
      </c>
      <c r="V1" s="335" t="s">
        <v>419</v>
      </c>
    </row>
    <row r="3" spans="1:24" ht="13.8" x14ac:dyDescent="0.3">
      <c r="A3" s="408"/>
      <c r="B3" s="408"/>
      <c r="C3" s="408"/>
      <c r="D3" s="408"/>
      <c r="E3" s="408"/>
      <c r="F3" s="408"/>
    </row>
    <row r="4" spans="1:24" x14ac:dyDescent="0.25">
      <c r="A4" s="409" t="s">
        <v>394</v>
      </c>
      <c r="B4" s="409"/>
      <c r="C4" s="409"/>
      <c r="D4" s="409"/>
      <c r="E4" s="409"/>
      <c r="F4" s="409"/>
      <c r="G4" s="409"/>
      <c r="H4" s="409"/>
      <c r="I4" s="409"/>
      <c r="J4" s="409"/>
      <c r="K4" s="409"/>
      <c r="L4" s="409"/>
      <c r="M4" s="409"/>
      <c r="N4" s="409"/>
      <c r="O4" s="409"/>
      <c r="P4" s="409"/>
      <c r="Q4" s="409"/>
      <c r="R4" s="409"/>
      <c r="S4" s="409"/>
      <c r="T4" s="409"/>
      <c r="U4" s="409"/>
      <c r="V4" s="409"/>
    </row>
    <row r="5" spans="1:24" s="337" customFormat="1" ht="13.8" thickBot="1" x14ac:dyDescent="0.3">
      <c r="L5" s="338" t="s">
        <v>0</v>
      </c>
      <c r="Q5" s="339"/>
    </row>
    <row r="6" spans="1:24" s="337" customFormat="1" ht="13.5" customHeight="1" thickTop="1" x14ac:dyDescent="0.25">
      <c r="A6" s="419" t="s">
        <v>1</v>
      </c>
      <c r="B6" s="421" t="s">
        <v>429</v>
      </c>
      <c r="C6" s="415" t="s">
        <v>2</v>
      </c>
      <c r="D6" s="416"/>
      <c r="E6" s="416"/>
      <c r="F6" s="423"/>
      <c r="G6" s="424" t="s">
        <v>3</v>
      </c>
      <c r="H6" s="415" t="s">
        <v>395</v>
      </c>
      <c r="I6" s="416"/>
      <c r="J6" s="416"/>
      <c r="K6" s="416"/>
      <c r="L6" s="413" t="s">
        <v>3</v>
      </c>
      <c r="M6" s="415" t="s">
        <v>26</v>
      </c>
      <c r="N6" s="416"/>
      <c r="O6" s="416"/>
      <c r="P6" s="416"/>
      <c r="Q6" s="417" t="s">
        <v>411</v>
      </c>
      <c r="R6" s="410" t="s">
        <v>409</v>
      </c>
      <c r="S6" s="410"/>
      <c r="T6" s="410"/>
      <c r="U6" s="410"/>
      <c r="V6" s="411" t="s">
        <v>411</v>
      </c>
    </row>
    <row r="7" spans="1:24" s="337" customFormat="1" ht="79.2" x14ac:dyDescent="0.25">
      <c r="A7" s="420"/>
      <c r="B7" s="422"/>
      <c r="C7" s="298" t="s">
        <v>4</v>
      </c>
      <c r="D7" s="298" t="s">
        <v>5</v>
      </c>
      <c r="E7" s="298" t="s">
        <v>6</v>
      </c>
      <c r="F7" s="298" t="s">
        <v>7</v>
      </c>
      <c r="G7" s="425"/>
      <c r="H7" s="298" t="s">
        <v>8</v>
      </c>
      <c r="I7" s="298" t="s">
        <v>9</v>
      </c>
      <c r="J7" s="298" t="s">
        <v>396</v>
      </c>
      <c r="K7" s="1" t="s">
        <v>7</v>
      </c>
      <c r="L7" s="414"/>
      <c r="M7" s="298" t="s">
        <v>27</v>
      </c>
      <c r="N7" s="298" t="s">
        <v>10</v>
      </c>
      <c r="O7" s="298" t="s">
        <v>200</v>
      </c>
      <c r="P7" s="1" t="s">
        <v>7</v>
      </c>
      <c r="Q7" s="418"/>
      <c r="R7" s="298" t="s">
        <v>397</v>
      </c>
      <c r="S7" s="298" t="s">
        <v>398</v>
      </c>
      <c r="T7" s="298" t="s">
        <v>399</v>
      </c>
      <c r="U7" s="298" t="s">
        <v>7</v>
      </c>
      <c r="V7" s="412"/>
      <c r="W7" s="359" t="s">
        <v>409</v>
      </c>
      <c r="X7" s="359" t="s">
        <v>26</v>
      </c>
    </row>
    <row r="8" spans="1:24" s="337" customFormat="1" ht="26.4" x14ac:dyDescent="0.25">
      <c r="A8" s="341">
        <v>1</v>
      </c>
      <c r="B8" s="342" t="s">
        <v>11</v>
      </c>
      <c r="C8" s="343">
        <v>10875.121608150001</v>
      </c>
      <c r="D8" s="343"/>
      <c r="E8" s="343">
        <v>10809.219827110001</v>
      </c>
      <c r="F8" s="343">
        <v>99.394013387486055</v>
      </c>
      <c r="G8" s="344">
        <v>97.6</v>
      </c>
      <c r="H8" s="343">
        <v>12433.2</v>
      </c>
      <c r="I8" s="343"/>
      <c r="J8" s="343">
        <v>12135</v>
      </c>
      <c r="K8" s="345">
        <v>97.601582858797414</v>
      </c>
      <c r="L8" s="340">
        <v>93.8</v>
      </c>
      <c r="M8" s="343">
        <v>13170.880999999999</v>
      </c>
      <c r="N8" s="343">
        <v>13170.4133</v>
      </c>
      <c r="O8" s="343">
        <v>13139.640799999999</v>
      </c>
      <c r="P8" s="345">
        <v>99.76280857749758</v>
      </c>
      <c r="Q8" s="356">
        <v>97.1</v>
      </c>
      <c r="R8" s="343">
        <v>12595.298000000001</v>
      </c>
      <c r="S8" s="343">
        <v>12594.135399999999</v>
      </c>
      <c r="T8" s="343">
        <v>12590.199699999999</v>
      </c>
      <c r="U8" s="343">
        <v>99.959522196298963</v>
      </c>
      <c r="V8" s="340">
        <v>90.9</v>
      </c>
      <c r="W8" s="360" t="s">
        <v>410</v>
      </c>
    </row>
    <row r="9" spans="1:24" s="337" customFormat="1" ht="26.4" x14ac:dyDescent="0.25">
      <c r="A9" s="341">
        <v>2</v>
      </c>
      <c r="B9" s="342" t="s">
        <v>400</v>
      </c>
      <c r="C9" s="343">
        <v>17056.026284290001</v>
      </c>
      <c r="D9" s="343"/>
      <c r="E9" s="343">
        <v>17039.442061469999</v>
      </c>
      <c r="F9" s="343">
        <v>99.902766198037128</v>
      </c>
      <c r="G9" s="344">
        <v>98.2</v>
      </c>
      <c r="H9" s="343">
        <v>19823.2</v>
      </c>
      <c r="I9" s="343"/>
      <c r="J9" s="343">
        <v>19701.599999999999</v>
      </c>
      <c r="K9" s="345">
        <v>99.386577343718457</v>
      </c>
      <c r="L9" s="340">
        <v>91.2</v>
      </c>
      <c r="M9" s="343">
        <v>18451.489099999999</v>
      </c>
      <c r="N9" s="343">
        <v>18320.534899999999</v>
      </c>
      <c r="O9" s="343">
        <v>18301.683199999999</v>
      </c>
      <c r="P9" s="345">
        <v>99.188109430148913</v>
      </c>
      <c r="Q9" s="356">
        <v>95.2</v>
      </c>
      <c r="R9" s="343">
        <v>17925.109199999999</v>
      </c>
      <c r="S9" s="343">
        <v>17891.234199999999</v>
      </c>
      <c r="T9" s="343">
        <v>17879.995900000002</v>
      </c>
      <c r="U9" s="343">
        <v>99.748323430018502</v>
      </c>
      <c r="V9" s="340">
        <v>94.7</v>
      </c>
      <c r="W9" s="360" t="s">
        <v>410</v>
      </c>
    </row>
    <row r="10" spans="1:24" s="337" customFormat="1" ht="26.4" x14ac:dyDescent="0.25">
      <c r="A10" s="341">
        <v>3</v>
      </c>
      <c r="B10" s="342" t="s">
        <v>401</v>
      </c>
      <c r="C10" s="343">
        <v>10608.396798780001</v>
      </c>
      <c r="D10" s="343"/>
      <c r="E10" s="343">
        <v>10020.17739105</v>
      </c>
      <c r="F10" s="343">
        <v>94.455152659847258</v>
      </c>
      <c r="G10" s="344">
        <v>96.6</v>
      </c>
      <c r="H10" s="343">
        <v>10473</v>
      </c>
      <c r="I10" s="343"/>
      <c r="J10" s="343">
        <v>10377.799999999999</v>
      </c>
      <c r="K10" s="345">
        <v>99.090995894204141</v>
      </c>
      <c r="L10" s="340">
        <v>97.3</v>
      </c>
      <c r="M10" s="343">
        <v>10277.4193</v>
      </c>
      <c r="N10" s="343">
        <v>10034.403700000001</v>
      </c>
      <c r="O10" s="343">
        <v>10007.154500000001</v>
      </c>
      <c r="P10" s="345">
        <v>97.370304819615569</v>
      </c>
      <c r="Q10" s="357">
        <v>92</v>
      </c>
      <c r="R10" s="343">
        <v>11200.4236</v>
      </c>
      <c r="S10" s="343">
        <v>11021.6749</v>
      </c>
      <c r="T10" s="343">
        <v>11017.2682</v>
      </c>
      <c r="U10" s="343">
        <v>98.36474577622225</v>
      </c>
      <c r="V10" s="363">
        <v>91</v>
      </c>
      <c r="W10" s="360" t="s">
        <v>410</v>
      </c>
    </row>
    <row r="11" spans="1:24" s="337" customFormat="1" x14ac:dyDescent="0.25">
      <c r="A11" s="341">
        <v>4</v>
      </c>
      <c r="B11" s="347" t="s">
        <v>12</v>
      </c>
      <c r="C11" s="343">
        <v>1410.4211</v>
      </c>
      <c r="D11" s="343"/>
      <c r="E11" s="343">
        <v>1395.78043622</v>
      </c>
      <c r="F11" s="343">
        <v>98.96196506277451</v>
      </c>
      <c r="G11" s="344">
        <v>93.7</v>
      </c>
      <c r="H11" s="343">
        <v>785.4</v>
      </c>
      <c r="I11" s="343"/>
      <c r="J11" s="343">
        <v>755.1</v>
      </c>
      <c r="K11" s="345">
        <v>96.142093200916733</v>
      </c>
      <c r="L11" s="340">
        <v>94.5</v>
      </c>
      <c r="M11" s="343">
        <v>850.04430000000002</v>
      </c>
      <c r="N11" s="343">
        <v>837.31359999999995</v>
      </c>
      <c r="O11" s="343">
        <v>837.22910000000002</v>
      </c>
      <c r="P11" s="345">
        <v>98.49240798391331</v>
      </c>
      <c r="Q11" s="356">
        <v>95.8</v>
      </c>
      <c r="R11" s="343">
        <v>983.12210000000005</v>
      </c>
      <c r="S11" s="343">
        <v>983.03710000000001</v>
      </c>
      <c r="T11" s="343">
        <v>981.16890000000001</v>
      </c>
      <c r="U11" s="343">
        <v>99.801326813831153</v>
      </c>
      <c r="V11" s="340">
        <v>95.3</v>
      </c>
      <c r="W11" s="360" t="s">
        <v>410</v>
      </c>
    </row>
    <row r="12" spans="1:24" s="337" customFormat="1" ht="52.8" x14ac:dyDescent="0.25">
      <c r="A12" s="341">
        <v>5</v>
      </c>
      <c r="B12" s="342" t="s">
        <v>402</v>
      </c>
      <c r="C12" s="343">
        <v>1695.7748549999999</v>
      </c>
      <c r="D12" s="343"/>
      <c r="E12" s="343">
        <v>1691.6010572</v>
      </c>
      <c r="F12" s="343">
        <v>99.753870757801749</v>
      </c>
      <c r="G12" s="344">
        <v>86.6</v>
      </c>
      <c r="H12" s="343">
        <v>1677.6</v>
      </c>
      <c r="I12" s="343"/>
      <c r="J12" s="343">
        <v>1668.3</v>
      </c>
      <c r="K12" s="345">
        <v>99.445636623748214</v>
      </c>
      <c r="L12" s="346">
        <v>89.4</v>
      </c>
      <c r="M12" s="343">
        <v>1175.9075</v>
      </c>
      <c r="N12" s="343">
        <v>1143.0554</v>
      </c>
      <c r="O12" s="343">
        <v>1139.4395999999999</v>
      </c>
      <c r="P12" s="345">
        <v>96.898744161424261</v>
      </c>
      <c r="Q12" s="357">
        <v>80.7</v>
      </c>
      <c r="R12" s="343">
        <v>1185.3474000000001</v>
      </c>
      <c r="S12" s="343">
        <v>1177.9161999999999</v>
      </c>
      <c r="T12" s="343">
        <v>1177.8838000000001</v>
      </c>
      <c r="U12" s="343">
        <v>99.370344930102348</v>
      </c>
      <c r="V12" s="346">
        <v>90.4</v>
      </c>
      <c r="W12" s="360" t="s">
        <v>410</v>
      </c>
    </row>
    <row r="13" spans="1:24" s="337" customFormat="1" ht="39.6" x14ac:dyDescent="0.25">
      <c r="A13" s="341">
        <v>6</v>
      </c>
      <c r="B13" s="348" t="s">
        <v>13</v>
      </c>
      <c r="C13" s="343">
        <v>0</v>
      </c>
      <c r="D13" s="343">
        <v>0</v>
      </c>
      <c r="E13" s="343">
        <v>0</v>
      </c>
      <c r="F13" s="343">
        <v>0</v>
      </c>
      <c r="G13" s="343">
        <v>0</v>
      </c>
      <c r="H13" s="343">
        <v>537.9</v>
      </c>
      <c r="I13" s="343"/>
      <c r="J13" s="343">
        <v>496.3</v>
      </c>
      <c r="K13" s="345">
        <v>92.26622048707938</v>
      </c>
      <c r="L13" s="346">
        <v>80</v>
      </c>
      <c r="M13" s="343">
        <v>502.11020000000002</v>
      </c>
      <c r="N13" s="343">
        <v>485.1198</v>
      </c>
      <c r="O13" s="343">
        <v>409.57929999999999</v>
      </c>
      <c r="P13" s="345">
        <v>81.571595239451412</v>
      </c>
      <c r="Q13" s="357">
        <v>82.3</v>
      </c>
      <c r="R13" s="343">
        <v>452.1712</v>
      </c>
      <c r="S13" s="343">
        <v>439.99180000000001</v>
      </c>
      <c r="T13" s="343">
        <v>416.02690000000001</v>
      </c>
      <c r="U13" s="343">
        <v>92.006501077468002</v>
      </c>
      <c r="V13" s="363">
        <v>88.8</v>
      </c>
      <c r="W13" s="360" t="s">
        <v>412</v>
      </c>
    </row>
    <row r="14" spans="1:24" s="337" customFormat="1" ht="26.4" x14ac:dyDescent="0.25">
      <c r="A14" s="341">
        <v>7</v>
      </c>
      <c r="B14" s="348" t="s">
        <v>14</v>
      </c>
      <c r="C14" s="343">
        <v>0</v>
      </c>
      <c r="D14" s="343">
        <v>0</v>
      </c>
      <c r="E14" s="343">
        <v>0</v>
      </c>
      <c r="F14" s="343">
        <v>0</v>
      </c>
      <c r="G14" s="343">
        <v>0</v>
      </c>
      <c r="H14" s="343">
        <v>858.8</v>
      </c>
      <c r="I14" s="343"/>
      <c r="J14" s="343">
        <v>839.2</v>
      </c>
      <c r="K14" s="345">
        <v>97.717745691662799</v>
      </c>
      <c r="L14" s="340">
        <v>92.4</v>
      </c>
      <c r="M14" s="343">
        <v>931.28499999999997</v>
      </c>
      <c r="N14" s="343">
        <v>886.33209999999997</v>
      </c>
      <c r="O14" s="343">
        <v>879.66</v>
      </c>
      <c r="P14" s="345">
        <v>94.456584182071012</v>
      </c>
      <c r="Q14" s="356">
        <v>77.400000000000006</v>
      </c>
      <c r="R14" s="343">
        <v>904.05460000000005</v>
      </c>
      <c r="S14" s="343">
        <v>885.63109999999995</v>
      </c>
      <c r="T14" s="343">
        <v>883.13379999999995</v>
      </c>
      <c r="U14" s="343">
        <v>97.685891980417978</v>
      </c>
      <c r="V14" s="362">
        <v>94.7</v>
      </c>
      <c r="W14" s="360" t="s">
        <v>410</v>
      </c>
    </row>
    <row r="15" spans="1:24" s="337" customFormat="1" ht="66" x14ac:dyDescent="0.25">
      <c r="A15" s="341">
        <v>8</v>
      </c>
      <c r="B15" s="348" t="s">
        <v>403</v>
      </c>
      <c r="C15" s="343">
        <v>0</v>
      </c>
      <c r="D15" s="343">
        <v>0</v>
      </c>
      <c r="E15" s="343">
        <v>0</v>
      </c>
      <c r="F15" s="343">
        <v>0</v>
      </c>
      <c r="G15" s="343">
        <v>0</v>
      </c>
      <c r="H15" s="343">
        <v>53.8</v>
      </c>
      <c r="I15" s="343"/>
      <c r="J15" s="343">
        <v>53.2</v>
      </c>
      <c r="K15" s="345">
        <v>98.884758364312276</v>
      </c>
      <c r="L15" s="340">
        <v>93.6</v>
      </c>
      <c r="M15" s="343">
        <v>66.7744</v>
      </c>
      <c r="N15" s="343">
        <v>60.774299999999997</v>
      </c>
      <c r="O15" s="343">
        <v>60.749899999999997</v>
      </c>
      <c r="P15" s="345">
        <v>90.977829826999567</v>
      </c>
      <c r="Q15" s="356">
        <v>92.6</v>
      </c>
      <c r="R15" s="343">
        <v>9.7015999999999991</v>
      </c>
      <c r="S15" s="343">
        <v>9.7015999999999991</v>
      </c>
      <c r="T15" s="343">
        <v>9.7015999999999991</v>
      </c>
      <c r="U15" s="343">
        <v>100</v>
      </c>
      <c r="V15" s="362">
        <v>92.4</v>
      </c>
      <c r="W15" s="360" t="s">
        <v>410</v>
      </c>
    </row>
    <row r="16" spans="1:24" s="337" customFormat="1" ht="52.8" x14ac:dyDescent="0.25">
      <c r="A16" s="349">
        <v>9</v>
      </c>
      <c r="B16" s="2" t="s">
        <v>404</v>
      </c>
      <c r="C16" s="343">
        <v>0</v>
      </c>
      <c r="D16" s="343">
        <v>0</v>
      </c>
      <c r="E16" s="343">
        <v>0</v>
      </c>
      <c r="F16" s="343">
        <v>0</v>
      </c>
      <c r="G16" s="343">
        <v>0</v>
      </c>
      <c r="H16" s="343">
        <v>1082.5999999999999</v>
      </c>
      <c r="I16" s="343"/>
      <c r="J16" s="343">
        <v>1080.5999999999999</v>
      </c>
      <c r="K16" s="345">
        <v>99.815259560317742</v>
      </c>
      <c r="L16" s="340">
        <v>96.7</v>
      </c>
      <c r="M16" s="343">
        <v>1143.037</v>
      </c>
      <c r="N16" s="343">
        <v>1143.0219999999999</v>
      </c>
      <c r="O16" s="343">
        <v>1143.0184999999999</v>
      </c>
      <c r="P16" s="345">
        <v>99.998381504710693</v>
      </c>
      <c r="Q16" s="356">
        <v>94.6</v>
      </c>
      <c r="R16" s="343">
        <v>1110.5362</v>
      </c>
      <c r="S16" s="343">
        <v>1110.4603999999999</v>
      </c>
      <c r="T16" s="343">
        <v>1107.6392000000001</v>
      </c>
      <c r="U16" s="343">
        <v>99.739135023243733</v>
      </c>
      <c r="V16" s="362">
        <v>80.7</v>
      </c>
      <c r="W16" s="360" t="s">
        <v>412</v>
      </c>
    </row>
    <row r="17" spans="1:23" s="337" customFormat="1" ht="39.6" x14ac:dyDescent="0.25">
      <c r="A17" s="349">
        <v>10</v>
      </c>
      <c r="B17" s="2" t="s">
        <v>15</v>
      </c>
      <c r="C17" s="343">
        <v>0</v>
      </c>
      <c r="D17" s="343">
        <v>0</v>
      </c>
      <c r="E17" s="343">
        <v>0</v>
      </c>
      <c r="F17" s="343">
        <v>0</v>
      </c>
      <c r="G17" s="343">
        <v>0</v>
      </c>
      <c r="H17" s="343">
        <v>243.1</v>
      </c>
      <c r="I17" s="343"/>
      <c r="J17" s="343">
        <v>216.7</v>
      </c>
      <c r="K17" s="345">
        <v>89.140271493212666</v>
      </c>
      <c r="L17" s="340">
        <v>67.900000000000006</v>
      </c>
      <c r="M17" s="343">
        <v>144.6095</v>
      </c>
      <c r="N17" s="343">
        <v>134.94649999999999</v>
      </c>
      <c r="O17" s="343">
        <v>132.7997</v>
      </c>
      <c r="P17" s="345">
        <v>91.833316621660416</v>
      </c>
      <c r="Q17" s="356">
        <v>88.2</v>
      </c>
      <c r="R17" s="343">
        <v>144.0523</v>
      </c>
      <c r="S17" s="343">
        <v>70.799000000000007</v>
      </c>
      <c r="T17" s="343">
        <v>70.458600000000004</v>
      </c>
      <c r="U17" s="343">
        <v>48.911818832465705</v>
      </c>
      <c r="V17" s="362">
        <v>83.4</v>
      </c>
      <c r="W17" s="360" t="s">
        <v>412</v>
      </c>
    </row>
    <row r="18" spans="1:23" s="337" customFormat="1" ht="52.8" x14ac:dyDescent="0.25">
      <c r="A18" s="349">
        <v>11</v>
      </c>
      <c r="B18" s="2" t="s">
        <v>16</v>
      </c>
      <c r="C18" s="343">
        <v>0</v>
      </c>
      <c r="D18" s="343">
        <v>0</v>
      </c>
      <c r="E18" s="343">
        <v>0</v>
      </c>
      <c r="F18" s="343">
        <v>0</v>
      </c>
      <c r="G18" s="343">
        <v>0</v>
      </c>
      <c r="H18" s="343">
        <v>987.8</v>
      </c>
      <c r="I18" s="343"/>
      <c r="J18" s="343">
        <v>984.4</v>
      </c>
      <c r="K18" s="345">
        <v>99.655800769386516</v>
      </c>
      <c r="L18" s="340">
        <v>95.8</v>
      </c>
      <c r="M18" s="343">
        <v>850.58579999999995</v>
      </c>
      <c r="N18" s="343">
        <v>776.67679999999996</v>
      </c>
      <c r="O18" s="343">
        <v>763.40359999999998</v>
      </c>
      <c r="P18" s="345">
        <v>89.750334416586782</v>
      </c>
      <c r="Q18" s="356">
        <v>93.5</v>
      </c>
      <c r="R18" s="343">
        <v>706.31690000000003</v>
      </c>
      <c r="S18" s="343">
        <v>705.22810000000004</v>
      </c>
      <c r="T18" s="343">
        <v>702.74639999999999</v>
      </c>
      <c r="U18" s="343">
        <v>99.494490362612027</v>
      </c>
      <c r="V18" s="340">
        <v>87.8</v>
      </c>
      <c r="W18" s="360" t="s">
        <v>412</v>
      </c>
    </row>
    <row r="19" spans="1:23" s="337" customFormat="1" ht="26.4" x14ac:dyDescent="0.25">
      <c r="A19" s="349">
        <v>12</v>
      </c>
      <c r="B19" s="2" t="s">
        <v>17</v>
      </c>
      <c r="C19" s="343">
        <v>0</v>
      </c>
      <c r="D19" s="343">
        <v>0</v>
      </c>
      <c r="E19" s="343">
        <v>0</v>
      </c>
      <c r="F19" s="343">
        <v>0</v>
      </c>
      <c r="G19" s="343">
        <v>0</v>
      </c>
      <c r="H19" s="343">
        <v>445.7</v>
      </c>
      <c r="I19" s="343"/>
      <c r="J19" s="343">
        <v>432.8</v>
      </c>
      <c r="K19" s="345">
        <v>97.105676463989226</v>
      </c>
      <c r="L19" s="340">
        <v>89.9</v>
      </c>
      <c r="M19" s="343">
        <v>464.49520000000001</v>
      </c>
      <c r="N19" s="343">
        <v>461.98520000000002</v>
      </c>
      <c r="O19" s="343">
        <v>457.29500000000002</v>
      </c>
      <c r="P19" s="345">
        <v>98.449887103246709</v>
      </c>
      <c r="Q19" s="356">
        <v>93.9</v>
      </c>
      <c r="R19" s="343">
        <v>280.24220000000003</v>
      </c>
      <c r="S19" s="343">
        <v>268.03640000000001</v>
      </c>
      <c r="T19" s="343">
        <v>264.40800000000002</v>
      </c>
      <c r="U19" s="343">
        <v>94.349815980605342</v>
      </c>
      <c r="V19" s="340">
        <v>94.5</v>
      </c>
      <c r="W19" s="360" t="s">
        <v>410</v>
      </c>
    </row>
    <row r="20" spans="1:23" s="337" customFormat="1" ht="26.4" x14ac:dyDescent="0.25">
      <c r="A20" s="349">
        <v>13</v>
      </c>
      <c r="B20" s="2" t="s">
        <v>18</v>
      </c>
      <c r="C20" s="343">
        <v>0</v>
      </c>
      <c r="D20" s="343">
        <v>0</v>
      </c>
      <c r="E20" s="343">
        <v>0</v>
      </c>
      <c r="F20" s="343">
        <v>0</v>
      </c>
      <c r="G20" s="343">
        <v>0</v>
      </c>
      <c r="H20" s="343">
        <v>3.5</v>
      </c>
      <c r="I20" s="343"/>
      <c r="J20" s="343">
        <v>2.7</v>
      </c>
      <c r="K20" s="345">
        <v>77.142857142857153</v>
      </c>
      <c r="L20" s="340">
        <v>90.2</v>
      </c>
      <c r="M20" s="343">
        <v>3.1389999999999998</v>
      </c>
      <c r="N20" s="343">
        <v>2.6576</v>
      </c>
      <c r="O20" s="343">
        <v>2.6576</v>
      </c>
      <c r="P20" s="345">
        <v>84.663905702453008</v>
      </c>
      <c r="Q20" s="356">
        <v>89.4</v>
      </c>
      <c r="R20" s="343">
        <v>2.8448000000000002</v>
      </c>
      <c r="S20" s="343">
        <v>2.8448000000000002</v>
      </c>
      <c r="T20" s="343">
        <v>2.8448000000000002</v>
      </c>
      <c r="U20" s="343">
        <v>100</v>
      </c>
      <c r="V20" s="340">
        <v>94.5</v>
      </c>
      <c r="W20" s="360" t="s">
        <v>410</v>
      </c>
    </row>
    <row r="21" spans="1:23" s="337" customFormat="1" ht="26.4" x14ac:dyDescent="0.25">
      <c r="A21" s="349">
        <v>14</v>
      </c>
      <c r="B21" s="2" t="s">
        <v>19</v>
      </c>
      <c r="C21" s="343">
        <v>0</v>
      </c>
      <c r="D21" s="343">
        <v>0</v>
      </c>
      <c r="E21" s="343">
        <v>0</v>
      </c>
      <c r="F21" s="343">
        <v>0</v>
      </c>
      <c r="G21" s="343">
        <v>0</v>
      </c>
      <c r="H21" s="343">
        <v>915.6</v>
      </c>
      <c r="I21" s="343"/>
      <c r="J21" s="343">
        <v>898.5</v>
      </c>
      <c r="K21" s="345">
        <v>98.132372214941029</v>
      </c>
      <c r="L21" s="340">
        <v>80.400000000000006</v>
      </c>
      <c r="M21" s="343">
        <v>906.9144</v>
      </c>
      <c r="N21" s="343">
        <v>906.62940000000003</v>
      </c>
      <c r="O21" s="343">
        <v>894.75549999999998</v>
      </c>
      <c r="P21" s="345">
        <v>98.659311176446195</v>
      </c>
      <c r="Q21" s="356">
        <v>85.1</v>
      </c>
      <c r="R21" s="343">
        <v>926.72059999999999</v>
      </c>
      <c r="S21" s="343">
        <v>922.7038</v>
      </c>
      <c r="T21" s="343">
        <v>919.80809999999997</v>
      </c>
      <c r="U21" s="343">
        <v>99.254090175614962</v>
      </c>
      <c r="V21" s="340">
        <v>83.8</v>
      </c>
      <c r="W21" s="360" t="s">
        <v>412</v>
      </c>
    </row>
    <row r="22" spans="1:23" s="337" customFormat="1" ht="26.4" x14ac:dyDescent="0.25">
      <c r="A22" s="349">
        <v>15</v>
      </c>
      <c r="B22" s="2" t="s">
        <v>20</v>
      </c>
      <c r="C22" s="343">
        <v>0</v>
      </c>
      <c r="D22" s="343">
        <v>0</v>
      </c>
      <c r="E22" s="343">
        <v>0</v>
      </c>
      <c r="F22" s="343">
        <v>0</v>
      </c>
      <c r="G22" s="343">
        <v>0</v>
      </c>
      <c r="H22" s="343">
        <v>3218.9</v>
      </c>
      <c r="I22" s="343"/>
      <c r="J22" s="343">
        <v>3182.2</v>
      </c>
      <c r="K22" s="345">
        <v>98.859858958029136</v>
      </c>
      <c r="L22" s="340">
        <v>80.5</v>
      </c>
      <c r="M22" s="343">
        <v>3084.9600999999998</v>
      </c>
      <c r="N22" s="343">
        <v>3065.2406000000001</v>
      </c>
      <c r="O22" s="343">
        <v>3054.4697999999999</v>
      </c>
      <c r="P22" s="345">
        <v>99.011646860521793</v>
      </c>
      <c r="Q22" s="357">
        <v>85</v>
      </c>
      <c r="R22" s="343">
        <v>3479.9126999999999</v>
      </c>
      <c r="S22" s="343">
        <v>3467.6808999999998</v>
      </c>
      <c r="T22" s="343">
        <v>3464.9485</v>
      </c>
      <c r="U22" s="343">
        <v>99.569983465389811</v>
      </c>
      <c r="V22" s="363">
        <v>86.6</v>
      </c>
      <c r="W22" s="360" t="s">
        <v>412</v>
      </c>
    </row>
    <row r="23" spans="1:23" s="337" customFormat="1" ht="52.8" x14ac:dyDescent="0.25">
      <c r="A23" s="349">
        <v>16</v>
      </c>
      <c r="B23" s="2" t="s">
        <v>21</v>
      </c>
      <c r="C23" s="343">
        <v>0</v>
      </c>
      <c r="D23" s="343">
        <v>0</v>
      </c>
      <c r="E23" s="343">
        <v>0</v>
      </c>
      <c r="F23" s="343">
        <v>0</v>
      </c>
      <c r="G23" s="343">
        <v>0</v>
      </c>
      <c r="H23" s="343">
        <v>83.4</v>
      </c>
      <c r="I23" s="343"/>
      <c r="J23" s="343">
        <v>81</v>
      </c>
      <c r="K23" s="345">
        <v>97.122302158273371</v>
      </c>
      <c r="L23" s="340">
        <v>94.1</v>
      </c>
      <c r="M23" s="343">
        <v>88.594399999999993</v>
      </c>
      <c r="N23" s="343">
        <v>87.976900000000001</v>
      </c>
      <c r="O23" s="343">
        <v>81.4542</v>
      </c>
      <c r="P23" s="345">
        <v>91.940574122066408</v>
      </c>
      <c r="Q23" s="356">
        <v>97.6</v>
      </c>
      <c r="R23" s="343">
        <v>46.505600000000001</v>
      </c>
      <c r="S23" s="343">
        <v>46.505000000000003</v>
      </c>
      <c r="T23" s="343">
        <v>46.468000000000004</v>
      </c>
      <c r="U23" s="343">
        <v>99.919149521778024</v>
      </c>
      <c r="V23" s="362">
        <v>86.3</v>
      </c>
      <c r="W23" s="360" t="s">
        <v>412</v>
      </c>
    </row>
    <row r="24" spans="1:23" s="337" customFormat="1" ht="26.4" x14ac:dyDescent="0.25">
      <c r="A24" s="349">
        <v>17</v>
      </c>
      <c r="B24" s="2" t="s">
        <v>22</v>
      </c>
      <c r="C24" s="343">
        <v>0</v>
      </c>
      <c r="D24" s="343">
        <v>0</v>
      </c>
      <c r="E24" s="343">
        <v>0</v>
      </c>
      <c r="F24" s="343">
        <v>0</v>
      </c>
      <c r="G24" s="343">
        <v>0</v>
      </c>
      <c r="H24" s="343">
        <v>4597.1000000000004</v>
      </c>
      <c r="I24" s="343"/>
      <c r="J24" s="343">
        <v>4272</v>
      </c>
      <c r="K24" s="345">
        <v>92.928150355659</v>
      </c>
      <c r="L24" s="340">
        <v>92.4</v>
      </c>
      <c r="M24" s="343">
        <v>4978.6088</v>
      </c>
      <c r="N24" s="343">
        <v>4903.6403</v>
      </c>
      <c r="O24" s="343">
        <v>4894.067</v>
      </c>
      <c r="P24" s="345">
        <v>98.301899116877792</v>
      </c>
      <c r="Q24" s="356">
        <v>91.3</v>
      </c>
      <c r="R24" s="343">
        <v>6834.8852999999999</v>
      </c>
      <c r="S24" s="343">
        <v>6487.6648999999998</v>
      </c>
      <c r="T24" s="343">
        <v>6436.1408000000001</v>
      </c>
      <c r="U24" s="343">
        <v>94.166039626151445</v>
      </c>
      <c r="V24" s="362">
        <v>90.2</v>
      </c>
      <c r="W24" s="360" t="s">
        <v>410</v>
      </c>
    </row>
    <row r="25" spans="1:23" s="337" customFormat="1" ht="26.4" x14ac:dyDescent="0.25">
      <c r="A25" s="349">
        <v>18</v>
      </c>
      <c r="B25" s="2" t="s">
        <v>23</v>
      </c>
      <c r="C25" s="343">
        <v>0</v>
      </c>
      <c r="D25" s="343">
        <v>0</v>
      </c>
      <c r="E25" s="343">
        <v>0</v>
      </c>
      <c r="F25" s="343">
        <v>0</v>
      </c>
      <c r="G25" s="343">
        <v>0</v>
      </c>
      <c r="H25" s="343">
        <v>92.7</v>
      </c>
      <c r="I25" s="343"/>
      <c r="J25" s="343">
        <v>47.3</v>
      </c>
      <c r="K25" s="345">
        <v>51.024811218985974</v>
      </c>
      <c r="L25" s="340">
        <v>68.400000000000006</v>
      </c>
      <c r="M25" s="343">
        <v>575.30319999999995</v>
      </c>
      <c r="N25" s="343">
        <v>381.4477</v>
      </c>
      <c r="O25" s="343">
        <v>381.26400000000001</v>
      </c>
      <c r="P25" s="345">
        <v>66.271837180811801</v>
      </c>
      <c r="Q25" s="356">
        <v>77.8</v>
      </c>
      <c r="R25" s="343">
        <v>289.07139999999998</v>
      </c>
      <c r="S25" s="343">
        <v>289.06639999999999</v>
      </c>
      <c r="T25" s="343">
        <v>288.78160000000003</v>
      </c>
      <c r="U25" s="343">
        <v>99.899747951544171</v>
      </c>
      <c r="V25" s="340">
        <v>85.8</v>
      </c>
      <c r="W25" s="360" t="s">
        <v>412</v>
      </c>
    </row>
    <row r="26" spans="1:23" s="337" customFormat="1" ht="26.4" x14ac:dyDescent="0.25">
      <c r="A26" s="349">
        <v>19</v>
      </c>
      <c r="B26" s="2" t="s">
        <v>405</v>
      </c>
      <c r="C26" s="343">
        <v>0</v>
      </c>
      <c r="D26" s="343">
        <v>0</v>
      </c>
      <c r="E26" s="343">
        <v>0</v>
      </c>
      <c r="F26" s="343">
        <v>0</v>
      </c>
      <c r="G26" s="343">
        <v>0</v>
      </c>
      <c r="H26" s="343">
        <v>58.5</v>
      </c>
      <c r="I26" s="343"/>
      <c r="J26" s="343">
        <v>57.3</v>
      </c>
      <c r="K26" s="345">
        <v>97.948717948717942</v>
      </c>
      <c r="L26" s="340">
        <v>96.5</v>
      </c>
      <c r="M26" s="343">
        <v>54.448999999999998</v>
      </c>
      <c r="N26" s="343">
        <v>54.448999999999998</v>
      </c>
      <c r="O26" s="343">
        <v>54.190899999999999</v>
      </c>
      <c r="P26" s="345">
        <v>99.525978438538814</v>
      </c>
      <c r="Q26" s="356">
        <v>99.6</v>
      </c>
      <c r="R26" s="343">
        <v>56.156599999999997</v>
      </c>
      <c r="S26" s="343">
        <v>56.156599999999997</v>
      </c>
      <c r="T26" s="343">
        <v>55.5685</v>
      </c>
      <c r="U26" s="343">
        <v>98.952749988425225</v>
      </c>
      <c r="V26" s="340">
        <v>91.8</v>
      </c>
      <c r="W26" s="360" t="s">
        <v>410</v>
      </c>
    </row>
    <row r="27" spans="1:23" s="337" customFormat="1" ht="39.6" x14ac:dyDescent="0.25">
      <c r="A27" s="349">
        <v>20</v>
      </c>
      <c r="B27" s="2" t="s">
        <v>406</v>
      </c>
      <c r="C27" s="343">
        <v>0</v>
      </c>
      <c r="D27" s="343">
        <v>0</v>
      </c>
      <c r="E27" s="343">
        <v>0</v>
      </c>
      <c r="F27" s="343">
        <v>0</v>
      </c>
      <c r="G27" s="343">
        <v>0</v>
      </c>
      <c r="H27" s="343">
        <v>6054.3</v>
      </c>
      <c r="I27" s="343"/>
      <c r="J27" s="343">
        <v>6006</v>
      </c>
      <c r="K27" s="345">
        <v>99.202219909816165</v>
      </c>
      <c r="L27" s="340">
        <v>99.5</v>
      </c>
      <c r="M27" s="343">
        <v>4943.4134000000004</v>
      </c>
      <c r="N27" s="343">
        <v>4816.7578999999996</v>
      </c>
      <c r="O27" s="343">
        <v>4815.4683000000005</v>
      </c>
      <c r="P27" s="345">
        <v>97.41180658692231</v>
      </c>
      <c r="Q27" s="357">
        <v>97</v>
      </c>
      <c r="R27" s="343">
        <v>4811.3670000000002</v>
      </c>
      <c r="S27" s="343">
        <v>4713.5108</v>
      </c>
      <c r="T27" s="343">
        <v>4711.6791999999996</v>
      </c>
      <c r="U27" s="343">
        <v>97.928077405028532</v>
      </c>
      <c r="V27" s="346">
        <v>97.4</v>
      </c>
      <c r="W27" s="360" t="s">
        <v>410</v>
      </c>
    </row>
    <row r="28" spans="1:23" s="337" customFormat="1" ht="26.4" x14ac:dyDescent="0.25">
      <c r="A28" s="349">
        <v>21</v>
      </c>
      <c r="B28" s="2" t="s">
        <v>407</v>
      </c>
      <c r="C28" s="343">
        <v>0</v>
      </c>
      <c r="D28" s="343">
        <v>0</v>
      </c>
      <c r="E28" s="343">
        <v>0</v>
      </c>
      <c r="F28" s="343">
        <v>0</v>
      </c>
      <c r="G28" s="343">
        <v>0</v>
      </c>
      <c r="H28" s="343">
        <v>1234.7</v>
      </c>
      <c r="I28" s="350"/>
      <c r="J28" s="343">
        <v>1205.2</v>
      </c>
      <c r="K28" s="345">
        <v>97.610755649145545</v>
      </c>
      <c r="L28" s="340">
        <v>93.7</v>
      </c>
      <c r="M28" s="343">
        <v>1413.1262999999999</v>
      </c>
      <c r="N28" s="350">
        <v>1407.1180999999999</v>
      </c>
      <c r="O28" s="343">
        <v>1404.0587</v>
      </c>
      <c r="P28" s="345">
        <v>99.358330532805184</v>
      </c>
      <c r="Q28" s="356">
        <v>94.8</v>
      </c>
      <c r="R28" s="343">
        <v>1365.8367000000001</v>
      </c>
      <c r="S28" s="350">
        <v>1364.4988000000001</v>
      </c>
      <c r="T28" s="343">
        <v>1362.4975999999999</v>
      </c>
      <c r="U28" s="343">
        <v>99.755527143178966</v>
      </c>
      <c r="V28" s="362">
        <v>95.8</v>
      </c>
      <c r="W28" s="360" t="s">
        <v>410</v>
      </c>
    </row>
    <row r="29" spans="1:23" s="337" customFormat="1" ht="26.4" x14ac:dyDescent="0.25">
      <c r="A29" s="349">
        <v>22</v>
      </c>
      <c r="B29" s="2" t="s">
        <v>408</v>
      </c>
      <c r="C29" s="343">
        <v>0</v>
      </c>
      <c r="D29" s="343">
        <v>0</v>
      </c>
      <c r="E29" s="343">
        <v>0</v>
      </c>
      <c r="F29" s="343">
        <v>0</v>
      </c>
      <c r="G29" s="343">
        <v>0</v>
      </c>
      <c r="H29" s="343">
        <v>114.4</v>
      </c>
      <c r="I29" s="343"/>
      <c r="J29" s="343">
        <v>108.4</v>
      </c>
      <c r="K29" s="345">
        <v>94.75524475524476</v>
      </c>
      <c r="L29" s="340">
        <v>72.3</v>
      </c>
      <c r="M29" s="343">
        <v>158.20480000000001</v>
      </c>
      <c r="N29" s="343">
        <v>158.20480000000001</v>
      </c>
      <c r="O29" s="343">
        <v>158.20480000000001</v>
      </c>
      <c r="P29" s="345">
        <v>100</v>
      </c>
      <c r="Q29" s="356">
        <v>91.3</v>
      </c>
      <c r="R29" s="343">
        <v>180.8905</v>
      </c>
      <c r="S29" s="343">
        <v>180.27279999999999</v>
      </c>
      <c r="T29" s="343">
        <v>180.27279999999999</v>
      </c>
      <c r="U29" s="343">
        <v>99.658522697432971</v>
      </c>
      <c r="V29" s="340">
        <v>83.2</v>
      </c>
      <c r="W29" s="360" t="s">
        <v>412</v>
      </c>
    </row>
    <row r="30" spans="1:23" s="337" customFormat="1" ht="27" thickBot="1" x14ac:dyDescent="0.3">
      <c r="A30" s="351"/>
      <c r="B30" s="3" t="s">
        <v>24</v>
      </c>
      <c r="C30" s="352">
        <v>41645.740646220002</v>
      </c>
      <c r="D30" s="352">
        <v>0</v>
      </c>
      <c r="E30" s="352">
        <v>40956.220773049994</v>
      </c>
      <c r="F30" s="352">
        <v>98.344320781739796</v>
      </c>
      <c r="G30" s="353" t="s">
        <v>25</v>
      </c>
      <c r="H30" s="352">
        <v>65775.199999999997</v>
      </c>
      <c r="I30" s="352">
        <v>0</v>
      </c>
      <c r="J30" s="352">
        <v>64601.599999999991</v>
      </c>
      <c r="K30" s="354">
        <v>98.215740887142871</v>
      </c>
      <c r="L30" s="355" t="s">
        <v>25</v>
      </c>
      <c r="M30" s="352">
        <v>64235.351700000007</v>
      </c>
      <c r="N30" s="352">
        <v>63238.699899999985</v>
      </c>
      <c r="O30" s="352">
        <v>63012.243999999999</v>
      </c>
      <c r="P30" s="354">
        <v>98.095896313120051</v>
      </c>
      <c r="Q30" s="358" t="s">
        <v>25</v>
      </c>
      <c r="R30" s="352">
        <v>65490.566500000008</v>
      </c>
      <c r="S30" s="352">
        <v>64688.750999999997</v>
      </c>
      <c r="T30" s="352">
        <v>64569.640900000006</v>
      </c>
      <c r="U30" s="352">
        <v>98.593804193158107</v>
      </c>
      <c r="V30" s="355" t="s">
        <v>25</v>
      </c>
    </row>
    <row r="31" spans="1:23" ht="13.8" thickTop="1" x14ac:dyDescent="0.25"/>
  </sheetData>
  <autoFilter ref="A7:WWD30"/>
  <mergeCells count="12">
    <mergeCell ref="A3:F3"/>
    <mergeCell ref="A4:V4"/>
    <mergeCell ref="R6:U6"/>
    <mergeCell ref="V6:V7"/>
    <mergeCell ref="L6:L7"/>
    <mergeCell ref="M6:P6"/>
    <mergeCell ref="Q6:Q7"/>
    <mergeCell ref="A6:A7"/>
    <mergeCell ref="B6:B7"/>
    <mergeCell ref="C6:F6"/>
    <mergeCell ref="G6:G7"/>
    <mergeCell ref="H6:K6"/>
  </mergeCells>
  <pageMargins left="0.39370078740157483" right="0.39370078740157483" top="0.59055118110236227" bottom="0.59055118110236227" header="0.31496062992125984" footer="0.31496062992125984"/>
  <pageSetup paperSize="9" scale="77" fitToHeight="2" orientation="landscape" r:id="rId1"/>
  <headerFooter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X39"/>
  <sheetViews>
    <sheetView view="pageBreakPreview" topLeftCell="X1" zoomScale="115" zoomScaleNormal="100" zoomScaleSheetLayoutView="115" workbookViewId="0">
      <selection activeCell="AP2" sqref="AP2"/>
    </sheetView>
  </sheetViews>
  <sheetFormatPr defaultColWidth="8.19921875" defaultRowHeight="13.8" x14ac:dyDescent="0.25"/>
  <cols>
    <col min="1" max="1" width="19.69921875" style="299" bestFit="1" customWidth="1"/>
    <col min="2" max="3" width="10.19921875" style="300" hidden="1" customWidth="1"/>
    <col min="4" max="4" width="8.69921875" style="300" hidden="1" customWidth="1"/>
    <col min="5" max="5" width="8.19921875" style="300" hidden="1" customWidth="1"/>
    <col min="6" max="6" width="8.69921875" style="300" hidden="1" customWidth="1"/>
    <col min="7" max="7" width="10.19921875" style="300" bestFit="1" customWidth="1"/>
    <col min="8" max="8" width="8.69921875" style="300" bestFit="1" customWidth="1"/>
    <col min="9" max="9" width="8.69921875" style="300" hidden="1" customWidth="1"/>
    <col min="10" max="10" width="8.19921875" style="300" hidden="1" customWidth="1"/>
    <col min="11" max="11" width="8.69921875" style="300" hidden="1" customWidth="1"/>
    <col min="12" max="13" width="9.296875" style="300" bestFit="1" customWidth="1"/>
    <col min="14" max="15" width="11.09765625" style="300" hidden="1" customWidth="1"/>
    <col min="16" max="16" width="10.19921875" style="300" hidden="1" customWidth="1"/>
    <col min="17" max="17" width="8.19921875" style="300" hidden="1" customWidth="1"/>
    <col min="18" max="18" width="11.09765625" style="300" hidden="1" customWidth="1"/>
    <col min="19" max="20" width="11.09765625" style="300" bestFit="1" customWidth="1"/>
    <col min="21" max="21" width="10.19921875" style="300" hidden="1" customWidth="1"/>
    <col min="22" max="22" width="8.19921875" style="300" hidden="1" customWidth="1"/>
    <col min="23" max="23" width="11.09765625" style="300" hidden="1" customWidth="1"/>
    <col min="24" max="24" width="5.69921875" style="300" bestFit="1" customWidth="1"/>
    <col min="25" max="25" width="7.5" style="300" bestFit="1" customWidth="1"/>
    <col min="26" max="27" width="11.09765625" style="300" bestFit="1" customWidth="1"/>
    <col min="28" max="30" width="11.09765625" style="300" hidden="1" customWidth="1"/>
    <col min="31" max="31" width="6.59765625" style="300" bestFit="1" customWidth="1"/>
    <col min="32" max="32" width="7.5" style="300" customWidth="1"/>
    <col min="33" max="33" width="7.09765625" style="300" hidden="1" customWidth="1"/>
    <col min="34" max="34" width="5.796875" style="300" hidden="1" customWidth="1"/>
    <col min="35" max="35" width="6.69921875" style="300" hidden="1" customWidth="1"/>
    <col min="36" max="37" width="11.09765625" style="300" hidden="1" customWidth="1"/>
    <col min="38" max="38" width="8.69921875" style="300" hidden="1" customWidth="1"/>
    <col min="39" max="39" width="8.19921875" style="300" hidden="1" customWidth="1"/>
    <col min="40" max="40" width="11.09765625" style="300" hidden="1" customWidth="1"/>
    <col min="41" max="42" width="11.09765625" style="300" bestFit="1" customWidth="1"/>
    <col min="43" max="43" width="8.69921875" style="300" hidden="1" customWidth="1"/>
    <col min="44" max="44" width="5.796875" style="300" hidden="1" customWidth="1"/>
    <col min="45" max="45" width="11.09765625" style="300" hidden="1" customWidth="1"/>
    <col min="46" max="46" width="6.59765625" style="300" bestFit="1" customWidth="1"/>
    <col min="47" max="47" width="7.5" style="300" bestFit="1" customWidth="1"/>
    <col min="48" max="50" width="0" style="300" hidden="1" customWidth="1"/>
    <col min="51" max="16384" width="8.19921875" style="300"/>
  </cols>
  <sheetData>
    <row r="1" spans="1:50" x14ac:dyDescent="0.25">
      <c r="AP1" s="398" t="s">
        <v>420</v>
      </c>
      <c r="AQ1" s="398"/>
      <c r="AR1" s="398"/>
      <c r="AS1" s="398"/>
      <c r="AT1" s="398"/>
      <c r="AU1" s="398"/>
    </row>
    <row r="3" spans="1:50" s="299" customFormat="1" ht="34.5" customHeight="1" x14ac:dyDescent="0.25">
      <c r="A3" s="404" t="s">
        <v>428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4"/>
      <c r="AH3" s="404"/>
      <c r="AI3" s="404"/>
      <c r="AJ3" s="404"/>
      <c r="AK3" s="404"/>
      <c r="AL3" s="404"/>
      <c r="AM3" s="404"/>
      <c r="AN3" s="404"/>
      <c r="AO3" s="404"/>
      <c r="AP3" s="404"/>
      <c r="AQ3" s="404"/>
      <c r="AR3" s="404"/>
      <c r="AS3" s="404"/>
      <c r="AT3" s="404"/>
      <c r="AU3" s="404"/>
    </row>
    <row r="4" spans="1:50" s="299" customFormat="1" ht="14.4" thickBot="1" x14ac:dyDescent="0.3">
      <c r="AU4" s="368" t="s">
        <v>424</v>
      </c>
    </row>
    <row r="5" spans="1:50" s="245" customFormat="1" ht="13.5" customHeight="1" thickTop="1" x14ac:dyDescent="0.25">
      <c r="A5" s="426" t="s">
        <v>148</v>
      </c>
      <c r="B5" s="428" t="s">
        <v>350</v>
      </c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O5" s="313"/>
      <c r="P5" s="313"/>
      <c r="Q5" s="313"/>
      <c r="R5" s="313"/>
      <c r="S5" s="428" t="s">
        <v>351</v>
      </c>
      <c r="T5" s="429"/>
      <c r="U5" s="429"/>
      <c r="V5" s="429"/>
      <c r="W5" s="429"/>
      <c r="X5" s="429"/>
      <c r="Y5" s="429"/>
      <c r="Z5" s="428" t="s">
        <v>352</v>
      </c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29"/>
      <c r="AQ5" s="429"/>
      <c r="AR5" s="429"/>
      <c r="AS5" s="429"/>
      <c r="AT5" s="429"/>
      <c r="AU5" s="436"/>
    </row>
    <row r="6" spans="1:50" s="245" customFormat="1" ht="12.75" customHeight="1" x14ac:dyDescent="0.25">
      <c r="A6" s="427"/>
      <c r="B6" s="402" t="s">
        <v>353</v>
      </c>
      <c r="C6" s="430" t="s">
        <v>44</v>
      </c>
      <c r="D6" s="431"/>
      <c r="E6" s="431"/>
      <c r="F6" s="432"/>
      <c r="G6" s="402" t="s">
        <v>354</v>
      </c>
      <c r="H6" s="430" t="s">
        <v>44</v>
      </c>
      <c r="I6" s="431"/>
      <c r="J6" s="431"/>
      <c r="K6" s="432"/>
      <c r="L6" s="430" t="s">
        <v>355</v>
      </c>
      <c r="M6" s="431"/>
      <c r="N6" s="430" t="s">
        <v>356</v>
      </c>
      <c r="O6" s="431"/>
      <c r="P6" s="431"/>
      <c r="Q6" s="431"/>
      <c r="R6" s="432"/>
      <c r="S6" s="430" t="s">
        <v>357</v>
      </c>
      <c r="T6" s="431"/>
      <c r="U6" s="431"/>
      <c r="V6" s="431"/>
      <c r="W6" s="432"/>
      <c r="X6" s="430" t="s">
        <v>149</v>
      </c>
      <c r="Y6" s="431"/>
      <c r="Z6" s="430" t="s">
        <v>357</v>
      </c>
      <c r="AA6" s="431"/>
      <c r="AB6" s="431"/>
      <c r="AC6" s="431"/>
      <c r="AD6" s="432"/>
      <c r="AE6" s="430" t="s">
        <v>149</v>
      </c>
      <c r="AF6" s="431"/>
      <c r="AG6" s="431"/>
      <c r="AH6" s="431"/>
      <c r="AI6" s="432"/>
      <c r="AJ6" s="402" t="s">
        <v>358</v>
      </c>
      <c r="AK6" s="402"/>
      <c r="AL6" s="402"/>
      <c r="AM6" s="402"/>
      <c r="AN6" s="402"/>
      <c r="AO6" s="402"/>
      <c r="AP6" s="402"/>
      <c r="AQ6" s="402"/>
      <c r="AR6" s="402"/>
      <c r="AS6" s="402"/>
      <c r="AT6" s="402"/>
      <c r="AU6" s="407"/>
    </row>
    <row r="7" spans="1:50" s="245" customFormat="1" ht="13.2" x14ac:dyDescent="0.25">
      <c r="A7" s="427"/>
      <c r="B7" s="402"/>
      <c r="C7" s="402" t="s">
        <v>359</v>
      </c>
      <c r="D7" s="433" t="s">
        <v>195</v>
      </c>
      <c r="E7" s="434"/>
      <c r="F7" s="435"/>
      <c r="G7" s="402"/>
      <c r="H7" s="402" t="s">
        <v>359</v>
      </c>
      <c r="I7" s="433" t="s">
        <v>195</v>
      </c>
      <c r="J7" s="434"/>
      <c r="K7" s="435"/>
      <c r="L7" s="402" t="s">
        <v>159</v>
      </c>
      <c r="M7" s="295" t="s">
        <v>44</v>
      </c>
      <c r="N7" s="402" t="s">
        <v>159</v>
      </c>
      <c r="O7" s="295" t="s">
        <v>44</v>
      </c>
      <c r="P7" s="433" t="s">
        <v>195</v>
      </c>
      <c r="Q7" s="434"/>
      <c r="R7" s="435"/>
      <c r="S7" s="402" t="s">
        <v>159</v>
      </c>
      <c r="T7" s="361" t="s">
        <v>44</v>
      </c>
      <c r="U7" s="433" t="s">
        <v>195</v>
      </c>
      <c r="V7" s="434"/>
      <c r="W7" s="435"/>
      <c r="X7" s="402" t="s">
        <v>159</v>
      </c>
      <c r="Y7" s="295" t="s">
        <v>44</v>
      </c>
      <c r="Z7" s="402" t="s">
        <v>159</v>
      </c>
      <c r="AA7" s="295" t="s">
        <v>44</v>
      </c>
      <c r="AB7" s="433" t="s">
        <v>195</v>
      </c>
      <c r="AC7" s="434"/>
      <c r="AD7" s="435"/>
      <c r="AE7" s="402" t="s">
        <v>159</v>
      </c>
      <c r="AF7" s="295" t="s">
        <v>44</v>
      </c>
      <c r="AG7" s="433" t="s">
        <v>195</v>
      </c>
      <c r="AH7" s="434"/>
      <c r="AI7" s="435"/>
      <c r="AJ7" s="402" t="s">
        <v>356</v>
      </c>
      <c r="AK7" s="402"/>
      <c r="AL7" s="433" t="s">
        <v>195</v>
      </c>
      <c r="AM7" s="434"/>
      <c r="AN7" s="435"/>
      <c r="AO7" s="402" t="s">
        <v>357</v>
      </c>
      <c r="AP7" s="402"/>
      <c r="AQ7" s="433" t="s">
        <v>195</v>
      </c>
      <c r="AR7" s="434"/>
      <c r="AS7" s="435"/>
      <c r="AT7" s="402" t="s">
        <v>149</v>
      </c>
      <c r="AU7" s="407"/>
      <c r="AV7" s="433" t="s">
        <v>195</v>
      </c>
      <c r="AW7" s="434"/>
      <c r="AX7" s="435"/>
    </row>
    <row r="8" spans="1:50" s="245" customFormat="1" ht="39.6" x14ac:dyDescent="0.25">
      <c r="A8" s="427"/>
      <c r="B8" s="402"/>
      <c r="C8" s="402"/>
      <c r="D8" s="301" t="s">
        <v>360</v>
      </c>
      <c r="E8" s="301" t="s">
        <v>361</v>
      </c>
      <c r="F8" s="301" t="s">
        <v>362</v>
      </c>
      <c r="G8" s="402"/>
      <c r="H8" s="402"/>
      <c r="I8" s="301" t="s">
        <v>360</v>
      </c>
      <c r="J8" s="301" t="s">
        <v>361</v>
      </c>
      <c r="K8" s="301" t="s">
        <v>362</v>
      </c>
      <c r="L8" s="402"/>
      <c r="M8" s="295" t="s">
        <v>359</v>
      </c>
      <c r="N8" s="402"/>
      <c r="O8" s="295" t="s">
        <v>359</v>
      </c>
      <c r="P8" s="301" t="s">
        <v>360</v>
      </c>
      <c r="Q8" s="301" t="s">
        <v>361</v>
      </c>
      <c r="R8" s="301" t="s">
        <v>362</v>
      </c>
      <c r="S8" s="402"/>
      <c r="T8" s="295" t="s">
        <v>359</v>
      </c>
      <c r="U8" s="301" t="s">
        <v>360</v>
      </c>
      <c r="V8" s="301" t="s">
        <v>361</v>
      </c>
      <c r="W8" s="301" t="s">
        <v>362</v>
      </c>
      <c r="X8" s="402"/>
      <c r="Y8" s="295" t="s">
        <v>359</v>
      </c>
      <c r="Z8" s="402"/>
      <c r="AA8" s="295" t="s">
        <v>359</v>
      </c>
      <c r="AB8" s="301" t="s">
        <v>360</v>
      </c>
      <c r="AC8" s="301" t="s">
        <v>361</v>
      </c>
      <c r="AD8" s="301" t="s">
        <v>362</v>
      </c>
      <c r="AE8" s="402"/>
      <c r="AF8" s="295" t="s">
        <v>359</v>
      </c>
      <c r="AG8" s="301" t="s">
        <v>360</v>
      </c>
      <c r="AH8" s="301" t="s">
        <v>361</v>
      </c>
      <c r="AI8" s="301" t="s">
        <v>362</v>
      </c>
      <c r="AJ8" s="295" t="s">
        <v>159</v>
      </c>
      <c r="AK8" s="295" t="s">
        <v>363</v>
      </c>
      <c r="AL8" s="301" t="s">
        <v>360</v>
      </c>
      <c r="AM8" s="301" t="s">
        <v>361</v>
      </c>
      <c r="AN8" s="301" t="s">
        <v>362</v>
      </c>
      <c r="AO8" s="295" t="s">
        <v>159</v>
      </c>
      <c r="AP8" s="295" t="s">
        <v>363</v>
      </c>
      <c r="AQ8" s="301" t="s">
        <v>360</v>
      </c>
      <c r="AR8" s="301" t="s">
        <v>361</v>
      </c>
      <c r="AS8" s="301" t="s">
        <v>362</v>
      </c>
      <c r="AT8" s="295" t="s">
        <v>159</v>
      </c>
      <c r="AU8" s="296" t="s">
        <v>363</v>
      </c>
      <c r="AV8" s="301" t="s">
        <v>360</v>
      </c>
      <c r="AW8" s="301" t="s">
        <v>361</v>
      </c>
      <c r="AX8" s="301" t="s">
        <v>362</v>
      </c>
    </row>
    <row r="9" spans="1:50" s="238" customFormat="1" ht="10.199999999999999" x14ac:dyDescent="0.25">
      <c r="A9" s="235">
        <v>1</v>
      </c>
      <c r="B9" s="236"/>
      <c r="C9" s="236"/>
      <c r="D9" s="301"/>
      <c r="E9" s="301"/>
      <c r="F9" s="301"/>
      <c r="G9" s="236">
        <v>2</v>
      </c>
      <c r="H9" s="236">
        <v>3</v>
      </c>
      <c r="I9" s="301"/>
      <c r="J9" s="301"/>
      <c r="K9" s="301"/>
      <c r="L9" s="236">
        <v>4</v>
      </c>
      <c r="M9" s="236">
        <v>5</v>
      </c>
      <c r="N9" s="236"/>
      <c r="O9" s="236"/>
      <c r="P9" s="301"/>
      <c r="Q9" s="301"/>
      <c r="R9" s="301"/>
      <c r="S9" s="236">
        <v>6</v>
      </c>
      <c r="T9" s="236">
        <v>7</v>
      </c>
      <c r="U9" s="301"/>
      <c r="V9" s="301"/>
      <c r="W9" s="301"/>
      <c r="X9" s="236">
        <v>8</v>
      </c>
      <c r="Y9" s="236">
        <v>9</v>
      </c>
      <c r="Z9" s="236">
        <v>10</v>
      </c>
      <c r="AA9" s="236">
        <v>11</v>
      </c>
      <c r="AB9" s="301"/>
      <c r="AC9" s="301"/>
      <c r="AD9" s="301"/>
      <c r="AE9" s="236">
        <v>12</v>
      </c>
      <c r="AF9" s="236">
        <v>13</v>
      </c>
      <c r="AG9" s="301"/>
      <c r="AH9" s="301"/>
      <c r="AI9" s="301"/>
      <c r="AJ9" s="236"/>
      <c r="AK9" s="236"/>
      <c r="AL9" s="301"/>
      <c r="AM9" s="301"/>
      <c r="AN9" s="301"/>
      <c r="AO9" s="236">
        <v>14</v>
      </c>
      <c r="AP9" s="236">
        <v>15</v>
      </c>
      <c r="AQ9" s="301"/>
      <c r="AR9" s="301"/>
      <c r="AS9" s="301"/>
      <c r="AT9" s="236">
        <v>16</v>
      </c>
      <c r="AU9" s="237">
        <v>17</v>
      </c>
      <c r="AV9" s="302"/>
      <c r="AW9" s="302"/>
      <c r="AX9" s="302"/>
    </row>
    <row r="10" spans="1:50" x14ac:dyDescent="0.25">
      <c r="A10" s="303" t="s">
        <v>168</v>
      </c>
      <c r="B10" s="304">
        <v>1672.7266</v>
      </c>
      <c r="C10" s="304">
        <v>0</v>
      </c>
      <c r="D10" s="305">
        <v>0</v>
      </c>
      <c r="E10" s="305">
        <v>0</v>
      </c>
      <c r="F10" s="305">
        <v>0</v>
      </c>
      <c r="G10" s="304">
        <v>2020.0038999999999</v>
      </c>
      <c r="H10" s="304">
        <v>1329.1959999999999</v>
      </c>
      <c r="I10" s="305">
        <v>90.5364</v>
      </c>
      <c r="J10" s="305">
        <v>0</v>
      </c>
      <c r="K10" s="305">
        <v>1238.6596</v>
      </c>
      <c r="L10" s="304">
        <v>347.27729999999997</v>
      </c>
      <c r="M10" s="304">
        <v>1329.1959999999999</v>
      </c>
      <c r="N10" s="304">
        <v>1053435.1448000001</v>
      </c>
      <c r="O10" s="304">
        <v>931636.28159999999</v>
      </c>
      <c r="P10" s="305">
        <v>60195.881600000001</v>
      </c>
      <c r="Q10" s="305">
        <v>0</v>
      </c>
      <c r="R10" s="305">
        <v>871440.4</v>
      </c>
      <c r="S10" s="304">
        <v>1036158.4035</v>
      </c>
      <c r="T10" s="304">
        <v>921571.08510000003</v>
      </c>
      <c r="U10" s="305">
        <v>59999.001300000004</v>
      </c>
      <c r="V10" s="305">
        <v>0</v>
      </c>
      <c r="W10" s="305">
        <v>861572.08380000002</v>
      </c>
      <c r="X10" s="304">
        <v>98.359961561441906</v>
      </c>
      <c r="Y10" s="304">
        <v>98.919621670088461</v>
      </c>
      <c r="Z10" s="304">
        <v>1035811.1261</v>
      </c>
      <c r="AA10" s="304">
        <v>920241.88899999997</v>
      </c>
      <c r="AB10" s="305">
        <v>59908.464899999999</v>
      </c>
      <c r="AC10" s="305">
        <v>0</v>
      </c>
      <c r="AD10" s="305">
        <v>860333.42409999995</v>
      </c>
      <c r="AE10" s="304">
        <v>98.171111625181553</v>
      </c>
      <c r="AF10" s="304">
        <v>98.776948383715663</v>
      </c>
      <c r="AG10" s="305">
        <v>99.522530956669314</v>
      </c>
      <c r="AH10" s="305"/>
      <c r="AI10" s="305">
        <v>98.72544629558142</v>
      </c>
      <c r="AJ10" s="304">
        <v>583871.91390000004</v>
      </c>
      <c r="AK10" s="304">
        <v>576648.39919999999</v>
      </c>
      <c r="AL10" s="305">
        <v>0</v>
      </c>
      <c r="AM10" s="305">
        <v>0</v>
      </c>
      <c r="AN10" s="305">
        <v>576648.39919999999</v>
      </c>
      <c r="AO10" s="304">
        <v>582048.53410000005</v>
      </c>
      <c r="AP10" s="304">
        <v>574916.06510000001</v>
      </c>
      <c r="AQ10" s="305">
        <v>0</v>
      </c>
      <c r="AR10" s="305">
        <v>0</v>
      </c>
      <c r="AS10" s="305">
        <v>574916.06510000001</v>
      </c>
      <c r="AT10" s="304">
        <v>99.687708938109267</v>
      </c>
      <c r="AU10" s="306">
        <v>99.699585726344992</v>
      </c>
      <c r="AV10" s="307"/>
      <c r="AW10" s="305"/>
      <c r="AX10" s="308">
        <f t="shared" ref="AX10:AX38" si="0">AS10/AN10%</f>
        <v>99.699585726344992</v>
      </c>
    </row>
    <row r="11" spans="1:50" ht="27.6" x14ac:dyDescent="0.25">
      <c r="A11" s="303" t="s">
        <v>169</v>
      </c>
      <c r="B11" s="304">
        <v>1726.6313</v>
      </c>
      <c r="C11" s="304">
        <v>349.07119999999998</v>
      </c>
      <c r="D11" s="305">
        <v>0</v>
      </c>
      <c r="E11" s="305">
        <v>0</v>
      </c>
      <c r="F11" s="305">
        <v>349.07119999999998</v>
      </c>
      <c r="G11" s="304">
        <v>3185.8177000000001</v>
      </c>
      <c r="H11" s="304">
        <v>1314.55</v>
      </c>
      <c r="I11" s="305">
        <v>362.11759999999998</v>
      </c>
      <c r="J11" s="305">
        <v>0</v>
      </c>
      <c r="K11" s="305">
        <v>952.43240000000003</v>
      </c>
      <c r="L11" s="304">
        <v>1459.1864</v>
      </c>
      <c r="M11" s="304">
        <v>965.47879999999998</v>
      </c>
      <c r="N11" s="304">
        <v>495224.91409999999</v>
      </c>
      <c r="O11" s="304">
        <v>457949.80969999998</v>
      </c>
      <c r="P11" s="305">
        <v>40069.509700000002</v>
      </c>
      <c r="Q11" s="305">
        <v>0</v>
      </c>
      <c r="R11" s="305">
        <v>417880.3</v>
      </c>
      <c r="S11" s="304">
        <v>494143.0245</v>
      </c>
      <c r="T11" s="304">
        <v>457677.35580000002</v>
      </c>
      <c r="U11" s="305">
        <v>40069.487200000003</v>
      </c>
      <c r="V11" s="305">
        <v>0</v>
      </c>
      <c r="W11" s="305">
        <v>417607.86859999999</v>
      </c>
      <c r="X11" s="304">
        <v>99.781535708483844</v>
      </c>
      <c r="Y11" s="304">
        <v>99.940505729180572</v>
      </c>
      <c r="Z11" s="304">
        <v>492683.8383</v>
      </c>
      <c r="AA11" s="304">
        <v>456711.87709999998</v>
      </c>
      <c r="AB11" s="305">
        <v>39707.369700000003</v>
      </c>
      <c r="AC11" s="305">
        <v>0</v>
      </c>
      <c r="AD11" s="305">
        <v>417004.5074</v>
      </c>
      <c r="AE11" s="304">
        <v>99.141222692734573</v>
      </c>
      <c r="AF11" s="304">
        <v>99.65371859584657</v>
      </c>
      <c r="AG11" s="305">
        <v>99.096220535985239</v>
      </c>
      <c r="AH11" s="305"/>
      <c r="AI11" s="305">
        <v>99.707131090175338</v>
      </c>
      <c r="AJ11" s="304">
        <v>265350.58899999998</v>
      </c>
      <c r="AK11" s="304">
        <v>263256.75319999998</v>
      </c>
      <c r="AL11" s="305">
        <v>211.82570000000001</v>
      </c>
      <c r="AM11" s="305">
        <v>0</v>
      </c>
      <c r="AN11" s="305">
        <v>263044.92749999999</v>
      </c>
      <c r="AO11" s="304">
        <v>264912.48</v>
      </c>
      <c r="AP11" s="304">
        <v>262887.93579999998</v>
      </c>
      <c r="AQ11" s="305">
        <v>211.82570000000001</v>
      </c>
      <c r="AR11" s="305">
        <v>0</v>
      </c>
      <c r="AS11" s="305">
        <v>262676.11009999999</v>
      </c>
      <c r="AT11" s="304">
        <v>99.834894280185665</v>
      </c>
      <c r="AU11" s="306">
        <v>99.85990201751072</v>
      </c>
      <c r="AV11" s="307">
        <f t="shared" ref="AV11:AV25" si="1">AQ11/AL11%</f>
        <v>99.999999999999986</v>
      </c>
      <c r="AW11" s="305"/>
      <c r="AX11" s="308">
        <f t="shared" si="0"/>
        <v>99.859789198938273</v>
      </c>
    </row>
    <row r="12" spans="1:50" x14ac:dyDescent="0.25">
      <c r="A12" s="303" t="s">
        <v>170</v>
      </c>
      <c r="B12" s="304">
        <v>173.83680000000001</v>
      </c>
      <c r="C12" s="304">
        <v>0</v>
      </c>
      <c r="D12" s="305">
        <v>0</v>
      </c>
      <c r="E12" s="305">
        <v>0</v>
      </c>
      <c r="F12" s="305">
        <v>0</v>
      </c>
      <c r="G12" s="304">
        <v>686.51250000000005</v>
      </c>
      <c r="H12" s="304">
        <v>21.067</v>
      </c>
      <c r="I12" s="305">
        <v>0</v>
      </c>
      <c r="J12" s="305">
        <v>0</v>
      </c>
      <c r="K12" s="305">
        <v>21.067</v>
      </c>
      <c r="L12" s="304">
        <v>512.67570000000001</v>
      </c>
      <c r="M12" s="304">
        <v>21.067</v>
      </c>
      <c r="N12" s="304">
        <v>348780.86930000002</v>
      </c>
      <c r="O12" s="304">
        <v>317316.49050000001</v>
      </c>
      <c r="P12" s="305">
        <v>36554.4905</v>
      </c>
      <c r="Q12" s="305">
        <v>0</v>
      </c>
      <c r="R12" s="305">
        <v>280762</v>
      </c>
      <c r="S12" s="304">
        <v>346012.1605</v>
      </c>
      <c r="T12" s="304">
        <v>314528.53289999999</v>
      </c>
      <c r="U12" s="305">
        <v>33766.532899999998</v>
      </c>
      <c r="V12" s="305">
        <v>0</v>
      </c>
      <c r="W12" s="305">
        <v>280762</v>
      </c>
      <c r="X12" s="304">
        <v>99.20617526828326</v>
      </c>
      <c r="Y12" s="304">
        <v>99.121395299813443</v>
      </c>
      <c r="Z12" s="304">
        <v>345499.48480000003</v>
      </c>
      <c r="AA12" s="304">
        <v>314507.46590000001</v>
      </c>
      <c r="AB12" s="305">
        <v>33766.532899999998</v>
      </c>
      <c r="AC12" s="305">
        <v>0</v>
      </c>
      <c r="AD12" s="305">
        <v>280740.93300000002</v>
      </c>
      <c r="AE12" s="304">
        <v>99.059184494096328</v>
      </c>
      <c r="AF12" s="304">
        <v>99.114756186930663</v>
      </c>
      <c r="AG12" s="305">
        <v>92.373146057117111</v>
      </c>
      <c r="AH12" s="305"/>
      <c r="AI12" s="305">
        <v>99.992496491690488</v>
      </c>
      <c r="AJ12" s="304">
        <v>186241.49969999999</v>
      </c>
      <c r="AK12" s="304">
        <v>184047.0257</v>
      </c>
      <c r="AL12" s="305">
        <v>26.3476</v>
      </c>
      <c r="AM12" s="305">
        <v>0</v>
      </c>
      <c r="AN12" s="305">
        <v>184020.67809999999</v>
      </c>
      <c r="AO12" s="304">
        <v>186241.43209999998</v>
      </c>
      <c r="AP12" s="304">
        <v>184047.0257</v>
      </c>
      <c r="AQ12" s="305">
        <v>26.3476</v>
      </c>
      <c r="AR12" s="305">
        <v>0</v>
      </c>
      <c r="AS12" s="305">
        <v>184020.67809999999</v>
      </c>
      <c r="AT12" s="304">
        <v>99.999963703041416</v>
      </c>
      <c r="AU12" s="306">
        <v>100</v>
      </c>
      <c r="AV12" s="307">
        <f t="shared" si="1"/>
        <v>100</v>
      </c>
      <c r="AW12" s="305"/>
      <c r="AX12" s="308">
        <f t="shared" si="0"/>
        <v>100</v>
      </c>
    </row>
    <row r="13" spans="1:50" ht="27.6" x14ac:dyDescent="0.25">
      <c r="A13" s="303" t="s">
        <v>171</v>
      </c>
      <c r="B13" s="304">
        <v>8417.7546999999995</v>
      </c>
      <c r="C13" s="304">
        <v>7544.1072000000004</v>
      </c>
      <c r="D13" s="305">
        <v>491.904</v>
      </c>
      <c r="E13" s="305">
        <v>0</v>
      </c>
      <c r="F13" s="305">
        <v>7052.2031999999999</v>
      </c>
      <c r="G13" s="304">
        <v>4545.8232000000007</v>
      </c>
      <c r="H13" s="304">
        <v>3205.4493000000002</v>
      </c>
      <c r="I13" s="305">
        <v>0</v>
      </c>
      <c r="J13" s="305">
        <v>0</v>
      </c>
      <c r="K13" s="305">
        <v>3205.4493000000002</v>
      </c>
      <c r="L13" s="304">
        <v>-3871.9314999999988</v>
      </c>
      <c r="M13" s="304">
        <v>-4338.6579000000002</v>
      </c>
      <c r="N13" s="304">
        <v>440424.95109999995</v>
      </c>
      <c r="O13" s="304">
        <v>409748.05529999995</v>
      </c>
      <c r="P13" s="305">
        <v>37955.207799999996</v>
      </c>
      <c r="Q13" s="305">
        <v>0</v>
      </c>
      <c r="R13" s="305">
        <v>371792.84749999997</v>
      </c>
      <c r="S13" s="304">
        <v>437830.5613</v>
      </c>
      <c r="T13" s="304">
        <v>407920.69699999999</v>
      </c>
      <c r="U13" s="305">
        <v>37228.389300000003</v>
      </c>
      <c r="V13" s="305">
        <v>0</v>
      </c>
      <c r="W13" s="305">
        <v>370692.3077</v>
      </c>
      <c r="X13" s="304">
        <v>99.410934872440762</v>
      </c>
      <c r="Y13" s="304">
        <v>99.554028804685345</v>
      </c>
      <c r="Z13" s="304">
        <v>441702.49290000001</v>
      </c>
      <c r="AA13" s="304">
        <v>412259.35500000004</v>
      </c>
      <c r="AB13" s="305">
        <v>37720.293299999998</v>
      </c>
      <c r="AC13" s="305">
        <v>0</v>
      </c>
      <c r="AD13" s="305">
        <v>374539.06170000002</v>
      </c>
      <c r="AE13" s="304">
        <v>98.409400262035206</v>
      </c>
      <c r="AF13" s="304">
        <v>98.793936730120123</v>
      </c>
      <c r="AG13" s="305">
        <v>98.109562809864954</v>
      </c>
      <c r="AH13" s="305"/>
      <c r="AI13" s="305">
        <v>98.863390456852031</v>
      </c>
      <c r="AJ13" s="304">
        <v>232929.95359999998</v>
      </c>
      <c r="AK13" s="304">
        <v>232845.69699999999</v>
      </c>
      <c r="AL13" s="305">
        <v>0</v>
      </c>
      <c r="AM13" s="305">
        <v>0</v>
      </c>
      <c r="AN13" s="305">
        <v>232845.69699999999</v>
      </c>
      <c r="AO13" s="304">
        <v>232870.2347</v>
      </c>
      <c r="AP13" s="304">
        <v>232785.97810000001</v>
      </c>
      <c r="AQ13" s="305">
        <v>0</v>
      </c>
      <c r="AR13" s="305">
        <v>0</v>
      </c>
      <c r="AS13" s="305">
        <v>232785.97810000001</v>
      </c>
      <c r="AT13" s="304">
        <v>99.974361863265315</v>
      </c>
      <c r="AU13" s="306">
        <v>99.974352585953113</v>
      </c>
      <c r="AV13" s="307"/>
      <c r="AW13" s="305"/>
      <c r="AX13" s="308">
        <f t="shared" si="0"/>
        <v>99.974352585953113</v>
      </c>
    </row>
    <row r="14" spans="1:50" x14ac:dyDescent="0.25">
      <c r="A14" s="303" t="s">
        <v>172</v>
      </c>
      <c r="B14" s="304">
        <v>3054.0455999999999</v>
      </c>
      <c r="C14" s="304">
        <v>2483.0126</v>
      </c>
      <c r="D14" s="305">
        <v>2382.2710000000002</v>
      </c>
      <c r="E14" s="305">
        <v>0</v>
      </c>
      <c r="F14" s="305">
        <v>100.74160000000001</v>
      </c>
      <c r="G14" s="304">
        <v>1358.3262999999999</v>
      </c>
      <c r="H14" s="304">
        <v>101.4876</v>
      </c>
      <c r="I14" s="305">
        <v>0</v>
      </c>
      <c r="J14" s="305">
        <v>0</v>
      </c>
      <c r="K14" s="305">
        <v>101.4876</v>
      </c>
      <c r="L14" s="304">
        <v>-1695.7193</v>
      </c>
      <c r="M14" s="304">
        <v>-2381.5250000000001</v>
      </c>
      <c r="N14" s="304">
        <v>437867.65529999998</v>
      </c>
      <c r="O14" s="304">
        <v>399721.92190000002</v>
      </c>
      <c r="P14" s="305">
        <v>21591.421900000001</v>
      </c>
      <c r="Q14" s="305">
        <v>0</v>
      </c>
      <c r="R14" s="305">
        <v>378130.5</v>
      </c>
      <c r="S14" s="304">
        <v>435568.41710000002</v>
      </c>
      <c r="T14" s="304">
        <v>398420.2243</v>
      </c>
      <c r="U14" s="305">
        <v>21159.448199999999</v>
      </c>
      <c r="V14" s="305">
        <v>0</v>
      </c>
      <c r="W14" s="305">
        <v>377260.77610000002</v>
      </c>
      <c r="X14" s="304">
        <v>99.474901109463147</v>
      </c>
      <c r="Y14" s="304">
        <v>99.674349209117011</v>
      </c>
      <c r="Z14" s="304">
        <v>436409.2844</v>
      </c>
      <c r="AA14" s="304">
        <v>400801.74929999997</v>
      </c>
      <c r="AB14" s="305">
        <v>23541.7192</v>
      </c>
      <c r="AC14" s="305">
        <v>0</v>
      </c>
      <c r="AD14" s="305">
        <v>377260.03009999997</v>
      </c>
      <c r="AE14" s="304">
        <v>98.976594599270271</v>
      </c>
      <c r="AF14" s="304">
        <v>99.651126806351982</v>
      </c>
      <c r="AG14" s="305">
        <v>98.198134506010973</v>
      </c>
      <c r="AH14" s="305"/>
      <c r="AI14" s="305">
        <v>99.743222824245933</v>
      </c>
      <c r="AJ14" s="304">
        <v>245886.79739999998</v>
      </c>
      <c r="AK14" s="304">
        <v>243937.38800000001</v>
      </c>
      <c r="AL14" s="305">
        <v>15.4978</v>
      </c>
      <c r="AM14" s="305">
        <v>0</v>
      </c>
      <c r="AN14" s="305">
        <v>243921.89019999999</v>
      </c>
      <c r="AO14" s="304">
        <v>245703.46310000002</v>
      </c>
      <c r="AP14" s="304">
        <v>243819.44410000002</v>
      </c>
      <c r="AQ14" s="305">
        <v>15.4978</v>
      </c>
      <c r="AR14" s="305">
        <v>0</v>
      </c>
      <c r="AS14" s="305">
        <v>243803.94630000001</v>
      </c>
      <c r="AT14" s="304">
        <v>99.92543955107044</v>
      </c>
      <c r="AU14" s="306">
        <v>99.951649929120336</v>
      </c>
      <c r="AV14" s="307">
        <f t="shared" si="1"/>
        <v>100</v>
      </c>
      <c r="AW14" s="305"/>
      <c r="AX14" s="308">
        <f t="shared" si="0"/>
        <v>99.951646857154444</v>
      </c>
    </row>
    <row r="15" spans="1:50" x14ac:dyDescent="0.25">
      <c r="A15" s="303" t="s">
        <v>173</v>
      </c>
      <c r="B15" s="304">
        <v>1194.5983000000001</v>
      </c>
      <c r="C15" s="304">
        <v>665.88900000000001</v>
      </c>
      <c r="D15" s="305">
        <v>665.88900000000001</v>
      </c>
      <c r="E15" s="305">
        <v>0</v>
      </c>
      <c r="F15" s="305">
        <v>0</v>
      </c>
      <c r="G15" s="304">
        <v>831.79660000000013</v>
      </c>
      <c r="H15" s="304">
        <v>299.45800000000003</v>
      </c>
      <c r="I15" s="305">
        <v>299.45800000000003</v>
      </c>
      <c r="J15" s="305">
        <v>0</v>
      </c>
      <c r="K15" s="305">
        <v>0</v>
      </c>
      <c r="L15" s="304">
        <v>-362.80169999999998</v>
      </c>
      <c r="M15" s="304">
        <v>-366.43099999999998</v>
      </c>
      <c r="N15" s="304">
        <v>569994.49009999994</v>
      </c>
      <c r="O15" s="304">
        <v>524651.18229999999</v>
      </c>
      <c r="P15" s="305">
        <v>40497.893499999998</v>
      </c>
      <c r="Q15" s="305">
        <v>0</v>
      </c>
      <c r="R15" s="305">
        <v>484153.28879999998</v>
      </c>
      <c r="S15" s="304">
        <v>566754.03249999997</v>
      </c>
      <c r="T15" s="304">
        <v>522025.3518</v>
      </c>
      <c r="U15" s="305">
        <v>40497.893499999998</v>
      </c>
      <c r="V15" s="305">
        <v>0</v>
      </c>
      <c r="W15" s="305">
        <v>481527.4583</v>
      </c>
      <c r="X15" s="304">
        <v>99.431493171200401</v>
      </c>
      <c r="Y15" s="304">
        <v>99.499509276146355</v>
      </c>
      <c r="Z15" s="304">
        <v>566775.74450000003</v>
      </c>
      <c r="AA15" s="304">
        <v>522050.69299999997</v>
      </c>
      <c r="AB15" s="305">
        <v>40523.234700000001</v>
      </c>
      <c r="AC15" s="305">
        <v>0</v>
      </c>
      <c r="AD15" s="305">
        <v>481527.4583</v>
      </c>
      <c r="AE15" s="304">
        <v>99.37867351385762</v>
      </c>
      <c r="AF15" s="304">
        <v>99.442776697775443</v>
      </c>
      <c r="AG15" s="305">
        <v>99.26644231383591</v>
      </c>
      <c r="AH15" s="305"/>
      <c r="AI15" s="305">
        <v>99.457644807802865</v>
      </c>
      <c r="AJ15" s="304">
        <v>288557.7856</v>
      </c>
      <c r="AK15" s="304">
        <v>288384.3737</v>
      </c>
      <c r="AL15" s="305">
        <v>0</v>
      </c>
      <c r="AM15" s="305">
        <v>0</v>
      </c>
      <c r="AN15" s="305">
        <v>288384.3737</v>
      </c>
      <c r="AO15" s="304">
        <v>287490.25699999998</v>
      </c>
      <c r="AP15" s="304">
        <v>287316.8824</v>
      </c>
      <c r="AQ15" s="305">
        <v>0</v>
      </c>
      <c r="AR15" s="305">
        <v>0</v>
      </c>
      <c r="AS15" s="305">
        <v>287316.8824</v>
      </c>
      <c r="AT15" s="304">
        <v>99.630046856029097</v>
      </c>
      <c r="AU15" s="306">
        <v>99.629837329150675</v>
      </c>
      <c r="AV15" s="307"/>
      <c r="AW15" s="305"/>
      <c r="AX15" s="308">
        <f t="shared" si="0"/>
        <v>99.629837329150675</v>
      </c>
    </row>
    <row r="16" spans="1:50" x14ac:dyDescent="0.25">
      <c r="A16" s="303" t="s">
        <v>174</v>
      </c>
      <c r="B16" s="304">
        <v>1758.9765000000002</v>
      </c>
      <c r="C16" s="304">
        <v>73.738699999999994</v>
      </c>
      <c r="D16" s="305">
        <v>25.5657</v>
      </c>
      <c r="E16" s="305">
        <v>0</v>
      </c>
      <c r="F16" s="305">
        <v>48.173000000000002</v>
      </c>
      <c r="G16" s="304">
        <v>1246.7638999999999</v>
      </c>
      <c r="H16" s="304">
        <v>53.8568</v>
      </c>
      <c r="I16" s="305">
        <v>0</v>
      </c>
      <c r="J16" s="305">
        <v>0</v>
      </c>
      <c r="K16" s="305">
        <v>53.8568</v>
      </c>
      <c r="L16" s="304">
        <v>-512.21260000000029</v>
      </c>
      <c r="M16" s="304">
        <v>-19.881899999999995</v>
      </c>
      <c r="N16" s="304">
        <v>427285.005</v>
      </c>
      <c r="O16" s="304">
        <v>384546.65759999998</v>
      </c>
      <c r="P16" s="305">
        <v>31422.339499999998</v>
      </c>
      <c r="Q16" s="305">
        <v>644</v>
      </c>
      <c r="R16" s="305">
        <v>352480.31809999997</v>
      </c>
      <c r="S16" s="304">
        <v>417439.83470000001</v>
      </c>
      <c r="T16" s="304">
        <v>377807.27290000004</v>
      </c>
      <c r="U16" s="305">
        <v>30559.896400000001</v>
      </c>
      <c r="V16" s="305">
        <v>644</v>
      </c>
      <c r="W16" s="305">
        <v>346603.37650000001</v>
      </c>
      <c r="X16" s="304">
        <v>97.695877415590559</v>
      </c>
      <c r="Y16" s="304">
        <v>98.247446813850573</v>
      </c>
      <c r="Z16" s="304">
        <v>417746.73599999998</v>
      </c>
      <c r="AA16" s="304">
        <v>377820.13199999998</v>
      </c>
      <c r="AB16" s="305">
        <v>30585.462100000001</v>
      </c>
      <c r="AC16" s="305">
        <v>644</v>
      </c>
      <c r="AD16" s="305">
        <v>346590.66989999998</v>
      </c>
      <c r="AE16" s="304">
        <v>97.366879390662191</v>
      </c>
      <c r="AF16" s="304">
        <v>98.231954294767093</v>
      </c>
      <c r="AG16" s="305">
        <v>97.257549614918247</v>
      </c>
      <c r="AH16" s="305">
        <v>100</v>
      </c>
      <c r="AI16" s="305">
        <v>98.315647855447907</v>
      </c>
      <c r="AJ16" s="304">
        <v>227469.4209</v>
      </c>
      <c r="AK16" s="304">
        <v>225990.22510000001</v>
      </c>
      <c r="AL16" s="305">
        <v>38.680199999999999</v>
      </c>
      <c r="AM16" s="305">
        <v>0</v>
      </c>
      <c r="AN16" s="305">
        <v>225951.54490000001</v>
      </c>
      <c r="AO16" s="304">
        <v>226197.26010000001</v>
      </c>
      <c r="AP16" s="304">
        <v>224983.2034</v>
      </c>
      <c r="AQ16" s="305">
        <v>38.678800000000003</v>
      </c>
      <c r="AR16" s="305">
        <v>0</v>
      </c>
      <c r="AS16" s="305">
        <v>224944.5246</v>
      </c>
      <c r="AT16" s="304">
        <v>99.440733266490696</v>
      </c>
      <c r="AU16" s="306">
        <v>99.554395903825309</v>
      </c>
      <c r="AV16" s="307">
        <f t="shared" si="1"/>
        <v>99.996380577142844</v>
      </c>
      <c r="AW16" s="305"/>
      <c r="AX16" s="308">
        <f t="shared" si="0"/>
        <v>99.554320241339497</v>
      </c>
    </row>
    <row r="17" spans="1:50" x14ac:dyDescent="0.25">
      <c r="A17" s="303" t="s">
        <v>175</v>
      </c>
      <c r="B17" s="304">
        <v>2063.8071</v>
      </c>
      <c r="C17" s="304">
        <v>2.8077999999999999</v>
      </c>
      <c r="D17" s="305">
        <v>0</v>
      </c>
      <c r="E17" s="305">
        <v>0</v>
      </c>
      <c r="F17" s="305">
        <v>2.8077999999999999</v>
      </c>
      <c r="G17" s="304">
        <v>1554.6839</v>
      </c>
      <c r="H17" s="304">
        <v>0</v>
      </c>
      <c r="I17" s="305">
        <v>0</v>
      </c>
      <c r="J17" s="305">
        <v>0</v>
      </c>
      <c r="K17" s="305">
        <v>0</v>
      </c>
      <c r="L17" s="304">
        <v>-509.1232</v>
      </c>
      <c r="M17" s="304">
        <v>-2.8077999999999999</v>
      </c>
      <c r="N17" s="304">
        <v>417655.84770000004</v>
      </c>
      <c r="O17" s="304">
        <v>380269.32150000002</v>
      </c>
      <c r="P17" s="305">
        <v>32928.277999999998</v>
      </c>
      <c r="Q17" s="305">
        <v>0</v>
      </c>
      <c r="R17" s="305">
        <v>347341.04350000003</v>
      </c>
      <c r="S17" s="304">
        <v>413485.23800000001</v>
      </c>
      <c r="T17" s="304">
        <v>376101.55420000001</v>
      </c>
      <c r="U17" s="305">
        <v>32313.981299999999</v>
      </c>
      <c r="V17" s="305">
        <v>0</v>
      </c>
      <c r="W17" s="305">
        <v>343787.57290000003</v>
      </c>
      <c r="X17" s="304">
        <v>99.001424325083136</v>
      </c>
      <c r="Y17" s="304">
        <v>98.903995914379848</v>
      </c>
      <c r="Z17" s="304">
        <v>413994.36119999998</v>
      </c>
      <c r="AA17" s="304">
        <v>376104.36199999996</v>
      </c>
      <c r="AB17" s="305">
        <v>32313.981299999999</v>
      </c>
      <c r="AC17" s="305">
        <v>0</v>
      </c>
      <c r="AD17" s="305">
        <v>343790.38069999998</v>
      </c>
      <c r="AE17" s="304">
        <v>98.63592435223741</v>
      </c>
      <c r="AF17" s="304">
        <v>98.904004006901062</v>
      </c>
      <c r="AG17" s="305">
        <v>98.134440252235478</v>
      </c>
      <c r="AH17" s="305"/>
      <c r="AI17" s="305">
        <v>98.976958830075603</v>
      </c>
      <c r="AJ17" s="304">
        <v>224627.21770000001</v>
      </c>
      <c r="AK17" s="304">
        <v>223061.0454</v>
      </c>
      <c r="AL17" s="305">
        <v>0</v>
      </c>
      <c r="AM17" s="305">
        <v>0</v>
      </c>
      <c r="AN17" s="305">
        <v>223061.0454</v>
      </c>
      <c r="AO17" s="304">
        <v>224310.23120000001</v>
      </c>
      <c r="AP17" s="304">
        <v>222744.0999</v>
      </c>
      <c r="AQ17" s="305">
        <v>0</v>
      </c>
      <c r="AR17" s="305">
        <v>0</v>
      </c>
      <c r="AS17" s="305">
        <v>222744.0999</v>
      </c>
      <c r="AT17" s="304">
        <v>99.858883307532494</v>
      </c>
      <c r="AU17" s="306">
        <v>99.857910869452056</v>
      </c>
      <c r="AV17" s="307"/>
      <c r="AW17" s="305"/>
      <c r="AX17" s="308">
        <f t="shared" si="0"/>
        <v>99.857910869452056</v>
      </c>
    </row>
    <row r="18" spans="1:50" x14ac:dyDescent="0.25">
      <c r="A18" s="303" t="s">
        <v>176</v>
      </c>
      <c r="B18" s="304">
        <v>1306.4186</v>
      </c>
      <c r="C18" s="304">
        <v>421.24630000000002</v>
      </c>
      <c r="D18" s="305">
        <v>0</v>
      </c>
      <c r="E18" s="305">
        <v>0</v>
      </c>
      <c r="F18" s="305">
        <v>421.24630000000002</v>
      </c>
      <c r="G18" s="304">
        <v>679.59120000000007</v>
      </c>
      <c r="H18" s="304">
        <v>148.51849999999999</v>
      </c>
      <c r="I18" s="305">
        <v>0</v>
      </c>
      <c r="J18" s="305">
        <v>0</v>
      </c>
      <c r="K18" s="305">
        <v>148.51849999999999</v>
      </c>
      <c r="L18" s="304">
        <v>-626.8273999999999</v>
      </c>
      <c r="M18" s="304">
        <v>-272.7278</v>
      </c>
      <c r="N18" s="304">
        <v>414131.62919999997</v>
      </c>
      <c r="O18" s="304">
        <v>391595.8653</v>
      </c>
      <c r="P18" s="305">
        <v>41026.545599999998</v>
      </c>
      <c r="Q18" s="305">
        <v>0</v>
      </c>
      <c r="R18" s="305">
        <v>350569.31969999999</v>
      </c>
      <c r="S18" s="304">
        <v>411814.41370000003</v>
      </c>
      <c r="T18" s="304">
        <v>389923.04710000003</v>
      </c>
      <c r="U18" s="305">
        <v>40810.2955</v>
      </c>
      <c r="V18" s="305">
        <v>0</v>
      </c>
      <c r="W18" s="305">
        <v>349112.75160000002</v>
      </c>
      <c r="X18" s="304">
        <v>99.440464012740051</v>
      </c>
      <c r="Y18" s="304">
        <v>99.572820259805738</v>
      </c>
      <c r="Z18" s="304">
        <v>412441.24119999999</v>
      </c>
      <c r="AA18" s="304">
        <v>390195.77490000002</v>
      </c>
      <c r="AB18" s="305">
        <v>40810.2955</v>
      </c>
      <c r="AC18" s="305">
        <v>0</v>
      </c>
      <c r="AD18" s="305">
        <v>349385.47940000001</v>
      </c>
      <c r="AE18" s="304">
        <v>99.399330142111907</v>
      </c>
      <c r="AF18" s="304">
        <v>99.617026924312327</v>
      </c>
      <c r="AG18" s="305">
        <v>99.472902003233742</v>
      </c>
      <c r="AH18" s="305"/>
      <c r="AI18" s="305">
        <v>99.633888814778231</v>
      </c>
      <c r="AJ18" s="304">
        <v>232037.74359999999</v>
      </c>
      <c r="AK18" s="304">
        <v>231789.30350000001</v>
      </c>
      <c r="AL18" s="305">
        <v>502.45370000000003</v>
      </c>
      <c r="AM18" s="305">
        <v>0</v>
      </c>
      <c r="AN18" s="305">
        <v>231286.8498</v>
      </c>
      <c r="AO18" s="304">
        <v>231978.92969999998</v>
      </c>
      <c r="AP18" s="304">
        <v>231730.4896</v>
      </c>
      <c r="AQ18" s="305">
        <v>505.70370000000003</v>
      </c>
      <c r="AR18" s="305">
        <v>0</v>
      </c>
      <c r="AS18" s="305">
        <v>231224.78589999999</v>
      </c>
      <c r="AT18" s="304">
        <v>99.974653304635908</v>
      </c>
      <c r="AU18" s="306">
        <v>99.974626137137506</v>
      </c>
      <c r="AV18" s="307">
        <f t="shared" si="1"/>
        <v>100.64682576722988</v>
      </c>
      <c r="AW18" s="305"/>
      <c r="AX18" s="308">
        <f t="shared" si="0"/>
        <v>99.973165832794365</v>
      </c>
    </row>
    <row r="19" spans="1:50" x14ac:dyDescent="0.25">
      <c r="A19" s="303" t="s">
        <v>177</v>
      </c>
      <c r="B19" s="304">
        <v>113.8466</v>
      </c>
      <c r="C19" s="304">
        <v>0</v>
      </c>
      <c r="D19" s="305">
        <v>0</v>
      </c>
      <c r="E19" s="305">
        <v>0</v>
      </c>
      <c r="F19" s="305">
        <v>0</v>
      </c>
      <c r="G19" s="304">
        <v>5037.3303999999998</v>
      </c>
      <c r="H19" s="304">
        <v>4931.8980000000001</v>
      </c>
      <c r="I19" s="305">
        <v>0</v>
      </c>
      <c r="J19" s="305">
        <v>0</v>
      </c>
      <c r="K19" s="305">
        <v>4931.8980000000001</v>
      </c>
      <c r="L19" s="304">
        <v>4923.4838</v>
      </c>
      <c r="M19" s="304">
        <v>4931.8980000000001</v>
      </c>
      <c r="N19" s="304">
        <v>271989.69349999999</v>
      </c>
      <c r="O19" s="304">
        <v>257978.83100000001</v>
      </c>
      <c r="P19" s="305">
        <v>24833.212899999999</v>
      </c>
      <c r="Q19" s="305">
        <v>0</v>
      </c>
      <c r="R19" s="305">
        <v>233145.61809999999</v>
      </c>
      <c r="S19" s="304">
        <v>269859.6887</v>
      </c>
      <c r="T19" s="304">
        <v>256303.64490000001</v>
      </c>
      <c r="U19" s="305">
        <v>24162.551500000001</v>
      </c>
      <c r="V19" s="305">
        <v>0</v>
      </c>
      <c r="W19" s="305">
        <v>232141.09340000001</v>
      </c>
      <c r="X19" s="304">
        <v>99.216880326386345</v>
      </c>
      <c r="Y19" s="304">
        <v>99.350649782578486</v>
      </c>
      <c r="Z19" s="304">
        <v>264936.20490000001</v>
      </c>
      <c r="AA19" s="304">
        <v>251371.7469</v>
      </c>
      <c r="AB19" s="305">
        <v>24162.551500000001</v>
      </c>
      <c r="AC19" s="305">
        <v>0</v>
      </c>
      <c r="AD19" s="305">
        <v>227209.1954</v>
      </c>
      <c r="AE19" s="304">
        <v>97.406707397903673</v>
      </c>
      <c r="AF19" s="304">
        <v>97.438904551048225</v>
      </c>
      <c r="AG19" s="305">
        <v>97.299336969804671</v>
      </c>
      <c r="AH19" s="305"/>
      <c r="AI19" s="305">
        <v>97.453770416798577</v>
      </c>
      <c r="AJ19" s="304">
        <v>141815.98049999998</v>
      </c>
      <c r="AK19" s="304">
        <v>141377.39929999999</v>
      </c>
      <c r="AL19" s="305">
        <v>241.89400000000001</v>
      </c>
      <c r="AM19" s="305">
        <v>0</v>
      </c>
      <c r="AN19" s="305">
        <v>141135.50529999999</v>
      </c>
      <c r="AO19" s="304">
        <v>140043.56230000002</v>
      </c>
      <c r="AP19" s="304">
        <v>139829.89670000001</v>
      </c>
      <c r="AQ19" s="305">
        <v>241.89400000000001</v>
      </c>
      <c r="AR19" s="305">
        <v>0</v>
      </c>
      <c r="AS19" s="305">
        <v>139588.00270000001</v>
      </c>
      <c r="AT19" s="304">
        <v>98.750198536334935</v>
      </c>
      <c r="AU19" s="306">
        <v>98.905410194513337</v>
      </c>
      <c r="AV19" s="307">
        <f t="shared" si="1"/>
        <v>100</v>
      </c>
      <c r="AW19" s="305"/>
      <c r="AX19" s="308">
        <f t="shared" si="0"/>
        <v>98.903534162639943</v>
      </c>
    </row>
    <row r="20" spans="1:50" x14ac:dyDescent="0.25">
      <c r="A20" s="303" t="s">
        <v>178</v>
      </c>
      <c r="B20" s="304">
        <v>797.07429999999999</v>
      </c>
      <c r="C20" s="304">
        <v>573.29399999999998</v>
      </c>
      <c r="D20" s="305">
        <v>310.02409999999998</v>
      </c>
      <c r="E20" s="305">
        <v>0</v>
      </c>
      <c r="F20" s="305">
        <v>263.26990000000001</v>
      </c>
      <c r="G20" s="304">
        <v>368.36199999999997</v>
      </c>
      <c r="H20" s="304">
        <v>222.29640000000001</v>
      </c>
      <c r="I20" s="305">
        <v>41.9664</v>
      </c>
      <c r="J20" s="305">
        <v>0</v>
      </c>
      <c r="K20" s="305">
        <v>180.33</v>
      </c>
      <c r="L20" s="304">
        <v>-428.71230000000003</v>
      </c>
      <c r="M20" s="304">
        <v>-350.99759999999998</v>
      </c>
      <c r="N20" s="304">
        <v>354385.69809999998</v>
      </c>
      <c r="O20" s="304">
        <v>332864.35460000002</v>
      </c>
      <c r="P20" s="305">
        <v>31509.130300000001</v>
      </c>
      <c r="Q20" s="305">
        <v>0</v>
      </c>
      <c r="R20" s="305">
        <v>301355.2243</v>
      </c>
      <c r="S20" s="304">
        <v>353515.49350000004</v>
      </c>
      <c r="T20" s="304">
        <v>332372.52020000003</v>
      </c>
      <c r="U20" s="305">
        <v>31039.408299999999</v>
      </c>
      <c r="V20" s="305">
        <v>0</v>
      </c>
      <c r="W20" s="305">
        <v>301333.11190000002</v>
      </c>
      <c r="X20" s="304">
        <v>99.754447031958264</v>
      </c>
      <c r="Y20" s="304">
        <v>99.852241793630611</v>
      </c>
      <c r="Z20" s="304">
        <v>353944.20789999998</v>
      </c>
      <c r="AA20" s="304">
        <v>332723.51990000001</v>
      </c>
      <c r="AB20" s="305">
        <v>31307.466</v>
      </c>
      <c r="AC20" s="305">
        <v>0</v>
      </c>
      <c r="AD20" s="305">
        <v>301416.0539</v>
      </c>
      <c r="AE20" s="304">
        <v>99.747856542147943</v>
      </c>
      <c r="AF20" s="304">
        <v>99.839823233626575</v>
      </c>
      <c r="AG20" s="305">
        <v>98.391885612145614</v>
      </c>
      <c r="AH20" s="305"/>
      <c r="AI20" s="305">
        <v>99.992664366204394</v>
      </c>
      <c r="AJ20" s="304">
        <v>189732.7151</v>
      </c>
      <c r="AK20" s="304">
        <v>187646.5105</v>
      </c>
      <c r="AL20" s="305">
        <v>507.27839999999998</v>
      </c>
      <c r="AM20" s="305">
        <v>0</v>
      </c>
      <c r="AN20" s="305">
        <v>187139.23209999999</v>
      </c>
      <c r="AO20" s="304">
        <v>189725.5208</v>
      </c>
      <c r="AP20" s="304">
        <v>187644.87290000002</v>
      </c>
      <c r="AQ20" s="305">
        <v>507.27839999999998</v>
      </c>
      <c r="AR20" s="305">
        <v>0</v>
      </c>
      <c r="AS20" s="305">
        <v>187137.59450000001</v>
      </c>
      <c r="AT20" s="304">
        <v>99.996208192142191</v>
      </c>
      <c r="AU20" s="306">
        <v>99.999127295255519</v>
      </c>
      <c r="AV20" s="307">
        <f t="shared" si="1"/>
        <v>100</v>
      </c>
      <c r="AW20" s="305"/>
      <c r="AX20" s="308">
        <f t="shared" si="0"/>
        <v>99.999124929614368</v>
      </c>
    </row>
    <row r="21" spans="1:50" x14ac:dyDescent="0.25">
      <c r="A21" s="303" t="s">
        <v>179</v>
      </c>
      <c r="B21" s="304">
        <v>693.41150000000005</v>
      </c>
      <c r="C21" s="304">
        <v>150</v>
      </c>
      <c r="D21" s="305">
        <v>0</v>
      </c>
      <c r="E21" s="305">
        <v>150</v>
      </c>
      <c r="F21" s="305">
        <v>0</v>
      </c>
      <c r="G21" s="304">
        <v>737.91139999999996</v>
      </c>
      <c r="H21" s="304">
        <v>0</v>
      </c>
      <c r="I21" s="305">
        <v>0</v>
      </c>
      <c r="J21" s="305">
        <v>0</v>
      </c>
      <c r="K21" s="305">
        <v>0</v>
      </c>
      <c r="L21" s="304">
        <v>44.499899999999911</v>
      </c>
      <c r="M21" s="304">
        <v>-150</v>
      </c>
      <c r="N21" s="304">
        <v>575419.34490000003</v>
      </c>
      <c r="O21" s="304">
        <v>526296.46120000002</v>
      </c>
      <c r="P21" s="305">
        <v>34979.929900000003</v>
      </c>
      <c r="Q21" s="305">
        <v>262.34480000000002</v>
      </c>
      <c r="R21" s="305">
        <v>491054.18650000001</v>
      </c>
      <c r="S21" s="304">
        <v>574167.44259999995</v>
      </c>
      <c r="T21" s="304">
        <v>525482.70160000003</v>
      </c>
      <c r="U21" s="305">
        <v>34662.049700000003</v>
      </c>
      <c r="V21" s="305">
        <v>262.34480000000002</v>
      </c>
      <c r="W21" s="305">
        <v>490558.30709999998</v>
      </c>
      <c r="X21" s="304">
        <v>99.782436528925246</v>
      </c>
      <c r="Y21" s="304">
        <v>99.845379997778338</v>
      </c>
      <c r="Z21" s="304">
        <v>573972.94290000002</v>
      </c>
      <c r="AA21" s="304">
        <v>525482.70160000003</v>
      </c>
      <c r="AB21" s="305">
        <v>34662.049700000003</v>
      </c>
      <c r="AC21" s="305">
        <v>262.34480000000002</v>
      </c>
      <c r="AD21" s="305">
        <v>490558.30709999998</v>
      </c>
      <c r="AE21" s="304">
        <v>99.654523911912008</v>
      </c>
      <c r="AF21" s="304">
        <v>99.845379997778338</v>
      </c>
      <c r="AG21" s="305">
        <v>99.091249751189466</v>
      </c>
      <c r="AH21" s="305">
        <v>100</v>
      </c>
      <c r="AI21" s="305">
        <v>99.899017376568068</v>
      </c>
      <c r="AJ21" s="304">
        <v>310705.73440000002</v>
      </c>
      <c r="AK21" s="304">
        <v>309012.71120000002</v>
      </c>
      <c r="AL21" s="305">
        <v>162.6103</v>
      </c>
      <c r="AM21" s="305">
        <v>0</v>
      </c>
      <c r="AN21" s="305">
        <v>308850.10090000002</v>
      </c>
      <c r="AO21" s="304">
        <v>310468.4607</v>
      </c>
      <c r="AP21" s="304">
        <v>308775.4375</v>
      </c>
      <c r="AQ21" s="305">
        <v>162.6103</v>
      </c>
      <c r="AR21" s="305">
        <v>0</v>
      </c>
      <c r="AS21" s="305">
        <v>308612.8272</v>
      </c>
      <c r="AT21" s="304">
        <v>99.923633948868627</v>
      </c>
      <c r="AU21" s="306">
        <v>99.923215553470726</v>
      </c>
      <c r="AV21" s="307">
        <f t="shared" si="1"/>
        <v>100</v>
      </c>
      <c r="AW21" s="305"/>
      <c r="AX21" s="308">
        <f t="shared" si="0"/>
        <v>99.923175126280171</v>
      </c>
    </row>
    <row r="22" spans="1:50" x14ac:dyDescent="0.25">
      <c r="A22" s="303" t="s">
        <v>180</v>
      </c>
      <c r="B22" s="304">
        <v>10176.752399999999</v>
      </c>
      <c r="C22" s="304">
        <v>9986.5746999999992</v>
      </c>
      <c r="D22" s="305">
        <v>217.2809</v>
      </c>
      <c r="E22" s="305">
        <v>0</v>
      </c>
      <c r="F22" s="305">
        <v>9769.2937999999995</v>
      </c>
      <c r="G22" s="304">
        <v>11774.867099999999</v>
      </c>
      <c r="H22" s="304">
        <v>11238.8812</v>
      </c>
      <c r="I22" s="305">
        <v>361.96530000000001</v>
      </c>
      <c r="J22" s="305">
        <v>0</v>
      </c>
      <c r="K22" s="305">
        <v>10876.9159</v>
      </c>
      <c r="L22" s="304">
        <v>1598.1147000000001</v>
      </c>
      <c r="M22" s="304">
        <v>1252.3065000000006</v>
      </c>
      <c r="N22" s="304">
        <v>622061.88549999997</v>
      </c>
      <c r="O22" s="304">
        <v>575016.08539999998</v>
      </c>
      <c r="P22" s="305">
        <v>39107.837699999996</v>
      </c>
      <c r="Q22" s="305">
        <v>0</v>
      </c>
      <c r="R22" s="305">
        <v>535908.24769999995</v>
      </c>
      <c r="S22" s="304">
        <v>621308.45939999993</v>
      </c>
      <c r="T22" s="304">
        <v>574321.36190000002</v>
      </c>
      <c r="U22" s="305">
        <v>38737.843999999997</v>
      </c>
      <c r="V22" s="305">
        <v>0</v>
      </c>
      <c r="W22" s="305">
        <v>535583.51789999998</v>
      </c>
      <c r="X22" s="304">
        <v>99.878882452443705</v>
      </c>
      <c r="Y22" s="304">
        <v>99.879181901578164</v>
      </c>
      <c r="Z22" s="304">
        <v>619710.34470000002</v>
      </c>
      <c r="AA22" s="304">
        <v>573069.05540000007</v>
      </c>
      <c r="AB22" s="305">
        <v>38593.159599999999</v>
      </c>
      <c r="AC22" s="305">
        <v>0</v>
      </c>
      <c r="AD22" s="305">
        <v>534475.89580000006</v>
      </c>
      <c r="AE22" s="304">
        <v>98.018423353306417</v>
      </c>
      <c r="AF22" s="304">
        <v>97.960076848546265</v>
      </c>
      <c r="AG22" s="305">
        <v>98.138698556906576</v>
      </c>
      <c r="AH22" s="305"/>
      <c r="AI22" s="305">
        <v>97.947204191470291</v>
      </c>
      <c r="AJ22" s="304">
        <v>357781.49729999999</v>
      </c>
      <c r="AK22" s="304">
        <v>350125.7463</v>
      </c>
      <c r="AL22" s="305">
        <v>210.66159999999999</v>
      </c>
      <c r="AM22" s="305">
        <v>0</v>
      </c>
      <c r="AN22" s="305">
        <v>349915.08470000001</v>
      </c>
      <c r="AO22" s="304">
        <v>352917.473</v>
      </c>
      <c r="AP22" s="304">
        <v>345354.67019999999</v>
      </c>
      <c r="AQ22" s="305">
        <v>210.66159999999999</v>
      </c>
      <c r="AR22" s="305">
        <v>0</v>
      </c>
      <c r="AS22" s="305">
        <v>345144.0086</v>
      </c>
      <c r="AT22" s="304">
        <v>98.640504236047306</v>
      </c>
      <c r="AU22" s="306">
        <v>98.637324975264178</v>
      </c>
      <c r="AV22" s="307">
        <f t="shared" si="1"/>
        <v>100</v>
      </c>
      <c r="AW22" s="305"/>
      <c r="AX22" s="308">
        <f t="shared" si="0"/>
        <v>98.636504595367626</v>
      </c>
    </row>
    <row r="23" spans="1:50" x14ac:dyDescent="0.25">
      <c r="A23" s="303" t="s">
        <v>181</v>
      </c>
      <c r="B23" s="304">
        <v>5570.4287000000004</v>
      </c>
      <c r="C23" s="304">
        <v>3616.0389</v>
      </c>
      <c r="D23" s="305">
        <v>513.54520000000002</v>
      </c>
      <c r="E23" s="305">
        <v>0</v>
      </c>
      <c r="F23" s="305">
        <v>3102.4937</v>
      </c>
      <c r="G23" s="304">
        <v>9869.9642999999996</v>
      </c>
      <c r="H23" s="304">
        <v>6094.3498</v>
      </c>
      <c r="I23" s="305">
        <v>1912.2762</v>
      </c>
      <c r="J23" s="305">
        <v>0</v>
      </c>
      <c r="K23" s="305">
        <v>4182.0735999999997</v>
      </c>
      <c r="L23" s="304">
        <v>4299.5355999999992</v>
      </c>
      <c r="M23" s="304">
        <v>2478.3108999999999</v>
      </c>
      <c r="N23" s="304">
        <v>886568.40879999998</v>
      </c>
      <c r="O23" s="304">
        <v>837610.50349999999</v>
      </c>
      <c r="P23" s="305">
        <v>72068.162800000006</v>
      </c>
      <c r="Q23" s="305">
        <v>0</v>
      </c>
      <c r="R23" s="305">
        <v>765542.34069999994</v>
      </c>
      <c r="S23" s="304">
        <v>883564.99780000001</v>
      </c>
      <c r="T23" s="304">
        <v>834767.34460000007</v>
      </c>
      <c r="U23" s="305">
        <v>70452.987299999993</v>
      </c>
      <c r="V23" s="305">
        <v>0</v>
      </c>
      <c r="W23" s="305">
        <v>764314.35730000003</v>
      </c>
      <c r="X23" s="304">
        <v>99.661231894776719</v>
      </c>
      <c r="Y23" s="304">
        <v>99.660563127119389</v>
      </c>
      <c r="Z23" s="304">
        <v>879265.46219999995</v>
      </c>
      <c r="AA23" s="304">
        <v>832289.03370000003</v>
      </c>
      <c r="AB23" s="305">
        <v>69054.256299999994</v>
      </c>
      <c r="AC23" s="305">
        <v>0</v>
      </c>
      <c r="AD23" s="305">
        <v>763234.77740000002</v>
      </c>
      <c r="AE23" s="304">
        <v>98.570096021654322</v>
      </c>
      <c r="AF23" s="304">
        <v>98.93756220833194</v>
      </c>
      <c r="AG23" s="305">
        <v>95.140026602845978</v>
      </c>
      <c r="AH23" s="305"/>
      <c r="AI23" s="305">
        <v>99.29615646162209</v>
      </c>
      <c r="AJ23" s="304">
        <v>475858.4032</v>
      </c>
      <c r="AK23" s="304">
        <v>475655.64309999999</v>
      </c>
      <c r="AL23" s="305">
        <v>578.65660000000003</v>
      </c>
      <c r="AM23" s="305">
        <v>0</v>
      </c>
      <c r="AN23" s="305">
        <v>475076.9865</v>
      </c>
      <c r="AO23" s="304">
        <v>474114.66629999998</v>
      </c>
      <c r="AP23" s="304">
        <v>473911.90619999997</v>
      </c>
      <c r="AQ23" s="305">
        <v>578.65660000000003</v>
      </c>
      <c r="AR23" s="305">
        <v>0</v>
      </c>
      <c r="AS23" s="305">
        <v>473333.24959999998</v>
      </c>
      <c r="AT23" s="304">
        <v>99.633559712663697</v>
      </c>
      <c r="AU23" s="306">
        <v>99.633403508337352</v>
      </c>
      <c r="AV23" s="307">
        <f t="shared" si="1"/>
        <v>100</v>
      </c>
      <c r="AW23" s="305"/>
      <c r="AX23" s="308">
        <f t="shared" si="0"/>
        <v>99.632956983909793</v>
      </c>
    </row>
    <row r="24" spans="1:50" x14ac:dyDescent="0.25">
      <c r="A24" s="303" t="s">
        <v>182</v>
      </c>
      <c r="B24" s="304">
        <v>59034.278399999996</v>
      </c>
      <c r="C24" s="304">
        <v>58418.242599999998</v>
      </c>
      <c r="D24" s="305">
        <v>0</v>
      </c>
      <c r="E24" s="305">
        <v>0</v>
      </c>
      <c r="F24" s="305">
        <v>58418.242599999998</v>
      </c>
      <c r="G24" s="304">
        <v>37837.633800000003</v>
      </c>
      <c r="H24" s="304">
        <v>36633.460200000001</v>
      </c>
      <c r="I24" s="305">
        <v>0</v>
      </c>
      <c r="J24" s="305">
        <v>0</v>
      </c>
      <c r="K24" s="305">
        <v>36633.460200000001</v>
      </c>
      <c r="L24" s="304">
        <v>-21196.644599999992</v>
      </c>
      <c r="M24" s="304">
        <v>-21784.782399999996</v>
      </c>
      <c r="N24" s="304">
        <v>870283.00679999997</v>
      </c>
      <c r="O24" s="304">
        <v>794346.43039999995</v>
      </c>
      <c r="P24" s="305">
        <v>68893.3652</v>
      </c>
      <c r="Q24" s="305">
        <v>0</v>
      </c>
      <c r="R24" s="305">
        <v>725453.06519999995</v>
      </c>
      <c r="S24" s="304">
        <v>809833.04630000005</v>
      </c>
      <c r="T24" s="304">
        <v>734501.34080000001</v>
      </c>
      <c r="U24" s="305">
        <v>68893.3652</v>
      </c>
      <c r="V24" s="305">
        <v>0</v>
      </c>
      <c r="W24" s="305">
        <v>665607.97560000001</v>
      </c>
      <c r="X24" s="239">
        <v>93.053988182272775</v>
      </c>
      <c r="Y24" s="239">
        <v>92.466122171674598</v>
      </c>
      <c r="Z24" s="304">
        <v>831029.69100000011</v>
      </c>
      <c r="AA24" s="304">
        <v>756286.12320000003</v>
      </c>
      <c r="AB24" s="305">
        <v>68893.3652</v>
      </c>
      <c r="AC24" s="305">
        <v>0</v>
      </c>
      <c r="AD24" s="305">
        <v>687392.75800000003</v>
      </c>
      <c r="AE24" s="239">
        <v>95.489591834691467</v>
      </c>
      <c r="AF24" s="239">
        <v>95.208600965093495</v>
      </c>
      <c r="AG24" s="305">
        <v>99.999999999999986</v>
      </c>
      <c r="AH24" s="305"/>
      <c r="AI24" s="305">
        <v>94.753581034286881</v>
      </c>
      <c r="AJ24" s="304">
        <v>444962.75</v>
      </c>
      <c r="AK24" s="304">
        <v>439753.60239999997</v>
      </c>
      <c r="AL24" s="305">
        <v>0</v>
      </c>
      <c r="AM24" s="305">
        <v>0</v>
      </c>
      <c r="AN24" s="305">
        <v>439753.60239999997</v>
      </c>
      <c r="AO24" s="304">
        <v>444654.43480000005</v>
      </c>
      <c r="AP24" s="304">
        <v>439740.78720000002</v>
      </c>
      <c r="AQ24" s="305">
        <v>0</v>
      </c>
      <c r="AR24" s="305">
        <v>0</v>
      </c>
      <c r="AS24" s="305">
        <v>439740.78720000002</v>
      </c>
      <c r="AT24" s="304">
        <v>99.930709885265699</v>
      </c>
      <c r="AU24" s="306">
        <v>99.997085822622026</v>
      </c>
      <c r="AV24" s="307"/>
      <c r="AW24" s="305"/>
      <c r="AX24" s="308">
        <f t="shared" si="0"/>
        <v>99.997085822622026</v>
      </c>
    </row>
    <row r="25" spans="1:50" x14ac:dyDescent="0.25">
      <c r="A25" s="303" t="s">
        <v>183</v>
      </c>
      <c r="B25" s="304">
        <v>9117.7430999999997</v>
      </c>
      <c r="C25" s="304">
        <v>7601.4784999999993</v>
      </c>
      <c r="D25" s="305">
        <v>6064.8545999999997</v>
      </c>
      <c r="E25" s="305">
        <v>0</v>
      </c>
      <c r="F25" s="305">
        <v>1536.6239</v>
      </c>
      <c r="G25" s="304">
        <v>8927.3113000000012</v>
      </c>
      <c r="H25" s="304">
        <v>6802.6855999999998</v>
      </c>
      <c r="I25" s="305">
        <v>4278.241</v>
      </c>
      <c r="J25" s="305">
        <v>0</v>
      </c>
      <c r="K25" s="305">
        <v>2524.4445999999998</v>
      </c>
      <c r="L25" s="304">
        <v>-190.43179999999847</v>
      </c>
      <c r="M25" s="304">
        <v>-798.79289999999946</v>
      </c>
      <c r="N25" s="304">
        <v>731580.24379999994</v>
      </c>
      <c r="O25" s="304">
        <v>670872.48099999991</v>
      </c>
      <c r="P25" s="305">
        <v>83009.008400000006</v>
      </c>
      <c r="Q25" s="305">
        <v>1756.8153</v>
      </c>
      <c r="R25" s="305">
        <v>586106.65729999996</v>
      </c>
      <c r="S25" s="304">
        <v>730538.64009999996</v>
      </c>
      <c r="T25" s="304">
        <v>670673.27630000003</v>
      </c>
      <c r="U25" s="305">
        <v>83009.008400000006</v>
      </c>
      <c r="V25" s="305">
        <v>1756.8153</v>
      </c>
      <c r="W25" s="305">
        <v>585907.45259999996</v>
      </c>
      <c r="X25" s="304">
        <v>99.857622768134135</v>
      </c>
      <c r="Y25" s="304">
        <v>99.970306622250632</v>
      </c>
      <c r="Z25" s="304">
        <v>729157.40659999999</v>
      </c>
      <c r="AA25" s="304">
        <v>670232.4952</v>
      </c>
      <c r="AB25" s="305">
        <v>83606.093699999998</v>
      </c>
      <c r="AC25" s="305">
        <v>1756.8153</v>
      </c>
      <c r="AD25" s="305">
        <v>584869.58620000002</v>
      </c>
      <c r="AE25" s="304">
        <v>98.606925942428745</v>
      </c>
      <c r="AF25" s="304">
        <v>98.966105332075799</v>
      </c>
      <c r="AG25" s="305">
        <v>95.131964166910805</v>
      </c>
      <c r="AH25" s="305">
        <v>100</v>
      </c>
      <c r="AI25" s="305">
        <v>99.536473680184159</v>
      </c>
      <c r="AJ25" s="304">
        <v>341279.8897</v>
      </c>
      <c r="AK25" s="304">
        <v>337484.1128</v>
      </c>
      <c r="AL25" s="305">
        <v>956.56600000000003</v>
      </c>
      <c r="AM25" s="305">
        <v>0</v>
      </c>
      <c r="AN25" s="305">
        <v>336527.54680000001</v>
      </c>
      <c r="AO25" s="304">
        <v>339412.91680000001</v>
      </c>
      <c r="AP25" s="304">
        <v>336279.32929999998</v>
      </c>
      <c r="AQ25" s="305">
        <v>956.56600000000003</v>
      </c>
      <c r="AR25" s="305">
        <v>0</v>
      </c>
      <c r="AS25" s="305">
        <v>335322.76329999999</v>
      </c>
      <c r="AT25" s="304">
        <v>99.45294962980644</v>
      </c>
      <c r="AU25" s="306">
        <v>99.643010306469151</v>
      </c>
      <c r="AV25" s="307">
        <f t="shared" si="1"/>
        <v>99.999999999999986</v>
      </c>
      <c r="AW25" s="305"/>
      <c r="AX25" s="308">
        <f t="shared" si="0"/>
        <v>99.641995577641069</v>
      </c>
    </row>
    <row r="26" spans="1:50" x14ac:dyDescent="0.25">
      <c r="A26" s="303" t="s">
        <v>184</v>
      </c>
      <c r="B26" s="304">
        <v>1313.6184000000001</v>
      </c>
      <c r="C26" s="304">
        <v>0</v>
      </c>
      <c r="D26" s="305">
        <v>0</v>
      </c>
      <c r="E26" s="305">
        <v>0</v>
      </c>
      <c r="F26" s="305">
        <v>0</v>
      </c>
      <c r="G26" s="304">
        <v>3332.9105</v>
      </c>
      <c r="H26" s="304">
        <v>2330.0974999999999</v>
      </c>
      <c r="I26" s="305">
        <v>1982.8622</v>
      </c>
      <c r="J26" s="305">
        <v>0</v>
      </c>
      <c r="K26" s="305">
        <v>347.2353</v>
      </c>
      <c r="L26" s="304">
        <v>2019.2920999999999</v>
      </c>
      <c r="M26" s="304">
        <v>2330.0974999999999</v>
      </c>
      <c r="N26" s="304">
        <v>885892.29089999991</v>
      </c>
      <c r="O26" s="304">
        <v>808141.28469999996</v>
      </c>
      <c r="P26" s="305">
        <v>81572.378700000001</v>
      </c>
      <c r="Q26" s="305">
        <v>0</v>
      </c>
      <c r="R26" s="305">
        <v>726568.90599999996</v>
      </c>
      <c r="S26" s="304">
        <v>876577.76439999999</v>
      </c>
      <c r="T26" s="304">
        <v>808141.28469999996</v>
      </c>
      <c r="U26" s="305">
        <v>81572.378700000001</v>
      </c>
      <c r="V26" s="305">
        <v>0</v>
      </c>
      <c r="W26" s="305">
        <v>726568.90599999996</v>
      </c>
      <c r="X26" s="304">
        <v>98.948571220713859</v>
      </c>
      <c r="Y26" s="304">
        <v>100</v>
      </c>
      <c r="Z26" s="304">
        <v>874558.47240000009</v>
      </c>
      <c r="AA26" s="304">
        <v>805811.18720000004</v>
      </c>
      <c r="AB26" s="305">
        <v>79589.516499999998</v>
      </c>
      <c r="AC26" s="305">
        <v>0</v>
      </c>
      <c r="AD26" s="305">
        <v>726221.67070000002</v>
      </c>
      <c r="AE26" s="304">
        <v>98.623451579461374</v>
      </c>
      <c r="AF26" s="304">
        <v>99.711672012788597</v>
      </c>
      <c r="AG26" s="305">
        <v>97.569198996522573</v>
      </c>
      <c r="AH26" s="305"/>
      <c r="AI26" s="305">
        <v>99.952208896206201</v>
      </c>
      <c r="AJ26" s="304">
        <v>460973.78940000001</v>
      </c>
      <c r="AK26" s="304">
        <v>457950.38810000004</v>
      </c>
      <c r="AL26" s="305">
        <v>675.29960000000005</v>
      </c>
      <c r="AM26" s="305">
        <v>0</v>
      </c>
      <c r="AN26" s="305">
        <v>457275.08850000001</v>
      </c>
      <c r="AO26" s="304">
        <v>460679.17240000004</v>
      </c>
      <c r="AP26" s="304">
        <v>457950.38810000004</v>
      </c>
      <c r="AQ26" s="305">
        <v>675.29960000000005</v>
      </c>
      <c r="AR26" s="305">
        <v>0</v>
      </c>
      <c r="AS26" s="305">
        <v>457275.08850000001</v>
      </c>
      <c r="AT26" s="304">
        <v>99.936088123278452</v>
      </c>
      <c r="AU26" s="306">
        <v>100</v>
      </c>
      <c r="AV26" s="307">
        <f t="shared" ref="AV26:AV38" si="2">AQ26/AL26%</f>
        <v>100</v>
      </c>
      <c r="AW26" s="305"/>
      <c r="AX26" s="308">
        <f t="shared" si="0"/>
        <v>100</v>
      </c>
    </row>
    <row r="27" spans="1:50" x14ac:dyDescent="0.25">
      <c r="A27" s="303" t="s">
        <v>185</v>
      </c>
      <c r="B27" s="304">
        <v>3422.1531</v>
      </c>
      <c r="C27" s="304">
        <v>0</v>
      </c>
      <c r="D27" s="305">
        <v>0</v>
      </c>
      <c r="E27" s="305">
        <v>0</v>
      </c>
      <c r="F27" s="305">
        <v>0</v>
      </c>
      <c r="G27" s="304">
        <v>3845.2368999999999</v>
      </c>
      <c r="H27" s="304">
        <v>0</v>
      </c>
      <c r="I27" s="305">
        <v>0</v>
      </c>
      <c r="J27" s="305">
        <v>0</v>
      </c>
      <c r="K27" s="305">
        <v>0</v>
      </c>
      <c r="L27" s="304">
        <v>423.08379999999988</v>
      </c>
      <c r="M27" s="304">
        <v>0</v>
      </c>
      <c r="N27" s="304">
        <v>618403.62910000002</v>
      </c>
      <c r="O27" s="304">
        <v>584508.37219999998</v>
      </c>
      <c r="P27" s="305">
        <v>44167.101699999999</v>
      </c>
      <c r="Q27" s="305">
        <v>0</v>
      </c>
      <c r="R27" s="305">
        <v>540341.27049999998</v>
      </c>
      <c r="S27" s="304">
        <v>617340.13749999995</v>
      </c>
      <c r="T27" s="304">
        <v>584508.37219999998</v>
      </c>
      <c r="U27" s="305">
        <v>44167.101699999999</v>
      </c>
      <c r="V27" s="305">
        <v>0</v>
      </c>
      <c r="W27" s="305">
        <v>540341.27049999998</v>
      </c>
      <c r="X27" s="304">
        <v>99.828026300306831</v>
      </c>
      <c r="Y27" s="304">
        <v>100.00000000000001</v>
      </c>
      <c r="Z27" s="304">
        <v>616917.05370000005</v>
      </c>
      <c r="AA27" s="304">
        <v>584508.37219999998</v>
      </c>
      <c r="AB27" s="305">
        <v>44167.101699999999</v>
      </c>
      <c r="AC27" s="305">
        <v>0</v>
      </c>
      <c r="AD27" s="305">
        <v>540341.27049999998</v>
      </c>
      <c r="AE27" s="304">
        <v>99.759610822115732</v>
      </c>
      <c r="AF27" s="304">
        <v>100.00000000000001</v>
      </c>
      <c r="AG27" s="305">
        <v>100</v>
      </c>
      <c r="AH27" s="305"/>
      <c r="AI27" s="305">
        <v>100</v>
      </c>
      <c r="AJ27" s="304">
        <v>336956.05819999997</v>
      </c>
      <c r="AK27" s="304">
        <v>336775.09629999998</v>
      </c>
      <c r="AL27" s="305">
        <v>0</v>
      </c>
      <c r="AM27" s="305">
        <v>0</v>
      </c>
      <c r="AN27" s="305">
        <v>336775.09629999998</v>
      </c>
      <c r="AO27" s="304">
        <v>336955.85819999996</v>
      </c>
      <c r="AP27" s="304">
        <v>336775.09629999998</v>
      </c>
      <c r="AQ27" s="305">
        <v>0</v>
      </c>
      <c r="AR27" s="305">
        <v>0</v>
      </c>
      <c r="AS27" s="305">
        <v>336775.09629999998</v>
      </c>
      <c r="AT27" s="304">
        <v>99.999940645079633</v>
      </c>
      <c r="AU27" s="306">
        <v>100</v>
      </c>
      <c r="AV27" s="307"/>
      <c r="AW27" s="305"/>
      <c r="AX27" s="308">
        <f t="shared" si="0"/>
        <v>100</v>
      </c>
    </row>
    <row r="28" spans="1:50" x14ac:dyDescent="0.25">
      <c r="A28" s="303" t="s">
        <v>186</v>
      </c>
      <c r="B28" s="304">
        <v>10252.381800000001</v>
      </c>
      <c r="C28" s="304">
        <v>10230.975200000001</v>
      </c>
      <c r="D28" s="305">
        <v>479.5985</v>
      </c>
      <c r="E28" s="305">
        <v>0</v>
      </c>
      <c r="F28" s="305">
        <v>9751.3767000000007</v>
      </c>
      <c r="G28" s="304">
        <v>13474.072</v>
      </c>
      <c r="H28" s="304">
        <v>13442.229899999998</v>
      </c>
      <c r="I28" s="305">
        <v>1024.4646</v>
      </c>
      <c r="J28" s="305">
        <v>0</v>
      </c>
      <c r="K28" s="305">
        <v>12417.765299999999</v>
      </c>
      <c r="L28" s="304">
        <v>3221.6901999999991</v>
      </c>
      <c r="M28" s="304">
        <v>3211.2546999999977</v>
      </c>
      <c r="N28" s="304">
        <v>321770.73389999999</v>
      </c>
      <c r="O28" s="304">
        <v>302591.01459999999</v>
      </c>
      <c r="P28" s="305">
        <v>19216.1646</v>
      </c>
      <c r="Q28" s="305">
        <v>0</v>
      </c>
      <c r="R28" s="305">
        <v>283374.84999999998</v>
      </c>
      <c r="S28" s="304">
        <v>321419.15139999997</v>
      </c>
      <c r="T28" s="304">
        <v>302562.15509999997</v>
      </c>
      <c r="U28" s="305">
        <v>19187.305100000001</v>
      </c>
      <c r="V28" s="305">
        <v>0</v>
      </c>
      <c r="W28" s="305">
        <v>283374.84999999998</v>
      </c>
      <c r="X28" s="304">
        <v>99.890735090870848</v>
      </c>
      <c r="Y28" s="304">
        <v>99.990462539002294</v>
      </c>
      <c r="Z28" s="304">
        <v>318197.46119999996</v>
      </c>
      <c r="AA28" s="304">
        <v>299350.90039999998</v>
      </c>
      <c r="AB28" s="305">
        <v>18642.438999999998</v>
      </c>
      <c r="AC28" s="305">
        <v>0</v>
      </c>
      <c r="AD28" s="305">
        <v>280708.46139999997</v>
      </c>
      <c r="AE28" s="304">
        <v>95.835936131528797</v>
      </c>
      <c r="AF28" s="304">
        <v>95.693688444247059</v>
      </c>
      <c r="AG28" s="305">
        <v>94.652026482527958</v>
      </c>
      <c r="AH28" s="305"/>
      <c r="AI28" s="305">
        <v>95.763679886375712</v>
      </c>
      <c r="AJ28" s="304">
        <v>179855.1721</v>
      </c>
      <c r="AK28" s="304">
        <v>179664.97</v>
      </c>
      <c r="AL28" s="305">
        <v>0</v>
      </c>
      <c r="AM28" s="305">
        <v>0</v>
      </c>
      <c r="AN28" s="305">
        <v>179664.97</v>
      </c>
      <c r="AO28" s="304">
        <v>171745.3959</v>
      </c>
      <c r="AP28" s="304">
        <v>171582.53580000001</v>
      </c>
      <c r="AQ28" s="305">
        <v>0</v>
      </c>
      <c r="AR28" s="305">
        <v>0</v>
      </c>
      <c r="AS28" s="305">
        <v>171582.53580000001</v>
      </c>
      <c r="AT28" s="239">
        <v>95.490940791243446</v>
      </c>
      <c r="AU28" s="278">
        <v>95.501385606776893</v>
      </c>
      <c r="AV28" s="307"/>
      <c r="AW28" s="305"/>
      <c r="AX28" s="308">
        <f t="shared" si="0"/>
        <v>95.501385606776893</v>
      </c>
    </row>
    <row r="29" spans="1:50" x14ac:dyDescent="0.25">
      <c r="A29" s="303" t="s">
        <v>187</v>
      </c>
      <c r="B29" s="304">
        <v>203306.61739999999</v>
      </c>
      <c r="C29" s="304">
        <v>148813.09</v>
      </c>
      <c r="D29" s="305">
        <v>49572.845000000001</v>
      </c>
      <c r="E29" s="305">
        <v>0</v>
      </c>
      <c r="F29" s="305">
        <v>99240.244999999995</v>
      </c>
      <c r="G29" s="304">
        <v>127341.5582</v>
      </c>
      <c r="H29" s="304">
        <v>70732.543600000005</v>
      </c>
      <c r="I29" s="305">
        <v>11163.5754</v>
      </c>
      <c r="J29" s="305">
        <v>0</v>
      </c>
      <c r="K29" s="305">
        <v>59568.968200000003</v>
      </c>
      <c r="L29" s="304">
        <v>-75965.059199999989</v>
      </c>
      <c r="M29" s="304">
        <v>-78080.546399999992</v>
      </c>
      <c r="N29" s="304">
        <v>5381105.0063000005</v>
      </c>
      <c r="O29" s="304">
        <v>4714845.0775000006</v>
      </c>
      <c r="P29" s="305">
        <v>283333.97070000001</v>
      </c>
      <c r="Q29" s="305">
        <v>0</v>
      </c>
      <c r="R29" s="305">
        <v>4431511.1068000002</v>
      </c>
      <c r="S29" s="304">
        <v>5342440.0691</v>
      </c>
      <c r="T29" s="304">
        <v>4713025.6738999998</v>
      </c>
      <c r="U29" s="305">
        <v>282645.34999999998</v>
      </c>
      <c r="V29" s="305">
        <v>0</v>
      </c>
      <c r="W29" s="305">
        <v>4430380.3239000002</v>
      </c>
      <c r="X29" s="304">
        <v>99.281468450165292</v>
      </c>
      <c r="Y29" s="304">
        <v>99.961411168975985</v>
      </c>
      <c r="Z29" s="304">
        <v>5412691.9643999999</v>
      </c>
      <c r="AA29" s="304">
        <v>4785712.2684999993</v>
      </c>
      <c r="AB29" s="305">
        <v>316519.63890000002</v>
      </c>
      <c r="AC29" s="305">
        <v>0</v>
      </c>
      <c r="AD29" s="305">
        <v>4469192.6295999996</v>
      </c>
      <c r="AE29" s="304">
        <v>97.431503726522521</v>
      </c>
      <c r="AF29" s="304">
        <v>98.463255066477174</v>
      </c>
      <c r="AG29" s="305">
        <v>95.666783743152493</v>
      </c>
      <c r="AH29" s="305"/>
      <c r="AI29" s="305">
        <v>98.667520556031434</v>
      </c>
      <c r="AJ29" s="304">
        <v>3014810.0839</v>
      </c>
      <c r="AK29" s="304">
        <v>2927538.3317999998</v>
      </c>
      <c r="AL29" s="305">
        <v>8309.4801000000007</v>
      </c>
      <c r="AM29" s="305">
        <v>0</v>
      </c>
      <c r="AN29" s="305">
        <v>2919228.8517</v>
      </c>
      <c r="AO29" s="304">
        <v>2982593.7304000002</v>
      </c>
      <c r="AP29" s="304">
        <v>2900954.9124000003</v>
      </c>
      <c r="AQ29" s="305">
        <v>8261.0686999999998</v>
      </c>
      <c r="AR29" s="305">
        <v>0</v>
      </c>
      <c r="AS29" s="305">
        <v>2892693.8437000001</v>
      </c>
      <c r="AT29" s="304">
        <v>98.931396917104507</v>
      </c>
      <c r="AU29" s="306">
        <v>99.091953156983791</v>
      </c>
      <c r="AV29" s="307">
        <f t="shared" si="2"/>
        <v>99.417395560042308</v>
      </c>
      <c r="AW29" s="305"/>
      <c r="AX29" s="308">
        <f t="shared" si="0"/>
        <v>99.091026796869741</v>
      </c>
    </row>
    <row r="30" spans="1:50" x14ac:dyDescent="0.25">
      <c r="A30" s="303" t="s">
        <v>188</v>
      </c>
      <c r="B30" s="304">
        <v>19409.207999999999</v>
      </c>
      <c r="C30" s="304">
        <v>710.39679999999998</v>
      </c>
      <c r="D30" s="305">
        <v>618.91499999999996</v>
      </c>
      <c r="E30" s="305">
        <v>0</v>
      </c>
      <c r="F30" s="305">
        <v>91.481800000000007</v>
      </c>
      <c r="G30" s="304">
        <v>17865.5851</v>
      </c>
      <c r="H30" s="304">
        <v>278.40089999999998</v>
      </c>
      <c r="I30" s="305">
        <v>178.41659999999999</v>
      </c>
      <c r="J30" s="305">
        <v>0</v>
      </c>
      <c r="K30" s="305">
        <v>99.984300000000005</v>
      </c>
      <c r="L30" s="304">
        <v>-1543.6228999999985</v>
      </c>
      <c r="M30" s="304">
        <v>-431.99590000000001</v>
      </c>
      <c r="N30" s="304">
        <v>3776382.4270000001</v>
      </c>
      <c r="O30" s="304">
        <v>3356597.2916000001</v>
      </c>
      <c r="P30" s="305">
        <v>282384.84600000002</v>
      </c>
      <c r="Q30" s="305">
        <v>0</v>
      </c>
      <c r="R30" s="305">
        <v>3074212.4456000002</v>
      </c>
      <c r="S30" s="304">
        <v>3769877.1486</v>
      </c>
      <c r="T30" s="304">
        <v>3351573.3597999997</v>
      </c>
      <c r="U30" s="305">
        <v>279095.99349999998</v>
      </c>
      <c r="V30" s="305">
        <v>0</v>
      </c>
      <c r="W30" s="305">
        <v>3072477.3662999999</v>
      </c>
      <c r="X30" s="304">
        <v>99.827737827782229</v>
      </c>
      <c r="Y30" s="304">
        <v>99.850326644409421</v>
      </c>
      <c r="Z30" s="304">
        <v>3772544.8267000001</v>
      </c>
      <c r="AA30" s="304">
        <v>3351979.9408</v>
      </c>
      <c r="AB30" s="305">
        <v>279511.07699999999</v>
      </c>
      <c r="AC30" s="305">
        <v>0</v>
      </c>
      <c r="AD30" s="305">
        <v>3072468.8637999999</v>
      </c>
      <c r="AE30" s="304">
        <v>99.568550626475826</v>
      </c>
      <c r="AF30" s="304">
        <v>99.841308926840142</v>
      </c>
      <c r="AG30" s="305">
        <v>98.765852443918575</v>
      </c>
      <c r="AH30" s="305"/>
      <c r="AI30" s="305">
        <v>99.940309623142824</v>
      </c>
      <c r="AJ30" s="304">
        <v>2077411.5467000001</v>
      </c>
      <c r="AK30" s="304">
        <v>2032733.3655000001</v>
      </c>
      <c r="AL30" s="305">
        <v>22401.093000000001</v>
      </c>
      <c r="AM30" s="305">
        <v>0</v>
      </c>
      <c r="AN30" s="305">
        <v>2010332.2725</v>
      </c>
      <c r="AO30" s="304">
        <v>2075943.7782999999</v>
      </c>
      <c r="AP30" s="304">
        <v>2031278.5141999999</v>
      </c>
      <c r="AQ30" s="305">
        <v>21573.815699999999</v>
      </c>
      <c r="AR30" s="305">
        <v>0</v>
      </c>
      <c r="AS30" s="305">
        <v>2009704.6984999999</v>
      </c>
      <c r="AT30" s="304">
        <v>99.92934628661655</v>
      </c>
      <c r="AU30" s="306">
        <v>99.928428817832554</v>
      </c>
      <c r="AV30" s="307">
        <f t="shared" si="2"/>
        <v>96.306977967548278</v>
      </c>
      <c r="AW30" s="305"/>
      <c r="AX30" s="308">
        <f t="shared" si="0"/>
        <v>99.968782573478791</v>
      </c>
    </row>
    <row r="31" spans="1:50" x14ac:dyDescent="0.25">
      <c r="A31" s="303" t="s">
        <v>189</v>
      </c>
      <c r="B31" s="304">
        <v>17739.298300000002</v>
      </c>
      <c r="C31" s="304">
        <v>8196.2633999999998</v>
      </c>
      <c r="D31" s="305">
        <v>0</v>
      </c>
      <c r="E31" s="305">
        <v>0</v>
      </c>
      <c r="F31" s="305">
        <v>8196.2633999999998</v>
      </c>
      <c r="G31" s="304">
        <v>10448.3909</v>
      </c>
      <c r="H31" s="304">
        <v>720.72199999999998</v>
      </c>
      <c r="I31" s="305">
        <v>0</v>
      </c>
      <c r="J31" s="305">
        <v>0</v>
      </c>
      <c r="K31" s="305">
        <v>720.72199999999998</v>
      </c>
      <c r="L31" s="304">
        <v>-7290.9074000000019</v>
      </c>
      <c r="M31" s="304">
        <v>-7475.5414000000001</v>
      </c>
      <c r="N31" s="304">
        <v>1506425.5149000001</v>
      </c>
      <c r="O31" s="304">
        <v>1257929.7703</v>
      </c>
      <c r="P31" s="305">
        <v>92000.170299999998</v>
      </c>
      <c r="Q31" s="305">
        <v>16986.3</v>
      </c>
      <c r="R31" s="305">
        <v>1148943.3</v>
      </c>
      <c r="S31" s="304">
        <v>1463654.4054</v>
      </c>
      <c r="T31" s="304">
        <v>1245752.9005</v>
      </c>
      <c r="U31" s="305">
        <v>85233.453899999993</v>
      </c>
      <c r="V31" s="305">
        <v>12472.217199999999</v>
      </c>
      <c r="W31" s="305">
        <v>1148047.2294000001</v>
      </c>
      <c r="X31" s="304">
        <v>97.160755106910202</v>
      </c>
      <c r="Y31" s="304">
        <v>99.031991285404118</v>
      </c>
      <c r="Z31" s="304">
        <v>1470917.7867000001</v>
      </c>
      <c r="AA31" s="304">
        <v>1253228.4419</v>
      </c>
      <c r="AB31" s="305">
        <v>85233.453899999993</v>
      </c>
      <c r="AC31" s="305">
        <v>12472.217199999999</v>
      </c>
      <c r="AD31" s="305">
        <v>1155522.7708000001</v>
      </c>
      <c r="AE31" s="304">
        <v>96.986058895643808</v>
      </c>
      <c r="AF31" s="304">
        <v>98.976243434623839</v>
      </c>
      <c r="AG31" s="305">
        <v>92.644887093214422</v>
      </c>
      <c r="AH31" s="305">
        <v>73.425155566544802</v>
      </c>
      <c r="AI31" s="305">
        <v>99.854657009314735</v>
      </c>
      <c r="AJ31" s="304">
        <v>760444.06449999998</v>
      </c>
      <c r="AK31" s="304">
        <v>723174.05699999991</v>
      </c>
      <c r="AL31" s="305">
        <v>1315.8413</v>
      </c>
      <c r="AM31" s="305">
        <v>0</v>
      </c>
      <c r="AN31" s="305">
        <v>721858.21569999994</v>
      </c>
      <c r="AO31" s="304">
        <v>756620.03889999993</v>
      </c>
      <c r="AP31" s="304">
        <v>722828.49679999996</v>
      </c>
      <c r="AQ31" s="305">
        <v>1314.4534000000001</v>
      </c>
      <c r="AR31" s="305">
        <v>0</v>
      </c>
      <c r="AS31" s="305">
        <v>721514.04339999997</v>
      </c>
      <c r="AT31" s="304">
        <v>99.497132559971476</v>
      </c>
      <c r="AU31" s="306">
        <v>99.952216178573465</v>
      </c>
      <c r="AV31" s="307">
        <f t="shared" si="2"/>
        <v>99.894523754498351</v>
      </c>
      <c r="AW31" s="305"/>
      <c r="AX31" s="308">
        <f t="shared" si="0"/>
        <v>99.952321343372631</v>
      </c>
    </row>
    <row r="32" spans="1:50" x14ac:dyDescent="0.25">
      <c r="A32" s="303" t="s">
        <v>190</v>
      </c>
      <c r="B32" s="304">
        <v>4363.3594000000003</v>
      </c>
      <c r="C32" s="304">
        <v>696.43290000000002</v>
      </c>
      <c r="D32" s="305">
        <v>696.43290000000002</v>
      </c>
      <c r="E32" s="305">
        <v>0</v>
      </c>
      <c r="F32" s="305">
        <v>0</v>
      </c>
      <c r="G32" s="304">
        <v>5652.9948999999997</v>
      </c>
      <c r="H32" s="304">
        <v>2734.3850000000002</v>
      </c>
      <c r="I32" s="305">
        <v>0</v>
      </c>
      <c r="J32" s="305">
        <v>0</v>
      </c>
      <c r="K32" s="305">
        <v>2734.3850000000002</v>
      </c>
      <c r="L32" s="304">
        <v>1289.6354999999994</v>
      </c>
      <c r="M32" s="304">
        <v>2037.9521000000002</v>
      </c>
      <c r="N32" s="304">
        <v>740305.85930000001</v>
      </c>
      <c r="O32" s="304">
        <v>678653.67870000005</v>
      </c>
      <c r="P32" s="305">
        <v>89791.278699999995</v>
      </c>
      <c r="Q32" s="305">
        <v>0</v>
      </c>
      <c r="R32" s="305">
        <v>588862.4</v>
      </c>
      <c r="S32" s="304">
        <v>740251.66850000003</v>
      </c>
      <c r="T32" s="304">
        <v>678599.48790000007</v>
      </c>
      <c r="U32" s="305">
        <v>89737.087899999999</v>
      </c>
      <c r="V32" s="305">
        <v>0</v>
      </c>
      <c r="W32" s="305">
        <v>588862.4</v>
      </c>
      <c r="X32" s="304">
        <v>99.992679944469003</v>
      </c>
      <c r="Y32" s="304">
        <v>99.992014955241402</v>
      </c>
      <c r="Z32" s="304">
        <v>738962.03300000005</v>
      </c>
      <c r="AA32" s="304">
        <v>676561.53579999995</v>
      </c>
      <c r="AB32" s="305">
        <v>90433.520799999998</v>
      </c>
      <c r="AC32" s="305">
        <v>0</v>
      </c>
      <c r="AD32" s="305">
        <v>586128.01500000001</v>
      </c>
      <c r="AE32" s="304">
        <v>99.233594519998661</v>
      </c>
      <c r="AF32" s="304">
        <v>99.589523023197501</v>
      </c>
      <c r="AG32" s="305">
        <v>99.940112531257782</v>
      </c>
      <c r="AH32" s="305"/>
      <c r="AI32" s="305">
        <v>99.535649584690759</v>
      </c>
      <c r="AJ32" s="304">
        <v>388807.86730000004</v>
      </c>
      <c r="AK32" s="304">
        <v>385610.21659999999</v>
      </c>
      <c r="AL32" s="305">
        <v>237.87809999999999</v>
      </c>
      <c r="AM32" s="305">
        <v>0</v>
      </c>
      <c r="AN32" s="305">
        <v>385372.33850000001</v>
      </c>
      <c r="AO32" s="304">
        <v>388227.25039999996</v>
      </c>
      <c r="AP32" s="304">
        <v>385137.09719999996</v>
      </c>
      <c r="AQ32" s="305">
        <v>237.87809999999999</v>
      </c>
      <c r="AR32" s="305">
        <v>0</v>
      </c>
      <c r="AS32" s="305">
        <v>384899.21909999999</v>
      </c>
      <c r="AT32" s="304">
        <v>99.850667399291055</v>
      </c>
      <c r="AU32" s="306">
        <v>99.877306310975996</v>
      </c>
      <c r="AV32" s="307">
        <f t="shared" si="2"/>
        <v>100</v>
      </c>
      <c r="AW32" s="305"/>
      <c r="AX32" s="308">
        <f t="shared" si="0"/>
        <v>99.877230576060128</v>
      </c>
    </row>
    <row r="33" spans="1:50" x14ac:dyDescent="0.25">
      <c r="A33" s="303" t="s">
        <v>191</v>
      </c>
      <c r="B33" s="304">
        <v>2734.2530999999999</v>
      </c>
      <c r="C33" s="304">
        <v>59.295900000000003</v>
      </c>
      <c r="D33" s="305">
        <v>0</v>
      </c>
      <c r="E33" s="305">
        <v>0</v>
      </c>
      <c r="F33" s="305">
        <v>59.295900000000003</v>
      </c>
      <c r="G33" s="304">
        <v>7573.0950000000003</v>
      </c>
      <c r="H33" s="304">
        <v>98.104299999999995</v>
      </c>
      <c r="I33" s="305">
        <v>0</v>
      </c>
      <c r="J33" s="305">
        <v>0</v>
      </c>
      <c r="K33" s="305">
        <v>98.104299999999995</v>
      </c>
      <c r="L33" s="304">
        <v>4838.8419000000004</v>
      </c>
      <c r="M33" s="304">
        <v>38.808399999999992</v>
      </c>
      <c r="N33" s="304">
        <v>787932.99329999997</v>
      </c>
      <c r="O33" s="304">
        <v>641069.98320000002</v>
      </c>
      <c r="P33" s="305">
        <v>19022.3321</v>
      </c>
      <c r="Q33" s="305">
        <v>0</v>
      </c>
      <c r="R33" s="305">
        <v>622047.65110000002</v>
      </c>
      <c r="S33" s="304">
        <v>787296.98329999996</v>
      </c>
      <c r="T33" s="304">
        <v>641022.65190000006</v>
      </c>
      <c r="U33" s="305">
        <v>18975.000800000002</v>
      </c>
      <c r="V33" s="305">
        <v>0</v>
      </c>
      <c r="W33" s="305">
        <v>622047.65110000002</v>
      </c>
      <c r="X33" s="304">
        <v>99.919281207233581</v>
      </c>
      <c r="Y33" s="304">
        <v>99.992616827922021</v>
      </c>
      <c r="Z33" s="304">
        <v>782452.36900000006</v>
      </c>
      <c r="AA33" s="304">
        <v>640983.84350000008</v>
      </c>
      <c r="AB33" s="305">
        <v>18975.000800000002</v>
      </c>
      <c r="AC33" s="305">
        <v>0</v>
      </c>
      <c r="AD33" s="305">
        <v>622008.84270000004</v>
      </c>
      <c r="AE33" s="304">
        <v>99.002877404362849</v>
      </c>
      <c r="AF33" s="304">
        <v>99.977315713890945</v>
      </c>
      <c r="AG33" s="305">
        <v>99.751180350804631</v>
      </c>
      <c r="AH33" s="305"/>
      <c r="AI33" s="305">
        <v>99.984230315949191</v>
      </c>
      <c r="AJ33" s="304">
        <v>449706.17169999995</v>
      </c>
      <c r="AK33" s="304">
        <v>432297.25189999997</v>
      </c>
      <c r="AL33" s="305">
        <v>155.25360000000001</v>
      </c>
      <c r="AM33" s="305">
        <v>0</v>
      </c>
      <c r="AN33" s="305">
        <v>432141.99829999998</v>
      </c>
      <c r="AO33" s="304">
        <v>449338.71340000001</v>
      </c>
      <c r="AP33" s="304">
        <v>432241.3125</v>
      </c>
      <c r="AQ33" s="305">
        <v>155.25360000000001</v>
      </c>
      <c r="AR33" s="305">
        <v>0</v>
      </c>
      <c r="AS33" s="305">
        <v>432086.0589</v>
      </c>
      <c r="AT33" s="304">
        <v>99.91828924681846</v>
      </c>
      <c r="AU33" s="306">
        <v>99.987059968631741</v>
      </c>
      <c r="AV33" s="307">
        <f t="shared" si="2"/>
        <v>100</v>
      </c>
      <c r="AW33" s="305"/>
      <c r="AX33" s="308">
        <f t="shared" si="0"/>
        <v>99.987055319728228</v>
      </c>
    </row>
    <row r="34" spans="1:50" x14ac:dyDescent="0.25">
      <c r="A34" s="303" t="s">
        <v>192</v>
      </c>
      <c r="B34" s="304">
        <v>1206.1822999999999</v>
      </c>
      <c r="C34" s="304">
        <v>686.79930000000002</v>
      </c>
      <c r="D34" s="305">
        <v>0</v>
      </c>
      <c r="E34" s="305">
        <v>0</v>
      </c>
      <c r="F34" s="305">
        <v>686.79930000000002</v>
      </c>
      <c r="G34" s="304">
        <v>2179.8047999999999</v>
      </c>
      <c r="H34" s="304">
        <v>1160.646</v>
      </c>
      <c r="I34" s="305">
        <v>0</v>
      </c>
      <c r="J34" s="305">
        <v>0</v>
      </c>
      <c r="K34" s="305">
        <v>1160.646</v>
      </c>
      <c r="L34" s="304">
        <v>973.62249999999995</v>
      </c>
      <c r="M34" s="304">
        <v>473.84669999999994</v>
      </c>
      <c r="N34" s="304">
        <v>102374.1109</v>
      </c>
      <c r="O34" s="304">
        <v>89049.810899999997</v>
      </c>
      <c r="P34" s="305">
        <v>11709.6109</v>
      </c>
      <c r="Q34" s="305">
        <v>0</v>
      </c>
      <c r="R34" s="305">
        <v>77340.2</v>
      </c>
      <c r="S34" s="304">
        <v>100580.1779</v>
      </c>
      <c r="T34" s="304">
        <v>88064.89</v>
      </c>
      <c r="U34" s="305">
        <v>10724.69</v>
      </c>
      <c r="V34" s="305">
        <v>0</v>
      </c>
      <c r="W34" s="305">
        <v>77340.2</v>
      </c>
      <c r="X34" s="304">
        <v>98.247669274752155</v>
      </c>
      <c r="Y34" s="304">
        <v>98.893966320595524</v>
      </c>
      <c r="Z34" s="304">
        <v>99606.555500000002</v>
      </c>
      <c r="AA34" s="304">
        <v>87591.043300000005</v>
      </c>
      <c r="AB34" s="305">
        <v>10724.69</v>
      </c>
      <c r="AC34" s="305">
        <v>0</v>
      </c>
      <c r="AD34" s="305">
        <v>76866.353300000002</v>
      </c>
      <c r="AE34" s="304">
        <v>96.163616092177648</v>
      </c>
      <c r="AF34" s="304">
        <v>97.609039504369434</v>
      </c>
      <c r="AG34" s="305">
        <v>91.588781997871521</v>
      </c>
      <c r="AH34" s="305"/>
      <c r="AI34" s="305">
        <v>98.512507195698348</v>
      </c>
      <c r="AJ34" s="304">
        <v>48779.57</v>
      </c>
      <c r="AK34" s="304">
        <v>47980.619999999995</v>
      </c>
      <c r="AL34" s="305">
        <v>498.6</v>
      </c>
      <c r="AM34" s="305">
        <v>0</v>
      </c>
      <c r="AN34" s="305">
        <v>47482.02</v>
      </c>
      <c r="AO34" s="304">
        <v>48740.2143</v>
      </c>
      <c r="AP34" s="304">
        <v>47942.814099999996</v>
      </c>
      <c r="AQ34" s="305">
        <v>460.93900000000002</v>
      </c>
      <c r="AR34" s="305">
        <v>0</v>
      </c>
      <c r="AS34" s="305">
        <v>47481.875099999997</v>
      </c>
      <c r="AT34" s="304">
        <v>99.919319296992569</v>
      </c>
      <c r="AU34" s="306">
        <v>99.921205895213532</v>
      </c>
      <c r="AV34" s="307">
        <f t="shared" si="2"/>
        <v>92.446650621740872</v>
      </c>
      <c r="AW34" s="305"/>
      <c r="AX34" s="308">
        <f t="shared" si="0"/>
        <v>99.999694831854256</v>
      </c>
    </row>
    <row r="35" spans="1:50" x14ac:dyDescent="0.25">
      <c r="A35" s="303" t="s">
        <v>193</v>
      </c>
      <c r="B35" s="304">
        <v>7368.5951999999997</v>
      </c>
      <c r="C35" s="304">
        <v>4982.7048999999997</v>
      </c>
      <c r="D35" s="305">
        <v>0</v>
      </c>
      <c r="E35" s="305">
        <v>0</v>
      </c>
      <c r="F35" s="305">
        <v>4982.7048999999997</v>
      </c>
      <c r="G35" s="304">
        <v>11039.972400000001</v>
      </c>
      <c r="H35" s="304">
        <v>8070.3423000000003</v>
      </c>
      <c r="I35" s="305">
        <v>0</v>
      </c>
      <c r="J35" s="305">
        <v>0</v>
      </c>
      <c r="K35" s="305">
        <v>8070.3423000000003</v>
      </c>
      <c r="L35" s="304">
        <v>3671.3772000000008</v>
      </c>
      <c r="M35" s="304">
        <v>3087.6374000000005</v>
      </c>
      <c r="N35" s="304">
        <v>59163.145100000002</v>
      </c>
      <c r="O35" s="304">
        <v>51918.517500000002</v>
      </c>
      <c r="P35" s="305">
        <v>0</v>
      </c>
      <c r="Q35" s="305">
        <v>0</v>
      </c>
      <c r="R35" s="305">
        <v>51918.517500000002</v>
      </c>
      <c r="S35" s="304">
        <v>51834.321599999996</v>
      </c>
      <c r="T35" s="304">
        <v>46935.812599999997</v>
      </c>
      <c r="U35" s="305">
        <v>0</v>
      </c>
      <c r="V35" s="305">
        <v>0</v>
      </c>
      <c r="W35" s="305">
        <v>46935.812599999997</v>
      </c>
      <c r="X35" s="239">
        <v>87.612518760433503</v>
      </c>
      <c r="Y35" s="239">
        <v>90.402836714280198</v>
      </c>
      <c r="Z35" s="304">
        <v>48162.9444</v>
      </c>
      <c r="AA35" s="304">
        <v>43848.175199999998</v>
      </c>
      <c r="AB35" s="305">
        <v>0</v>
      </c>
      <c r="AC35" s="305">
        <v>0</v>
      </c>
      <c r="AD35" s="305">
        <v>43848.175199999998</v>
      </c>
      <c r="AE35" s="239">
        <v>81.407004848361254</v>
      </c>
      <c r="AF35" s="239">
        <v>84.455753575783419</v>
      </c>
      <c r="AG35" s="305"/>
      <c r="AH35" s="305"/>
      <c r="AI35" s="305">
        <v>84.455753575783419</v>
      </c>
      <c r="AJ35" s="304">
        <v>33276.558599999997</v>
      </c>
      <c r="AK35" s="304">
        <v>33276.558599999997</v>
      </c>
      <c r="AL35" s="305">
        <v>0</v>
      </c>
      <c r="AM35" s="305">
        <v>0</v>
      </c>
      <c r="AN35" s="305">
        <v>33276.558599999997</v>
      </c>
      <c r="AO35" s="304">
        <v>27993.7552</v>
      </c>
      <c r="AP35" s="304">
        <v>27993.7552</v>
      </c>
      <c r="AQ35" s="305">
        <v>0</v>
      </c>
      <c r="AR35" s="305">
        <v>0</v>
      </c>
      <c r="AS35" s="305">
        <v>27993.7552</v>
      </c>
      <c r="AT35" s="239">
        <v>84.124550066905059</v>
      </c>
      <c r="AU35" s="278">
        <v>84.124550066905059</v>
      </c>
      <c r="AV35" s="307"/>
      <c r="AW35" s="305"/>
      <c r="AX35" s="308">
        <f t="shared" si="0"/>
        <v>84.124550066905059</v>
      </c>
    </row>
    <row r="36" spans="1:50" s="311" customFormat="1" x14ac:dyDescent="0.25">
      <c r="A36" s="240" t="s">
        <v>194</v>
      </c>
      <c r="B36" s="241">
        <v>377987.99749999994</v>
      </c>
      <c r="C36" s="241">
        <v>266261.45990000002</v>
      </c>
      <c r="D36" s="309">
        <v>62039.125900000006</v>
      </c>
      <c r="E36" s="309">
        <v>150</v>
      </c>
      <c r="F36" s="309">
        <v>204072.33400000003</v>
      </c>
      <c r="G36" s="241">
        <v>293416.32020000002</v>
      </c>
      <c r="H36" s="241">
        <v>171964.62590000004</v>
      </c>
      <c r="I36" s="309">
        <v>21695.879700000001</v>
      </c>
      <c r="J36" s="309">
        <v>0</v>
      </c>
      <c r="K36" s="309">
        <v>150268.74620000002</v>
      </c>
      <c r="L36" s="241">
        <v>-84571.677299999981</v>
      </c>
      <c r="M36" s="241">
        <v>-94296.833999999988</v>
      </c>
      <c r="N36" s="241">
        <v>23096844.498699997</v>
      </c>
      <c r="O36" s="241">
        <v>20677725.533999998</v>
      </c>
      <c r="P36" s="309">
        <v>1619840.0689999999</v>
      </c>
      <c r="Q36" s="309">
        <v>19649.4601</v>
      </c>
      <c r="R36" s="309">
        <v>19038236.004899994</v>
      </c>
      <c r="S36" s="241">
        <v>22873265.681900002</v>
      </c>
      <c r="T36" s="241">
        <v>20554583.900000002</v>
      </c>
      <c r="U36" s="309">
        <v>1598700.5015999998</v>
      </c>
      <c r="V36" s="309">
        <v>15135.3773</v>
      </c>
      <c r="W36" s="309">
        <v>18940748.0211</v>
      </c>
      <c r="X36" s="241">
        <v>99.031994102862924</v>
      </c>
      <c r="Y36" s="241">
        <v>99.404472054735834</v>
      </c>
      <c r="Z36" s="241">
        <v>22950092.036600005</v>
      </c>
      <c r="AA36" s="241">
        <v>20641723.682899997</v>
      </c>
      <c r="AB36" s="309">
        <v>1632952.7342000003</v>
      </c>
      <c r="AC36" s="309">
        <v>15135.3773</v>
      </c>
      <c r="AD36" s="309">
        <v>18993635.571400002</v>
      </c>
      <c r="AE36" s="241">
        <v>98.256816552418115</v>
      </c>
      <c r="AF36" s="241">
        <v>98.881726849797829</v>
      </c>
      <c r="AG36" s="305">
        <v>97.298132738534676</v>
      </c>
      <c r="AH36" s="305">
        <v>77.026937243939855</v>
      </c>
      <c r="AI36" s="305">
        <v>99.042708381354814</v>
      </c>
      <c r="AJ36" s="241">
        <v>12500130.774000002</v>
      </c>
      <c r="AK36" s="241">
        <v>12268016.792199999</v>
      </c>
      <c r="AL36" s="309">
        <v>37045.917599999993</v>
      </c>
      <c r="AM36" s="309">
        <v>0</v>
      </c>
      <c r="AN36" s="309">
        <v>12230970.874599997</v>
      </c>
      <c r="AO36" s="241">
        <v>12431927.7641</v>
      </c>
      <c r="AP36" s="241">
        <v>12211452.946700001</v>
      </c>
      <c r="AQ36" s="309">
        <v>36134.428599999999</v>
      </c>
      <c r="AR36" s="309">
        <v>0</v>
      </c>
      <c r="AS36" s="309">
        <v>12175318.518100001</v>
      </c>
      <c r="AT36" s="241">
        <v>99.454381629015742</v>
      </c>
      <c r="AU36" s="310">
        <v>99.538932441501373</v>
      </c>
      <c r="AV36" s="307">
        <f t="shared" si="2"/>
        <v>97.539569650179217</v>
      </c>
      <c r="AW36" s="305"/>
      <c r="AX36" s="308">
        <f t="shared" si="0"/>
        <v>99.544988234617009</v>
      </c>
    </row>
    <row r="37" spans="1:50" ht="27.6" x14ac:dyDescent="0.25">
      <c r="A37" s="303" t="s">
        <v>364</v>
      </c>
      <c r="B37" s="304">
        <v>2485822.8969999999</v>
      </c>
      <c r="C37" s="304">
        <v>735270.5355</v>
      </c>
      <c r="D37" s="305">
        <v>327511.73379999999</v>
      </c>
      <c r="E37" s="305">
        <v>7506.4391999999998</v>
      </c>
      <c r="F37" s="305">
        <v>400252.36249999999</v>
      </c>
      <c r="G37" s="304">
        <v>2078024.0157999995</v>
      </c>
      <c r="H37" s="304">
        <v>640367.57160000014</v>
      </c>
      <c r="I37" s="305">
        <v>175878.74429999999</v>
      </c>
      <c r="J37" s="305">
        <v>2506.4391999999998</v>
      </c>
      <c r="K37" s="305">
        <v>461982.38810000004</v>
      </c>
      <c r="L37" s="304">
        <v>-407798.88120000018</v>
      </c>
      <c r="M37" s="304">
        <v>-94902.963900000002</v>
      </c>
      <c r="N37" s="304">
        <v>29867834.499999996</v>
      </c>
      <c r="O37" s="304">
        <v>11877998.609499997</v>
      </c>
      <c r="P37" s="305">
        <v>1440573.6904000002</v>
      </c>
      <c r="Q37" s="305">
        <v>58100</v>
      </c>
      <c r="R37" s="305">
        <v>10379324.9191</v>
      </c>
      <c r="S37" s="304">
        <v>29536012.361099996</v>
      </c>
      <c r="T37" s="304">
        <v>11875866.133399997</v>
      </c>
      <c r="U37" s="305">
        <v>1439898.0811000001</v>
      </c>
      <c r="V37" s="305">
        <v>58078.74</v>
      </c>
      <c r="W37" s="305">
        <v>10377889.3123</v>
      </c>
      <c r="X37" s="304">
        <v>98.889031814810679</v>
      </c>
      <c r="Y37" s="304">
        <v>99.982046839959267</v>
      </c>
      <c r="Z37" s="304">
        <v>29925433.79099999</v>
      </c>
      <c r="AA37" s="304">
        <v>11951584.4376</v>
      </c>
      <c r="AB37" s="305">
        <v>1569840.8530000001</v>
      </c>
      <c r="AC37" s="305">
        <v>63078.74</v>
      </c>
      <c r="AD37" s="305">
        <v>10318664.844599999</v>
      </c>
      <c r="AE37" s="304">
        <v>94.420530282990242</v>
      </c>
      <c r="AF37" s="304">
        <v>95.544959030742746</v>
      </c>
      <c r="AG37" s="305">
        <v>90.169368499701008</v>
      </c>
      <c r="AH37" s="305">
        <v>96.147178187350875</v>
      </c>
      <c r="AI37" s="305">
        <v>96.415741980308127</v>
      </c>
      <c r="AJ37" s="304">
        <v>14870734.749599995</v>
      </c>
      <c r="AK37" s="304">
        <v>5809560.5902000004</v>
      </c>
      <c r="AL37" s="305">
        <v>30933.726000000002</v>
      </c>
      <c r="AM37" s="305">
        <v>0</v>
      </c>
      <c r="AN37" s="305">
        <v>5778626.8642000016</v>
      </c>
      <c r="AO37" s="304">
        <v>14363816.152000001</v>
      </c>
      <c r="AP37" s="304">
        <v>5706723.8620000016</v>
      </c>
      <c r="AQ37" s="305">
        <v>30783.7634</v>
      </c>
      <c r="AR37" s="305">
        <v>0</v>
      </c>
      <c r="AS37" s="305">
        <v>5675940.0986000011</v>
      </c>
      <c r="AT37" s="304">
        <v>96.591166434371175</v>
      </c>
      <c r="AU37" s="304">
        <v>98.229870803422358</v>
      </c>
      <c r="AV37" s="305">
        <f>[1]Обл.!BI27</f>
        <v>99.515213265935046</v>
      </c>
      <c r="AW37" s="305"/>
      <c r="AX37" s="305">
        <f>[1]Обл.!BK27</f>
        <v>98.222990201423627</v>
      </c>
    </row>
    <row r="38" spans="1:50" s="311" customFormat="1" ht="14.4" thickBot="1" x14ac:dyDescent="0.3">
      <c r="A38" s="242" t="s">
        <v>365</v>
      </c>
      <c r="B38" s="243">
        <v>2863810.8944999999</v>
      </c>
      <c r="C38" s="243">
        <v>1001531.9954</v>
      </c>
      <c r="D38" s="312">
        <v>389550.85969999997</v>
      </c>
      <c r="E38" s="312">
        <v>7656.4391999999998</v>
      </c>
      <c r="F38" s="312">
        <v>604324.69650000008</v>
      </c>
      <c r="G38" s="243">
        <v>2371440.3359999997</v>
      </c>
      <c r="H38" s="243">
        <v>812332.19750000024</v>
      </c>
      <c r="I38" s="312">
        <v>197574.62399999998</v>
      </c>
      <c r="J38" s="312">
        <v>2506.4391999999998</v>
      </c>
      <c r="K38" s="312">
        <v>612251.13430000003</v>
      </c>
      <c r="L38" s="243">
        <v>-492370.55850000016</v>
      </c>
      <c r="M38" s="243">
        <v>-189199.79790000001</v>
      </c>
      <c r="N38" s="243">
        <v>52964678.998699993</v>
      </c>
      <c r="O38" s="243">
        <v>32555724.143499993</v>
      </c>
      <c r="P38" s="312">
        <v>3060413.7593999999</v>
      </c>
      <c r="Q38" s="312">
        <v>77749.460099999997</v>
      </c>
      <c r="R38" s="312">
        <v>29417560.923999995</v>
      </c>
      <c r="S38" s="243">
        <v>52409278.042999998</v>
      </c>
      <c r="T38" s="243">
        <v>32430450.033399999</v>
      </c>
      <c r="U38" s="312">
        <v>3038598.5827000001</v>
      </c>
      <c r="V38" s="312">
        <v>73214.117299999998</v>
      </c>
      <c r="W38" s="312">
        <v>29318637.3334</v>
      </c>
      <c r="X38" s="243">
        <v>96.04820380219293</v>
      </c>
      <c r="Y38" s="243">
        <v>97.631453407401963</v>
      </c>
      <c r="Z38" s="243">
        <v>52875525.827599995</v>
      </c>
      <c r="AA38" s="243">
        <v>32593308.120499998</v>
      </c>
      <c r="AB38" s="312">
        <v>3202793.5872000004</v>
      </c>
      <c r="AC38" s="312">
        <v>78214.117299999998</v>
      </c>
      <c r="AD38" s="312">
        <v>29312300.416000001</v>
      </c>
      <c r="AE38" s="243">
        <v>96.04820380219293</v>
      </c>
      <c r="AF38" s="243">
        <v>97.631453407401963</v>
      </c>
      <c r="AG38" s="305">
        <v>93.668397153604744</v>
      </c>
      <c r="AH38" s="305">
        <v>91.740416724452999</v>
      </c>
      <c r="AI38" s="305">
        <v>98.101778941936686</v>
      </c>
      <c r="AJ38" s="243">
        <v>27370865.523599997</v>
      </c>
      <c r="AK38" s="243">
        <v>18077577.382399999</v>
      </c>
      <c r="AL38" s="312">
        <v>67979.643599999996</v>
      </c>
      <c r="AM38" s="312">
        <v>0</v>
      </c>
      <c r="AN38" s="312">
        <v>18009597.738799997</v>
      </c>
      <c r="AO38" s="243">
        <v>26795743.916100003</v>
      </c>
      <c r="AP38" s="243">
        <v>17918176.808700003</v>
      </c>
      <c r="AQ38" s="312">
        <v>66918.191999999995</v>
      </c>
      <c r="AR38" s="312">
        <v>0</v>
      </c>
      <c r="AS38" s="312">
        <v>17851258.616700001</v>
      </c>
      <c r="AT38" s="243">
        <v>97.898781801386207</v>
      </c>
      <c r="AU38" s="244">
        <v>99.118241508095082</v>
      </c>
      <c r="AV38" s="307">
        <f t="shared" si="2"/>
        <v>98.438574338156727</v>
      </c>
      <c r="AW38" s="305"/>
      <c r="AX38" s="308">
        <f t="shared" si="0"/>
        <v>99.120807003041108</v>
      </c>
    </row>
    <row r="39" spans="1:50" ht="14.4" thickTop="1" x14ac:dyDescent="0.25"/>
  </sheetData>
  <mergeCells count="37">
    <mergeCell ref="AV7:AX7"/>
    <mergeCell ref="S5:Y5"/>
    <mergeCell ref="Z5:AU5"/>
    <mergeCell ref="AJ7:AK7"/>
    <mergeCell ref="AL7:AN7"/>
    <mergeCell ref="AO7:AP7"/>
    <mergeCell ref="AQ7:AS7"/>
    <mergeCell ref="AT7:AU7"/>
    <mergeCell ref="Z7:Z8"/>
    <mergeCell ref="AB7:AD7"/>
    <mergeCell ref="AE7:AE8"/>
    <mergeCell ref="AG7:AI7"/>
    <mergeCell ref="Z6:AD6"/>
    <mergeCell ref="AE6:AI6"/>
    <mergeCell ref="AJ6:AU6"/>
    <mergeCell ref="X7:X8"/>
    <mergeCell ref="C7:C8"/>
    <mergeCell ref="D7:F7"/>
    <mergeCell ref="H7:H8"/>
    <mergeCell ref="I7:K7"/>
    <mergeCell ref="L7:L8"/>
    <mergeCell ref="AP1:AU1"/>
    <mergeCell ref="A3:AU3"/>
    <mergeCell ref="A5:A8"/>
    <mergeCell ref="B5:M5"/>
    <mergeCell ref="B6:B8"/>
    <mergeCell ref="C6:F6"/>
    <mergeCell ref="G6:G8"/>
    <mergeCell ref="H6:K6"/>
    <mergeCell ref="L6:M6"/>
    <mergeCell ref="N6:R6"/>
    <mergeCell ref="S6:W6"/>
    <mergeCell ref="X6:Y6"/>
    <mergeCell ref="N7:N8"/>
    <mergeCell ref="P7:R7"/>
    <mergeCell ref="S7:S8"/>
    <mergeCell ref="U7:W7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7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30"/>
  <sheetViews>
    <sheetView topLeftCell="N1" zoomScaleNormal="100" zoomScaleSheetLayoutView="115" workbookViewId="0">
      <selection activeCell="AK2" sqref="AK2"/>
    </sheetView>
  </sheetViews>
  <sheetFormatPr defaultColWidth="8.19921875" defaultRowHeight="13.8" x14ac:dyDescent="0.25"/>
  <cols>
    <col min="1" max="1" width="18.5" style="329" bestFit="1" customWidth="1"/>
    <col min="2" max="2" width="10.19921875" style="330" hidden="1" customWidth="1"/>
    <col min="3" max="3" width="8.8984375" style="330" hidden="1" customWidth="1"/>
    <col min="4" max="4" width="8.69921875" style="330" hidden="1" customWidth="1"/>
    <col min="5" max="5" width="8.19921875" style="330" hidden="1" customWidth="1"/>
    <col min="6" max="6" width="8.69921875" style="330" hidden="1" customWidth="1"/>
    <col min="7" max="7" width="10.19921875" style="330" bestFit="1" customWidth="1"/>
    <col min="8" max="8" width="9.796875" style="330" customWidth="1"/>
    <col min="9" max="11" width="9.796875" style="330" hidden="1" customWidth="1"/>
    <col min="12" max="12" width="10.296875" style="330" bestFit="1" customWidth="1"/>
    <col min="13" max="13" width="9.296875" style="330" bestFit="1" customWidth="1"/>
    <col min="14" max="14" width="12.09765625" style="330" bestFit="1" customWidth="1"/>
    <col min="15" max="15" width="11.19921875" style="330" bestFit="1" customWidth="1"/>
    <col min="16" max="16" width="10.19921875" style="330" hidden="1" customWidth="1"/>
    <col min="17" max="17" width="8.19921875" style="330" hidden="1" customWidth="1"/>
    <col min="18" max="18" width="11.09765625" style="330" hidden="1" customWidth="1"/>
    <col min="19" max="19" width="7.19921875" style="330" bestFit="1" customWidth="1"/>
    <col min="20" max="20" width="7.59765625" style="330" bestFit="1" customWidth="1"/>
    <col min="21" max="21" width="12.09765625" style="330" bestFit="1" customWidth="1"/>
    <col min="22" max="22" width="11.19921875" style="330" bestFit="1" customWidth="1"/>
    <col min="23" max="23" width="10.19921875" style="330" hidden="1" customWidth="1"/>
    <col min="24" max="24" width="8.19921875" style="330" hidden="1" customWidth="1"/>
    <col min="25" max="25" width="11.09765625" style="330" hidden="1" customWidth="1"/>
    <col min="26" max="26" width="7.19921875" style="330" bestFit="1" customWidth="1"/>
    <col min="27" max="27" width="7.59765625" style="330" bestFit="1" customWidth="1"/>
    <col min="28" max="28" width="5.5" style="330" hidden="1" customWidth="1"/>
    <col min="29" max="29" width="6" style="330" hidden="1" customWidth="1"/>
    <col min="30" max="30" width="6.69921875" style="330" hidden="1" customWidth="1"/>
    <col min="31" max="31" width="11.09765625" style="330" hidden="1" customWidth="1"/>
    <col min="32" max="32" width="10.19921875" style="330" hidden="1" customWidth="1"/>
    <col min="33" max="33" width="7.796875" style="330" hidden="1" customWidth="1"/>
    <col min="34" max="34" width="6.296875" style="330" hidden="1" customWidth="1"/>
    <col min="35" max="35" width="10.19921875" style="330" hidden="1" customWidth="1"/>
    <col min="36" max="36" width="11.19921875" style="330" bestFit="1" customWidth="1"/>
    <col min="37" max="37" width="11.09765625" style="330" bestFit="1" customWidth="1"/>
    <col min="38" max="38" width="8.69921875" style="330" hidden="1" customWidth="1"/>
    <col min="39" max="39" width="6" style="330" hidden="1" customWidth="1"/>
    <col min="40" max="40" width="10.19921875" style="330" hidden="1" customWidth="1"/>
    <col min="41" max="41" width="7.19921875" style="330" bestFit="1" customWidth="1"/>
    <col min="42" max="42" width="7.59765625" style="330" bestFit="1" customWidth="1"/>
    <col min="43" max="43" width="5.5" style="328" hidden="1" customWidth="1"/>
    <col min="44" max="44" width="5.296875" style="328" hidden="1" customWidth="1"/>
    <col min="45" max="45" width="6.69921875" style="328" hidden="1" customWidth="1"/>
    <col min="46" max="16384" width="8.19921875" style="328"/>
  </cols>
  <sheetData>
    <row r="1" spans="1:45" s="322" customFormat="1" x14ac:dyDescent="0.25">
      <c r="A1" s="299"/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0"/>
      <c r="Q1" s="300"/>
      <c r="R1" s="300"/>
      <c r="S1" s="300"/>
      <c r="T1" s="300"/>
      <c r="U1" s="300"/>
      <c r="V1" s="300"/>
      <c r="W1" s="300"/>
      <c r="X1" s="300"/>
      <c r="Y1" s="300"/>
      <c r="Z1" s="300"/>
      <c r="AA1" s="300"/>
      <c r="AB1" s="300"/>
      <c r="AC1" s="300"/>
      <c r="AD1" s="300"/>
      <c r="AE1" s="300"/>
      <c r="AF1" s="300"/>
      <c r="AG1" s="300"/>
      <c r="AH1" s="300"/>
      <c r="AI1" s="300"/>
      <c r="AJ1" s="300"/>
      <c r="AK1" s="398" t="s">
        <v>421</v>
      </c>
      <c r="AL1" s="398"/>
      <c r="AM1" s="398"/>
      <c r="AN1" s="398"/>
      <c r="AO1" s="398"/>
      <c r="AP1" s="398"/>
    </row>
    <row r="2" spans="1:45" s="322" customFormat="1" x14ac:dyDescent="0.25">
      <c r="A2" s="299"/>
      <c r="B2" s="300"/>
      <c r="C2" s="300"/>
      <c r="D2" s="300"/>
      <c r="E2" s="300"/>
      <c r="F2" s="300"/>
      <c r="G2" s="300"/>
      <c r="H2" s="300"/>
      <c r="I2" s="300"/>
      <c r="J2" s="300"/>
      <c r="K2" s="300"/>
      <c r="L2" s="300"/>
      <c r="M2" s="300"/>
      <c r="N2" s="300"/>
      <c r="O2" s="300"/>
      <c r="P2" s="300"/>
      <c r="Q2" s="300"/>
      <c r="R2" s="300"/>
      <c r="S2" s="300"/>
      <c r="T2" s="300"/>
      <c r="U2" s="300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</row>
    <row r="3" spans="1:45" s="314" customFormat="1" ht="34.5" customHeight="1" x14ac:dyDescent="0.25">
      <c r="A3" s="404" t="s">
        <v>427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4"/>
      <c r="AH3" s="404"/>
      <c r="AI3" s="404"/>
      <c r="AJ3" s="404"/>
      <c r="AK3" s="404"/>
      <c r="AL3" s="404"/>
      <c r="AM3" s="404"/>
      <c r="AN3" s="404"/>
      <c r="AO3" s="404"/>
      <c r="AP3" s="404"/>
    </row>
    <row r="4" spans="1:45" s="314" customFormat="1" ht="14.4" thickBot="1" x14ac:dyDescent="0.3">
      <c r="A4" s="299"/>
      <c r="B4" s="299"/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9"/>
      <c r="AC4" s="299"/>
      <c r="AD4" s="299"/>
      <c r="AE4" s="299"/>
      <c r="AF4" s="299"/>
      <c r="AG4" s="299"/>
      <c r="AH4" s="299"/>
      <c r="AI4" s="299"/>
      <c r="AJ4" s="299"/>
      <c r="AK4" s="299"/>
      <c r="AL4" s="299"/>
      <c r="AM4" s="299"/>
      <c r="AN4" s="299"/>
      <c r="AO4" s="299"/>
      <c r="AP4" s="368" t="s">
        <v>424</v>
      </c>
    </row>
    <row r="5" spans="1:45" s="246" customFormat="1" ht="13.5" customHeight="1" thickTop="1" x14ac:dyDescent="0.25">
      <c r="A5" s="426" t="s">
        <v>148</v>
      </c>
      <c r="B5" s="428" t="s">
        <v>350</v>
      </c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8" t="s">
        <v>351</v>
      </c>
      <c r="O5" s="429"/>
      <c r="P5" s="429"/>
      <c r="Q5" s="429"/>
      <c r="R5" s="429"/>
      <c r="S5" s="429"/>
      <c r="T5" s="429"/>
      <c r="U5" s="428" t="s">
        <v>352</v>
      </c>
      <c r="V5" s="429"/>
      <c r="W5" s="429"/>
      <c r="X5" s="429"/>
      <c r="Y5" s="429"/>
      <c r="Z5" s="429"/>
      <c r="AA5" s="429"/>
      <c r="AB5" s="429"/>
      <c r="AC5" s="429"/>
      <c r="AD5" s="429"/>
      <c r="AE5" s="429"/>
      <c r="AF5" s="429"/>
      <c r="AG5" s="429"/>
      <c r="AH5" s="429"/>
      <c r="AI5" s="429"/>
      <c r="AJ5" s="429"/>
      <c r="AK5" s="429"/>
      <c r="AL5" s="429"/>
      <c r="AM5" s="429"/>
      <c r="AN5" s="429"/>
      <c r="AO5" s="429"/>
      <c r="AP5" s="436"/>
    </row>
    <row r="6" spans="1:45" s="246" customFormat="1" ht="12.75" customHeight="1" x14ac:dyDescent="0.25">
      <c r="A6" s="427"/>
      <c r="B6" s="402" t="s">
        <v>353</v>
      </c>
      <c r="C6" s="430" t="s">
        <v>44</v>
      </c>
      <c r="D6" s="431"/>
      <c r="E6" s="431"/>
      <c r="F6" s="432"/>
      <c r="G6" s="402" t="s">
        <v>354</v>
      </c>
      <c r="H6" s="430" t="s">
        <v>44</v>
      </c>
      <c r="I6" s="431"/>
      <c r="J6" s="431"/>
      <c r="K6" s="432"/>
      <c r="L6" s="430" t="s">
        <v>355</v>
      </c>
      <c r="M6" s="431"/>
      <c r="N6" s="430" t="s">
        <v>357</v>
      </c>
      <c r="O6" s="431"/>
      <c r="P6" s="431"/>
      <c r="Q6" s="431"/>
      <c r="R6" s="432"/>
      <c r="S6" s="430" t="s">
        <v>149</v>
      </c>
      <c r="T6" s="431"/>
      <c r="U6" s="430" t="s">
        <v>357</v>
      </c>
      <c r="V6" s="431"/>
      <c r="W6" s="431"/>
      <c r="X6" s="431"/>
      <c r="Y6" s="432"/>
      <c r="Z6" s="437" t="s">
        <v>149</v>
      </c>
      <c r="AA6" s="438"/>
      <c r="AB6" s="438"/>
      <c r="AC6" s="438"/>
      <c r="AD6" s="439"/>
      <c r="AE6" s="402" t="s">
        <v>358</v>
      </c>
      <c r="AF6" s="402"/>
      <c r="AG6" s="402"/>
      <c r="AH6" s="402"/>
      <c r="AI6" s="402"/>
      <c r="AJ6" s="402"/>
      <c r="AK6" s="402"/>
      <c r="AL6" s="402"/>
      <c r="AM6" s="402"/>
      <c r="AN6" s="402"/>
      <c r="AO6" s="402"/>
      <c r="AP6" s="407"/>
    </row>
    <row r="7" spans="1:45" s="246" customFormat="1" ht="13.2" x14ac:dyDescent="0.25">
      <c r="A7" s="427"/>
      <c r="B7" s="402"/>
      <c r="C7" s="402" t="s">
        <v>359</v>
      </c>
      <c r="D7" s="433" t="s">
        <v>195</v>
      </c>
      <c r="E7" s="434"/>
      <c r="F7" s="435"/>
      <c r="G7" s="402"/>
      <c r="H7" s="402" t="s">
        <v>359</v>
      </c>
      <c r="I7" s="433" t="s">
        <v>195</v>
      </c>
      <c r="J7" s="434"/>
      <c r="K7" s="435"/>
      <c r="L7" s="402" t="s">
        <v>159</v>
      </c>
      <c r="M7" s="295" t="s">
        <v>44</v>
      </c>
      <c r="N7" s="402" t="s">
        <v>159</v>
      </c>
      <c r="O7" s="295" t="s">
        <v>44</v>
      </c>
      <c r="P7" s="433" t="s">
        <v>195</v>
      </c>
      <c r="Q7" s="434"/>
      <c r="R7" s="435"/>
      <c r="S7" s="402" t="s">
        <v>159</v>
      </c>
      <c r="T7" s="295" t="s">
        <v>44</v>
      </c>
      <c r="U7" s="402" t="s">
        <v>159</v>
      </c>
      <c r="V7" s="295" t="s">
        <v>44</v>
      </c>
      <c r="W7" s="433" t="s">
        <v>195</v>
      </c>
      <c r="X7" s="434"/>
      <c r="Y7" s="435"/>
      <c r="Z7" s="402" t="s">
        <v>159</v>
      </c>
      <c r="AA7" s="295" t="s">
        <v>44</v>
      </c>
      <c r="AB7" s="433" t="s">
        <v>195</v>
      </c>
      <c r="AC7" s="434"/>
      <c r="AD7" s="435"/>
      <c r="AE7" s="402" t="s">
        <v>356</v>
      </c>
      <c r="AF7" s="402"/>
      <c r="AG7" s="433" t="s">
        <v>195</v>
      </c>
      <c r="AH7" s="434"/>
      <c r="AI7" s="435"/>
      <c r="AJ7" s="402" t="s">
        <v>357</v>
      </c>
      <c r="AK7" s="402"/>
      <c r="AL7" s="433" t="s">
        <v>195</v>
      </c>
      <c r="AM7" s="434"/>
      <c r="AN7" s="435"/>
      <c r="AO7" s="402" t="s">
        <v>149</v>
      </c>
      <c r="AP7" s="407"/>
      <c r="AQ7" s="433" t="s">
        <v>195</v>
      </c>
      <c r="AR7" s="434"/>
      <c r="AS7" s="435"/>
    </row>
    <row r="8" spans="1:45" s="246" customFormat="1" ht="39.6" x14ac:dyDescent="0.25">
      <c r="A8" s="427"/>
      <c r="B8" s="402"/>
      <c r="C8" s="402"/>
      <c r="D8" s="301" t="s">
        <v>360</v>
      </c>
      <c r="E8" s="301" t="s">
        <v>361</v>
      </c>
      <c r="F8" s="301" t="s">
        <v>362</v>
      </c>
      <c r="G8" s="402"/>
      <c r="H8" s="402"/>
      <c r="I8" s="301" t="s">
        <v>360</v>
      </c>
      <c r="J8" s="301" t="s">
        <v>361</v>
      </c>
      <c r="K8" s="301" t="s">
        <v>362</v>
      </c>
      <c r="L8" s="402"/>
      <c r="M8" s="295" t="s">
        <v>359</v>
      </c>
      <c r="N8" s="402"/>
      <c r="O8" s="295" t="s">
        <v>359</v>
      </c>
      <c r="P8" s="301" t="s">
        <v>360</v>
      </c>
      <c r="Q8" s="301" t="s">
        <v>361</v>
      </c>
      <c r="R8" s="301" t="s">
        <v>362</v>
      </c>
      <c r="S8" s="402"/>
      <c r="T8" s="295" t="s">
        <v>359</v>
      </c>
      <c r="U8" s="402"/>
      <c r="V8" s="295" t="s">
        <v>359</v>
      </c>
      <c r="W8" s="301" t="s">
        <v>360</v>
      </c>
      <c r="X8" s="301" t="s">
        <v>361</v>
      </c>
      <c r="Y8" s="301" t="s">
        <v>362</v>
      </c>
      <c r="Z8" s="402"/>
      <c r="AA8" s="295" t="s">
        <v>359</v>
      </c>
      <c r="AB8" s="301" t="s">
        <v>360</v>
      </c>
      <c r="AC8" s="301" t="s">
        <v>361</v>
      </c>
      <c r="AD8" s="301" t="s">
        <v>362</v>
      </c>
      <c r="AE8" s="295" t="s">
        <v>159</v>
      </c>
      <c r="AF8" s="295" t="s">
        <v>363</v>
      </c>
      <c r="AG8" s="301" t="s">
        <v>360</v>
      </c>
      <c r="AH8" s="301" t="s">
        <v>361</v>
      </c>
      <c r="AI8" s="301" t="s">
        <v>362</v>
      </c>
      <c r="AJ8" s="295" t="s">
        <v>159</v>
      </c>
      <c r="AK8" s="295" t="s">
        <v>363</v>
      </c>
      <c r="AL8" s="301" t="s">
        <v>360</v>
      </c>
      <c r="AM8" s="301" t="s">
        <v>361</v>
      </c>
      <c r="AN8" s="301" t="s">
        <v>362</v>
      </c>
      <c r="AO8" s="295" t="s">
        <v>159</v>
      </c>
      <c r="AP8" s="296" t="s">
        <v>363</v>
      </c>
      <c r="AQ8" s="301" t="s">
        <v>360</v>
      </c>
      <c r="AR8" s="301" t="s">
        <v>361</v>
      </c>
      <c r="AS8" s="301" t="s">
        <v>362</v>
      </c>
    </row>
    <row r="9" spans="1:45" s="314" customFormat="1" x14ac:dyDescent="0.25">
      <c r="A9" s="364" t="s">
        <v>28</v>
      </c>
      <c r="B9" s="365"/>
      <c r="C9" s="365"/>
      <c r="D9" s="366"/>
      <c r="E9" s="366"/>
      <c r="F9" s="366"/>
      <c r="G9" s="365">
        <v>1</v>
      </c>
      <c r="H9" s="365">
        <v>2</v>
      </c>
      <c r="I9" s="366"/>
      <c r="J9" s="366"/>
      <c r="K9" s="366"/>
      <c r="L9" s="365">
        <v>3</v>
      </c>
      <c r="M9" s="365">
        <v>4</v>
      </c>
      <c r="N9" s="365">
        <v>5</v>
      </c>
      <c r="O9" s="365">
        <v>6</v>
      </c>
      <c r="P9" s="366"/>
      <c r="Q9" s="366"/>
      <c r="R9" s="366"/>
      <c r="S9" s="365">
        <v>7</v>
      </c>
      <c r="T9" s="365">
        <v>8</v>
      </c>
      <c r="U9" s="365">
        <v>9</v>
      </c>
      <c r="V9" s="365">
        <v>10</v>
      </c>
      <c r="W9" s="366"/>
      <c r="X9" s="366"/>
      <c r="Y9" s="366"/>
      <c r="Z9" s="365">
        <v>11</v>
      </c>
      <c r="AA9" s="365">
        <v>12</v>
      </c>
      <c r="AB9" s="366"/>
      <c r="AC9" s="366"/>
      <c r="AD9" s="366"/>
      <c r="AE9" s="365"/>
      <c r="AF9" s="365"/>
      <c r="AG9" s="366"/>
      <c r="AH9" s="366"/>
      <c r="AI9" s="366"/>
      <c r="AJ9" s="365">
        <v>13</v>
      </c>
      <c r="AK9" s="365">
        <v>14</v>
      </c>
      <c r="AL9" s="366"/>
      <c r="AM9" s="366"/>
      <c r="AN9" s="366"/>
      <c r="AO9" s="365">
        <v>15</v>
      </c>
      <c r="AP9" s="367">
        <v>16</v>
      </c>
    </row>
    <row r="10" spans="1:45" x14ac:dyDescent="0.25">
      <c r="A10" s="323" t="s">
        <v>376</v>
      </c>
      <c r="B10" s="324">
        <v>25387.8403</v>
      </c>
      <c r="C10" s="324">
        <v>0</v>
      </c>
      <c r="D10" s="325">
        <v>0</v>
      </c>
      <c r="E10" s="325">
        <v>0</v>
      </c>
      <c r="F10" s="325">
        <v>0</v>
      </c>
      <c r="G10" s="324">
        <v>18101.835200000001</v>
      </c>
      <c r="H10" s="324">
        <v>0</v>
      </c>
      <c r="I10" s="325">
        <v>0</v>
      </c>
      <c r="J10" s="325">
        <v>0</v>
      </c>
      <c r="K10" s="325">
        <v>0</v>
      </c>
      <c r="L10" s="324">
        <v>-7286.0050999999985</v>
      </c>
      <c r="M10" s="324">
        <v>0</v>
      </c>
      <c r="N10" s="324">
        <v>73552.244000000006</v>
      </c>
      <c r="O10" s="324">
        <v>12591.8</v>
      </c>
      <c r="P10" s="325">
        <v>1500</v>
      </c>
      <c r="Q10" s="325">
        <v>0</v>
      </c>
      <c r="R10" s="325">
        <v>11091.8</v>
      </c>
      <c r="S10" s="324">
        <v>86.344306026242393</v>
      </c>
      <c r="T10" s="324">
        <v>100</v>
      </c>
      <c r="U10" s="324">
        <v>80669.199099999998</v>
      </c>
      <c r="V10" s="324">
        <v>12591.8</v>
      </c>
      <c r="W10" s="325">
        <v>1500</v>
      </c>
      <c r="X10" s="325">
        <v>0</v>
      </c>
      <c r="Y10" s="325">
        <v>11091.8</v>
      </c>
      <c r="Z10" s="324">
        <v>84.881190779754718</v>
      </c>
      <c r="AA10" s="324">
        <v>100</v>
      </c>
      <c r="AB10" s="325">
        <v>100</v>
      </c>
      <c r="AC10" s="325"/>
      <c r="AD10" s="325">
        <v>100</v>
      </c>
      <c r="AE10" s="324">
        <v>48902.671999999999</v>
      </c>
      <c r="AF10" s="324">
        <v>7477.56</v>
      </c>
      <c r="AG10" s="325">
        <v>0</v>
      </c>
      <c r="AH10" s="325">
        <v>0</v>
      </c>
      <c r="AI10" s="325">
        <v>7477.56</v>
      </c>
      <c r="AJ10" s="324">
        <v>42850.515299999999</v>
      </c>
      <c r="AK10" s="324">
        <v>7477.56</v>
      </c>
      <c r="AL10" s="325">
        <v>0</v>
      </c>
      <c r="AM10" s="325">
        <v>0</v>
      </c>
      <c r="AN10" s="325">
        <v>7477.56</v>
      </c>
      <c r="AO10" s="324">
        <v>87.624077678209488</v>
      </c>
      <c r="AP10" s="326">
        <v>100.00000000000001</v>
      </c>
      <c r="AQ10" s="327"/>
      <c r="AR10" s="324"/>
      <c r="AS10" s="326">
        <f t="shared" ref="AS10:AS27" si="0">AN10/AI10%</f>
        <v>100.00000000000001</v>
      </c>
    </row>
    <row r="11" spans="1:45" ht="27.6" x14ac:dyDescent="0.25">
      <c r="A11" s="323" t="s">
        <v>377</v>
      </c>
      <c r="B11" s="324">
        <v>3606.1122999999998</v>
      </c>
      <c r="C11" s="324">
        <v>0</v>
      </c>
      <c r="D11" s="325">
        <v>0</v>
      </c>
      <c r="E11" s="325">
        <v>0</v>
      </c>
      <c r="F11" s="325">
        <v>0</v>
      </c>
      <c r="G11" s="324">
        <v>934.30579999999998</v>
      </c>
      <c r="H11" s="324">
        <v>0</v>
      </c>
      <c r="I11" s="325">
        <v>0</v>
      </c>
      <c r="J11" s="325">
        <v>0</v>
      </c>
      <c r="K11" s="325">
        <v>0</v>
      </c>
      <c r="L11" s="324">
        <v>-2671.8064999999997</v>
      </c>
      <c r="M11" s="324">
        <v>0</v>
      </c>
      <c r="N11" s="324">
        <v>13407.1558</v>
      </c>
      <c r="O11" s="324">
        <v>400</v>
      </c>
      <c r="P11" s="325">
        <v>0</v>
      </c>
      <c r="Q11" s="325">
        <v>0</v>
      </c>
      <c r="R11" s="325">
        <v>400</v>
      </c>
      <c r="S11" s="324">
        <v>79.804498809523807</v>
      </c>
      <c r="T11" s="324">
        <v>100</v>
      </c>
      <c r="U11" s="324">
        <v>16078.962299999999</v>
      </c>
      <c r="V11" s="324">
        <v>400</v>
      </c>
      <c r="W11" s="325">
        <v>0</v>
      </c>
      <c r="X11" s="325">
        <v>0</v>
      </c>
      <c r="Y11" s="325">
        <v>400</v>
      </c>
      <c r="Z11" s="324">
        <v>95.974645371988359</v>
      </c>
      <c r="AA11" s="324">
        <v>100</v>
      </c>
      <c r="AB11" s="325"/>
      <c r="AC11" s="325"/>
      <c r="AD11" s="325">
        <v>100</v>
      </c>
      <c r="AE11" s="324">
        <v>11065.6</v>
      </c>
      <c r="AF11" s="324">
        <v>65.599999999999994</v>
      </c>
      <c r="AG11" s="325">
        <v>0</v>
      </c>
      <c r="AH11" s="325">
        <v>0</v>
      </c>
      <c r="AI11" s="325">
        <v>65.599999999999994</v>
      </c>
      <c r="AJ11" s="324">
        <v>10762.9329</v>
      </c>
      <c r="AK11" s="324">
        <v>65.599999999999994</v>
      </c>
      <c r="AL11" s="325">
        <v>0</v>
      </c>
      <c r="AM11" s="325">
        <v>0</v>
      </c>
      <c r="AN11" s="325">
        <v>65.599999999999994</v>
      </c>
      <c r="AO11" s="324">
        <v>97.264792690861768</v>
      </c>
      <c r="AP11" s="326">
        <v>100</v>
      </c>
      <c r="AQ11" s="327"/>
      <c r="AR11" s="324"/>
      <c r="AS11" s="326">
        <f t="shared" si="0"/>
        <v>100</v>
      </c>
    </row>
    <row r="12" spans="1:45" x14ac:dyDescent="0.25">
      <c r="A12" s="323" t="s">
        <v>378</v>
      </c>
      <c r="B12" s="324">
        <v>13263.5782</v>
      </c>
      <c r="C12" s="324">
        <v>12458.794</v>
      </c>
      <c r="D12" s="325">
        <v>162.75280000000001</v>
      </c>
      <c r="E12" s="325">
        <v>0</v>
      </c>
      <c r="F12" s="325">
        <v>12296.0412</v>
      </c>
      <c r="G12" s="324">
        <v>18041.8285</v>
      </c>
      <c r="H12" s="324">
        <v>12506.597099999999</v>
      </c>
      <c r="I12" s="325">
        <v>1604.0296000000001</v>
      </c>
      <c r="J12" s="325">
        <v>0</v>
      </c>
      <c r="K12" s="325">
        <v>10902.567499999999</v>
      </c>
      <c r="L12" s="324">
        <v>4778.2502999999997</v>
      </c>
      <c r="M12" s="324">
        <v>47.803099999999176</v>
      </c>
      <c r="N12" s="324">
        <v>400777.53499999997</v>
      </c>
      <c r="O12" s="324">
        <v>336706.85279999999</v>
      </c>
      <c r="P12" s="325">
        <v>3418.94</v>
      </c>
      <c r="Q12" s="325">
        <v>0</v>
      </c>
      <c r="R12" s="325">
        <v>333287.91279999999</v>
      </c>
      <c r="S12" s="324">
        <v>99.192076606392632</v>
      </c>
      <c r="T12" s="324">
        <v>100</v>
      </c>
      <c r="U12" s="324">
        <v>395999.28460000001</v>
      </c>
      <c r="V12" s="324">
        <v>336659.04960000003</v>
      </c>
      <c r="W12" s="325">
        <v>1977.6632999999999</v>
      </c>
      <c r="X12" s="325">
        <v>0</v>
      </c>
      <c r="Y12" s="325">
        <v>334681.38630000001</v>
      </c>
      <c r="Z12" s="324">
        <v>94.935061433433091</v>
      </c>
      <c r="AA12" s="324">
        <v>96.418209409078898</v>
      </c>
      <c r="AB12" s="325">
        <v>55.219317766168643</v>
      </c>
      <c r="AC12" s="325"/>
      <c r="AD12" s="325">
        <v>96.845175397479593</v>
      </c>
      <c r="AE12" s="324">
        <v>196554.24409999998</v>
      </c>
      <c r="AF12" s="324">
        <v>179907.66749999998</v>
      </c>
      <c r="AG12" s="325">
        <v>109.96</v>
      </c>
      <c r="AH12" s="325">
        <v>0</v>
      </c>
      <c r="AI12" s="325">
        <v>179797.70749999999</v>
      </c>
      <c r="AJ12" s="324">
        <v>193314.2769</v>
      </c>
      <c r="AK12" s="324">
        <v>178921.01679999998</v>
      </c>
      <c r="AL12" s="325">
        <v>109.96</v>
      </c>
      <c r="AM12" s="325">
        <v>0</v>
      </c>
      <c r="AN12" s="325">
        <v>178811.05679999999</v>
      </c>
      <c r="AO12" s="324">
        <v>98.351616768777788</v>
      </c>
      <c r="AP12" s="326">
        <v>99.45157940530801</v>
      </c>
      <c r="AQ12" s="327">
        <f t="shared" ref="AQ12:AQ27" si="1">AL12/AG12%</f>
        <v>100</v>
      </c>
      <c r="AR12" s="324"/>
      <c r="AS12" s="326">
        <f t="shared" si="0"/>
        <v>99.451244004320813</v>
      </c>
    </row>
    <row r="13" spans="1:45" x14ac:dyDescent="0.25">
      <c r="A13" s="323" t="s">
        <v>379</v>
      </c>
      <c r="B13" s="324">
        <v>2062583.5408000001</v>
      </c>
      <c r="C13" s="324">
        <v>436466.69540000003</v>
      </c>
      <c r="D13" s="325">
        <v>114689.0528</v>
      </c>
      <c r="E13" s="325">
        <v>0</v>
      </c>
      <c r="F13" s="325">
        <v>321777.64260000002</v>
      </c>
      <c r="G13" s="324">
        <v>1651463.7371999999</v>
      </c>
      <c r="H13" s="324">
        <v>365974.26890000002</v>
      </c>
      <c r="I13" s="325">
        <v>25934.674500000001</v>
      </c>
      <c r="J13" s="325">
        <v>0</v>
      </c>
      <c r="K13" s="325">
        <v>340039.5944</v>
      </c>
      <c r="L13" s="324">
        <v>-411119.80360000022</v>
      </c>
      <c r="M13" s="324">
        <v>-70492.426500000001</v>
      </c>
      <c r="N13" s="324">
        <v>19476937.807099998</v>
      </c>
      <c r="O13" s="324">
        <v>3368972.7651000004</v>
      </c>
      <c r="P13" s="325">
        <v>201099.38829999999</v>
      </c>
      <c r="Q13" s="325">
        <v>0</v>
      </c>
      <c r="R13" s="325">
        <v>3167873.3768000002</v>
      </c>
      <c r="S13" s="324">
        <v>98.512541687077785</v>
      </c>
      <c r="T13" s="324">
        <v>99.986661962318607</v>
      </c>
      <c r="U13" s="324">
        <v>19890910.2883</v>
      </c>
      <c r="V13" s="324">
        <v>3440768.5513000004</v>
      </c>
      <c r="W13" s="325">
        <v>289381.69420000003</v>
      </c>
      <c r="X13" s="325">
        <v>0</v>
      </c>
      <c r="Y13" s="325">
        <v>3151386.8571000001</v>
      </c>
      <c r="Z13" s="324">
        <v>93.497118654204257</v>
      </c>
      <c r="AA13" s="324">
        <v>92.171072131471234</v>
      </c>
      <c r="AB13" s="325">
        <v>92.008561642548031</v>
      </c>
      <c r="AC13" s="325"/>
      <c r="AD13" s="325">
        <v>92.186023728163889</v>
      </c>
      <c r="AE13" s="324">
        <v>10035158.469599999</v>
      </c>
      <c r="AF13" s="324">
        <v>1427152.3262</v>
      </c>
      <c r="AG13" s="325">
        <v>5926.7007999999996</v>
      </c>
      <c r="AH13" s="325">
        <v>0</v>
      </c>
      <c r="AI13" s="325">
        <v>1421225.6254</v>
      </c>
      <c r="AJ13" s="324">
        <v>9598548.1697000004</v>
      </c>
      <c r="AK13" s="324">
        <v>1376614.4602999999</v>
      </c>
      <c r="AL13" s="325">
        <v>5844.4732999999997</v>
      </c>
      <c r="AM13" s="325">
        <v>0</v>
      </c>
      <c r="AN13" s="325">
        <v>1370769.987</v>
      </c>
      <c r="AO13" s="324">
        <v>95.649193769857803</v>
      </c>
      <c r="AP13" s="326">
        <v>96.458831690758302</v>
      </c>
      <c r="AQ13" s="327">
        <f t="shared" si="1"/>
        <v>98.612592354923663</v>
      </c>
      <c r="AR13" s="324"/>
      <c r="AS13" s="326">
        <f t="shared" si="0"/>
        <v>96.449850220945777</v>
      </c>
    </row>
    <row r="14" spans="1:45" x14ac:dyDescent="0.25">
      <c r="A14" s="323" t="s">
        <v>380</v>
      </c>
      <c r="B14" s="324">
        <v>32943.788699999997</v>
      </c>
      <c r="C14" s="324">
        <v>28349.860400000001</v>
      </c>
      <c r="D14" s="325">
        <v>23922.161700000001</v>
      </c>
      <c r="E14" s="325">
        <v>2506.4391999999998</v>
      </c>
      <c r="F14" s="325">
        <v>1921.2594999999999</v>
      </c>
      <c r="G14" s="324">
        <v>22429.777000000002</v>
      </c>
      <c r="H14" s="324">
        <v>6985.7353000000003</v>
      </c>
      <c r="I14" s="325">
        <v>2159.7883999999999</v>
      </c>
      <c r="J14" s="325">
        <v>2506.4391999999998</v>
      </c>
      <c r="K14" s="325">
        <v>2319.5077000000001</v>
      </c>
      <c r="L14" s="324">
        <v>-10514.011699999995</v>
      </c>
      <c r="M14" s="324">
        <v>-21364.125100000001</v>
      </c>
      <c r="N14" s="324">
        <v>930608.78020000004</v>
      </c>
      <c r="O14" s="324">
        <v>767833.45189999999</v>
      </c>
      <c r="P14" s="325">
        <v>54729.044500000004</v>
      </c>
      <c r="Q14" s="325">
        <v>0</v>
      </c>
      <c r="R14" s="325">
        <v>713104.40740000003</v>
      </c>
      <c r="S14" s="324">
        <v>99.96145598459259</v>
      </c>
      <c r="T14" s="324">
        <v>100</v>
      </c>
      <c r="U14" s="324">
        <v>941094.37489999994</v>
      </c>
      <c r="V14" s="324">
        <v>789184.47640000004</v>
      </c>
      <c r="W14" s="325">
        <v>76472.646699999998</v>
      </c>
      <c r="X14" s="325">
        <v>0</v>
      </c>
      <c r="Y14" s="325">
        <v>712711.8297</v>
      </c>
      <c r="Z14" s="324">
        <v>97.633681313749463</v>
      </c>
      <c r="AA14" s="324">
        <v>99.120951696440116</v>
      </c>
      <c r="AB14" s="325">
        <v>97.230100331252132</v>
      </c>
      <c r="AC14" s="325">
        <v>0</v>
      </c>
      <c r="AD14" s="325">
        <v>99.676398022181274</v>
      </c>
      <c r="AE14" s="324">
        <v>462974.69569999998</v>
      </c>
      <c r="AF14" s="324">
        <v>412676.7255</v>
      </c>
      <c r="AG14" s="325">
        <v>0</v>
      </c>
      <c r="AH14" s="325">
        <v>0</v>
      </c>
      <c r="AI14" s="325">
        <v>412676.7255</v>
      </c>
      <c r="AJ14" s="324">
        <v>460561.98340000003</v>
      </c>
      <c r="AK14" s="324">
        <v>412676.4927</v>
      </c>
      <c r="AL14" s="325">
        <v>0</v>
      </c>
      <c r="AM14" s="325">
        <v>0</v>
      </c>
      <c r="AN14" s="325">
        <v>412676.4927</v>
      </c>
      <c r="AO14" s="324">
        <v>99.478867350114683</v>
      </c>
      <c r="AP14" s="326">
        <v>99.999943587804793</v>
      </c>
      <c r="AQ14" s="327"/>
      <c r="AR14" s="324"/>
      <c r="AS14" s="326">
        <f t="shared" si="0"/>
        <v>99.999943587804793</v>
      </c>
    </row>
    <row r="15" spans="1:45" x14ac:dyDescent="0.25">
      <c r="A15" s="323" t="s">
        <v>381</v>
      </c>
      <c r="B15" s="324">
        <v>43552.2546</v>
      </c>
      <c r="C15" s="324">
        <v>30485.051899999999</v>
      </c>
      <c r="D15" s="325">
        <v>21773.193500000001</v>
      </c>
      <c r="E15" s="325">
        <v>0</v>
      </c>
      <c r="F15" s="325">
        <v>8711.8583999999992</v>
      </c>
      <c r="G15" s="324">
        <v>83354.902499999997</v>
      </c>
      <c r="H15" s="324">
        <v>62107.5815</v>
      </c>
      <c r="I15" s="325">
        <v>14291.8771</v>
      </c>
      <c r="J15" s="325">
        <v>0</v>
      </c>
      <c r="K15" s="325">
        <v>47815.704400000002</v>
      </c>
      <c r="L15" s="324">
        <v>39802.647899999996</v>
      </c>
      <c r="M15" s="324">
        <v>31622.529600000002</v>
      </c>
      <c r="N15" s="324">
        <v>548199.17229999998</v>
      </c>
      <c r="O15" s="324">
        <v>474100.54000000004</v>
      </c>
      <c r="P15" s="325">
        <v>137089.9</v>
      </c>
      <c r="Q15" s="325">
        <v>49578.74</v>
      </c>
      <c r="R15" s="325">
        <v>287431.90000000002</v>
      </c>
      <c r="S15" s="324">
        <v>98.827792766296696</v>
      </c>
      <c r="T15" s="324">
        <v>99.995073017833519</v>
      </c>
      <c r="U15" s="324">
        <v>506294.0981</v>
      </c>
      <c r="V15" s="324">
        <v>440388.18410000001</v>
      </c>
      <c r="W15" s="325">
        <v>142357.70250000001</v>
      </c>
      <c r="X15" s="325">
        <v>49578.74</v>
      </c>
      <c r="Y15" s="325">
        <v>248451.74160000001</v>
      </c>
      <c r="Z15" s="324">
        <v>88.484052026946628</v>
      </c>
      <c r="AA15" s="324">
        <v>88.07480491556764</v>
      </c>
      <c r="AB15" s="325">
        <v>90.875311884702384</v>
      </c>
      <c r="AC15" s="325">
        <v>99.95713709677419</v>
      </c>
      <c r="AD15" s="325">
        <v>84.575171170249064</v>
      </c>
      <c r="AE15" s="324">
        <v>180967.01550000001</v>
      </c>
      <c r="AF15" s="324">
        <v>173170.52249999999</v>
      </c>
      <c r="AG15" s="325">
        <v>439.6696</v>
      </c>
      <c r="AH15" s="325">
        <v>0</v>
      </c>
      <c r="AI15" s="325">
        <v>172730.8529</v>
      </c>
      <c r="AJ15" s="324">
        <v>153913.93489999999</v>
      </c>
      <c r="AK15" s="324">
        <v>146485.29079999999</v>
      </c>
      <c r="AL15" s="325">
        <v>439.6696</v>
      </c>
      <c r="AM15" s="325">
        <v>0</v>
      </c>
      <c r="AN15" s="325">
        <v>146045.62119999999</v>
      </c>
      <c r="AO15" s="324">
        <v>85.050822369339457</v>
      </c>
      <c r="AP15" s="326">
        <v>84.590199697526458</v>
      </c>
      <c r="AQ15" s="327">
        <f t="shared" si="1"/>
        <v>99.999999999999986</v>
      </c>
      <c r="AR15" s="324"/>
      <c r="AS15" s="326">
        <f t="shared" si="0"/>
        <v>84.550975548387399</v>
      </c>
    </row>
    <row r="16" spans="1:45" x14ac:dyDescent="0.25">
      <c r="A16" s="323" t="s">
        <v>382</v>
      </c>
      <c r="B16" s="324">
        <v>69083.84120000001</v>
      </c>
      <c r="C16" s="324">
        <v>51061.8531</v>
      </c>
      <c r="D16" s="325">
        <v>34389.045400000003</v>
      </c>
      <c r="E16" s="325">
        <v>5000</v>
      </c>
      <c r="F16" s="325">
        <v>11672.807699999999</v>
      </c>
      <c r="G16" s="324">
        <v>66135.159199999995</v>
      </c>
      <c r="H16" s="324">
        <v>49143.166799999999</v>
      </c>
      <c r="I16" s="325">
        <v>36671.359299999996</v>
      </c>
      <c r="J16" s="325">
        <v>0</v>
      </c>
      <c r="K16" s="325">
        <v>12471.807500000001</v>
      </c>
      <c r="L16" s="324">
        <v>-2948.6820000000153</v>
      </c>
      <c r="M16" s="324">
        <v>-1918.6863000000012</v>
      </c>
      <c r="N16" s="324">
        <v>4364590.4929</v>
      </c>
      <c r="O16" s="324">
        <v>4080796.6011000001</v>
      </c>
      <c r="P16" s="325">
        <v>653950.875</v>
      </c>
      <c r="Q16" s="325">
        <v>8500</v>
      </c>
      <c r="R16" s="325">
        <v>3418345.7261000001</v>
      </c>
      <c r="S16" s="324">
        <v>99.691088085544848</v>
      </c>
      <c r="T16" s="324">
        <v>99.75941378510295</v>
      </c>
      <c r="U16" s="324">
        <v>4363023.1643000003</v>
      </c>
      <c r="V16" s="324">
        <v>4078143.6519999998</v>
      </c>
      <c r="W16" s="325">
        <v>647096.92579999997</v>
      </c>
      <c r="X16" s="325">
        <v>13500</v>
      </c>
      <c r="Y16" s="325">
        <v>3417546.7261999999</v>
      </c>
      <c r="Z16" s="324">
        <v>98.715000659536926</v>
      </c>
      <c r="AA16" s="324">
        <v>98.880197378358602</v>
      </c>
      <c r="AB16" s="325">
        <v>94.636873324033033</v>
      </c>
      <c r="AC16" s="325">
        <v>100</v>
      </c>
      <c r="AD16" s="325">
        <v>99.722415877361129</v>
      </c>
      <c r="AE16" s="324">
        <v>2171485.2745999997</v>
      </c>
      <c r="AF16" s="324">
        <v>2097350.0995999998</v>
      </c>
      <c r="AG16" s="325">
        <v>24.677600000000002</v>
      </c>
      <c r="AH16" s="325">
        <v>0</v>
      </c>
      <c r="AI16" s="325">
        <v>2097325.4219999998</v>
      </c>
      <c r="AJ16" s="324">
        <v>2168986.5490000001</v>
      </c>
      <c r="AK16" s="324">
        <v>2095788.8178000001</v>
      </c>
      <c r="AL16" s="325">
        <v>24.677600000000002</v>
      </c>
      <c r="AM16" s="325">
        <v>0</v>
      </c>
      <c r="AN16" s="325">
        <v>2095764.1402</v>
      </c>
      <c r="AO16" s="324">
        <v>99.884930115381053</v>
      </c>
      <c r="AP16" s="326">
        <v>99.925559314093647</v>
      </c>
      <c r="AQ16" s="327">
        <f t="shared" si="1"/>
        <v>100</v>
      </c>
      <c r="AR16" s="324"/>
      <c r="AS16" s="326">
        <f t="shared" si="0"/>
        <v>99.925558438207887</v>
      </c>
    </row>
    <row r="17" spans="1:45" ht="27.6" x14ac:dyDescent="0.25">
      <c r="A17" s="323" t="s">
        <v>383</v>
      </c>
      <c r="B17" s="324">
        <v>594.65620000000001</v>
      </c>
      <c r="C17" s="324">
        <v>0</v>
      </c>
      <c r="D17" s="325">
        <v>0</v>
      </c>
      <c r="E17" s="325">
        <v>0</v>
      </c>
      <c r="F17" s="325">
        <v>0</v>
      </c>
      <c r="G17" s="324">
        <v>518.15499999999997</v>
      </c>
      <c r="H17" s="324">
        <v>0</v>
      </c>
      <c r="I17" s="325">
        <v>0</v>
      </c>
      <c r="J17" s="325">
        <v>0</v>
      </c>
      <c r="K17" s="325">
        <v>0</v>
      </c>
      <c r="L17" s="324">
        <v>-76.50120000000004</v>
      </c>
      <c r="M17" s="324">
        <v>0</v>
      </c>
      <c r="N17" s="324">
        <v>6508.7610000000004</v>
      </c>
      <c r="O17" s="324">
        <v>614.6</v>
      </c>
      <c r="P17" s="325">
        <v>0</v>
      </c>
      <c r="Q17" s="325">
        <v>0</v>
      </c>
      <c r="R17" s="325">
        <v>614.6</v>
      </c>
      <c r="S17" s="324">
        <v>100.00000000000001</v>
      </c>
      <c r="T17" s="324">
        <v>100</v>
      </c>
      <c r="U17" s="324">
        <v>6585.2620999999999</v>
      </c>
      <c r="V17" s="324">
        <v>614.6</v>
      </c>
      <c r="W17" s="325">
        <v>0</v>
      </c>
      <c r="X17" s="325">
        <v>0</v>
      </c>
      <c r="Y17" s="325">
        <v>614.6</v>
      </c>
      <c r="Z17" s="324">
        <v>100</v>
      </c>
      <c r="AA17" s="324">
        <v>100</v>
      </c>
      <c r="AB17" s="325"/>
      <c r="AC17" s="325"/>
      <c r="AD17" s="325">
        <v>100</v>
      </c>
      <c r="AE17" s="324">
        <v>2257.4139</v>
      </c>
      <c r="AF17" s="324">
        <v>468.30200000000002</v>
      </c>
      <c r="AG17" s="325">
        <v>0</v>
      </c>
      <c r="AH17" s="325">
        <v>0</v>
      </c>
      <c r="AI17" s="325">
        <v>468.30200000000002</v>
      </c>
      <c r="AJ17" s="324">
        <v>2257.4139</v>
      </c>
      <c r="AK17" s="324">
        <v>468.30200000000002</v>
      </c>
      <c r="AL17" s="325">
        <v>0</v>
      </c>
      <c r="AM17" s="325">
        <v>0</v>
      </c>
      <c r="AN17" s="325">
        <v>468.30200000000002</v>
      </c>
      <c r="AO17" s="324">
        <v>100</v>
      </c>
      <c r="AP17" s="326">
        <v>100</v>
      </c>
      <c r="AQ17" s="327"/>
      <c r="AR17" s="324"/>
      <c r="AS17" s="326">
        <f t="shared" si="0"/>
        <v>100</v>
      </c>
    </row>
    <row r="18" spans="1:45" x14ac:dyDescent="0.25">
      <c r="A18" s="323" t="s">
        <v>384</v>
      </c>
      <c r="B18" s="324">
        <v>2819.0910000000003</v>
      </c>
      <c r="C18" s="324">
        <v>2740.9674999999997</v>
      </c>
      <c r="D18" s="325">
        <v>2478.1958</v>
      </c>
      <c r="E18" s="325">
        <v>0</v>
      </c>
      <c r="F18" s="325">
        <v>262.77170000000001</v>
      </c>
      <c r="G18" s="324">
        <v>3022.5960999999998</v>
      </c>
      <c r="H18" s="324">
        <v>2956.4092999999998</v>
      </c>
      <c r="I18" s="325">
        <v>2844.6197999999999</v>
      </c>
      <c r="J18" s="325">
        <v>0</v>
      </c>
      <c r="K18" s="325">
        <v>111.7895</v>
      </c>
      <c r="L18" s="324">
        <v>203.5050999999994</v>
      </c>
      <c r="M18" s="324">
        <v>215.44180000000006</v>
      </c>
      <c r="N18" s="324">
        <v>85441.414199999999</v>
      </c>
      <c r="O18" s="324">
        <v>78599.7</v>
      </c>
      <c r="P18" s="325">
        <v>43744.6</v>
      </c>
      <c r="Q18" s="325">
        <v>0</v>
      </c>
      <c r="R18" s="325">
        <v>34855.1</v>
      </c>
      <c r="S18" s="324">
        <v>100</v>
      </c>
      <c r="T18" s="324">
        <v>100</v>
      </c>
      <c r="U18" s="324">
        <v>85237.909</v>
      </c>
      <c r="V18" s="324">
        <v>78384.258100000006</v>
      </c>
      <c r="W18" s="325">
        <v>43378.175900000002</v>
      </c>
      <c r="X18" s="325">
        <v>0</v>
      </c>
      <c r="Y18" s="325">
        <v>35006.082199999997</v>
      </c>
      <c r="Z18" s="324">
        <v>96.575369477944022</v>
      </c>
      <c r="AA18" s="324">
        <v>96.365398157078076</v>
      </c>
      <c r="AB18" s="325">
        <v>93.845850622475766</v>
      </c>
      <c r="AC18" s="325"/>
      <c r="AD18" s="325">
        <v>99.681673476812648</v>
      </c>
      <c r="AE18" s="324">
        <v>19182</v>
      </c>
      <c r="AF18" s="324">
        <v>15653</v>
      </c>
      <c r="AG18" s="325">
        <v>0</v>
      </c>
      <c r="AH18" s="325">
        <v>0</v>
      </c>
      <c r="AI18" s="325">
        <v>15653</v>
      </c>
      <c r="AJ18" s="324">
        <v>19173.297200000001</v>
      </c>
      <c r="AK18" s="324">
        <v>15650.6787</v>
      </c>
      <c r="AL18" s="325">
        <v>0</v>
      </c>
      <c r="AM18" s="325">
        <v>0</v>
      </c>
      <c r="AN18" s="325">
        <v>15650.6787</v>
      </c>
      <c r="AO18" s="324">
        <v>99.954630382650407</v>
      </c>
      <c r="AP18" s="326">
        <v>99.98517025490321</v>
      </c>
      <c r="AQ18" s="327"/>
      <c r="AR18" s="324"/>
      <c r="AS18" s="326">
        <f t="shared" si="0"/>
        <v>99.98517025490321</v>
      </c>
    </row>
    <row r="19" spans="1:45" ht="27.6" x14ac:dyDescent="0.25">
      <c r="A19" s="323" t="s">
        <v>385</v>
      </c>
      <c r="B19" s="324">
        <v>69466.561600000015</v>
      </c>
      <c r="C19" s="324">
        <v>68777.381000000008</v>
      </c>
      <c r="D19" s="325">
        <v>67024.070000000007</v>
      </c>
      <c r="E19" s="325">
        <v>0</v>
      </c>
      <c r="F19" s="325">
        <v>1753.3109999999999</v>
      </c>
      <c r="G19" s="324">
        <v>64821.080499999996</v>
      </c>
      <c r="H19" s="324">
        <v>64756.712599999999</v>
      </c>
      <c r="I19" s="325">
        <v>64251.739600000001</v>
      </c>
      <c r="J19" s="325">
        <v>0</v>
      </c>
      <c r="K19" s="325">
        <v>504.97300000000001</v>
      </c>
      <c r="L19" s="324">
        <v>-4645.4811000000191</v>
      </c>
      <c r="M19" s="324">
        <v>-4020.6684000000096</v>
      </c>
      <c r="N19" s="324">
        <v>13560.139299999999</v>
      </c>
      <c r="O19" s="324">
        <v>12132.2</v>
      </c>
      <c r="P19" s="325">
        <v>5100</v>
      </c>
      <c r="Q19" s="325">
        <v>0</v>
      </c>
      <c r="R19" s="325">
        <v>7032.2</v>
      </c>
      <c r="S19" s="324">
        <v>99.999999999999986</v>
      </c>
      <c r="T19" s="324">
        <v>100</v>
      </c>
      <c r="U19" s="324">
        <v>16635.6204</v>
      </c>
      <c r="V19" s="324">
        <v>14582.868399999999</v>
      </c>
      <c r="W19" s="325">
        <v>6302.3303999999998</v>
      </c>
      <c r="X19" s="325">
        <v>0</v>
      </c>
      <c r="Y19" s="325">
        <v>8280.5380000000005</v>
      </c>
      <c r="Z19" s="324">
        <v>20.422654264408095</v>
      </c>
      <c r="AA19" s="324">
        <v>18.380319401989276</v>
      </c>
      <c r="AB19" s="325">
        <v>8.932624864873139</v>
      </c>
      <c r="AC19" s="325"/>
      <c r="AD19" s="325">
        <v>94.252206843745341</v>
      </c>
      <c r="AE19" s="324">
        <v>4308.7623000000003</v>
      </c>
      <c r="AF19" s="324">
        <v>3985.8868000000002</v>
      </c>
      <c r="AG19" s="325">
        <v>0</v>
      </c>
      <c r="AH19" s="325">
        <v>0</v>
      </c>
      <c r="AI19" s="325">
        <v>3985.8868000000002</v>
      </c>
      <c r="AJ19" s="324">
        <v>4308.7623000000003</v>
      </c>
      <c r="AK19" s="324">
        <v>3985.8868000000002</v>
      </c>
      <c r="AL19" s="325">
        <v>0</v>
      </c>
      <c r="AM19" s="325">
        <v>0</v>
      </c>
      <c r="AN19" s="325">
        <v>3985.8868000000002</v>
      </c>
      <c r="AO19" s="324">
        <v>100</v>
      </c>
      <c r="AP19" s="326">
        <v>100</v>
      </c>
      <c r="AQ19" s="327"/>
      <c r="AR19" s="324"/>
      <c r="AS19" s="326">
        <f t="shared" si="0"/>
        <v>100</v>
      </c>
    </row>
    <row r="20" spans="1:45" ht="27.6" x14ac:dyDescent="0.25">
      <c r="A20" s="323" t="s">
        <v>386</v>
      </c>
      <c r="B20" s="324">
        <v>93210.858399999997</v>
      </c>
      <c r="C20" s="324">
        <v>78135.249400000001</v>
      </c>
      <c r="D20" s="325">
        <v>40107.848299999998</v>
      </c>
      <c r="E20" s="325">
        <v>0</v>
      </c>
      <c r="F20" s="325">
        <v>38027.401100000003</v>
      </c>
      <c r="G20" s="324">
        <v>94484.721699999995</v>
      </c>
      <c r="H20" s="324">
        <v>63179.276400000002</v>
      </c>
      <c r="I20" s="325">
        <v>15363.532300000001</v>
      </c>
      <c r="J20" s="325">
        <v>0</v>
      </c>
      <c r="K20" s="325">
        <v>47815.744100000004</v>
      </c>
      <c r="L20" s="324">
        <v>1273.8632999999973</v>
      </c>
      <c r="M20" s="324">
        <v>-14955.972999999998</v>
      </c>
      <c r="N20" s="324">
        <v>2308086.7176999999</v>
      </c>
      <c r="O20" s="324">
        <v>1839778.3267000001</v>
      </c>
      <c r="P20" s="325">
        <v>145067.95050000001</v>
      </c>
      <c r="Q20" s="325">
        <v>0</v>
      </c>
      <c r="R20" s="325">
        <v>1694710.3762000001</v>
      </c>
      <c r="S20" s="324">
        <v>100.12230662335477</v>
      </c>
      <c r="T20" s="324">
        <v>99.998521582873565</v>
      </c>
      <c r="U20" s="324">
        <v>2302880.6562999999</v>
      </c>
      <c r="V20" s="324">
        <v>1850802.1015999999</v>
      </c>
      <c r="W20" s="325">
        <v>165880.06830000001</v>
      </c>
      <c r="X20" s="325">
        <v>0</v>
      </c>
      <c r="Y20" s="325">
        <v>1684922.0333</v>
      </c>
      <c r="Z20" s="324">
        <v>96.014246449305546</v>
      </c>
      <c r="AA20" s="324">
        <v>96.499439641899585</v>
      </c>
      <c r="AB20" s="325">
        <v>89.566621201798085</v>
      </c>
      <c r="AC20" s="325"/>
      <c r="AD20" s="325">
        <v>97.240451225588885</v>
      </c>
      <c r="AE20" s="324">
        <v>1190145.7348</v>
      </c>
      <c r="AF20" s="324">
        <v>1121601.4482</v>
      </c>
      <c r="AG20" s="325">
        <v>23205.167600000001</v>
      </c>
      <c r="AH20" s="325">
        <v>0</v>
      </c>
      <c r="AI20" s="325">
        <v>1098396.2805999999</v>
      </c>
      <c r="AJ20" s="324">
        <v>1164749.6301</v>
      </c>
      <c r="AK20" s="324">
        <v>1098538.3042000001</v>
      </c>
      <c r="AL20" s="325">
        <v>23137.432499999999</v>
      </c>
      <c r="AM20" s="325">
        <v>0</v>
      </c>
      <c r="AN20" s="325">
        <v>1075400.8717</v>
      </c>
      <c r="AO20" s="324">
        <v>97.866134881013735</v>
      </c>
      <c r="AP20" s="326">
        <v>97.943730900400254</v>
      </c>
      <c r="AQ20" s="327">
        <f t="shared" si="1"/>
        <v>99.708103379524815</v>
      </c>
      <c r="AR20" s="324"/>
      <c r="AS20" s="326">
        <f t="shared" si="0"/>
        <v>97.90645604813605</v>
      </c>
    </row>
    <row r="21" spans="1:45" ht="27.6" x14ac:dyDescent="0.25">
      <c r="A21" s="323" t="s">
        <v>387</v>
      </c>
      <c r="B21" s="324">
        <v>241.4469</v>
      </c>
      <c r="C21" s="324">
        <v>0</v>
      </c>
      <c r="D21" s="325">
        <v>0</v>
      </c>
      <c r="E21" s="325">
        <v>0</v>
      </c>
      <c r="F21" s="325">
        <v>0</v>
      </c>
      <c r="G21" s="324">
        <v>376.88459999999998</v>
      </c>
      <c r="H21" s="324">
        <v>0</v>
      </c>
      <c r="I21" s="325">
        <v>0</v>
      </c>
      <c r="J21" s="325">
        <v>0</v>
      </c>
      <c r="K21" s="325">
        <v>0</v>
      </c>
      <c r="L21" s="324">
        <v>135.43769999999998</v>
      </c>
      <c r="M21" s="324">
        <v>0</v>
      </c>
      <c r="N21" s="324">
        <v>180942.95619999999</v>
      </c>
      <c r="O21" s="324">
        <v>169616.8</v>
      </c>
      <c r="P21" s="325">
        <v>4109.0870000000004</v>
      </c>
      <c r="Q21" s="325">
        <v>0</v>
      </c>
      <c r="R21" s="325">
        <v>165507.71299999999</v>
      </c>
      <c r="S21" s="324">
        <v>99.866739688478191</v>
      </c>
      <c r="T21" s="324">
        <v>100</v>
      </c>
      <c r="U21" s="324">
        <v>180807.51859999998</v>
      </c>
      <c r="V21" s="324">
        <v>169616.8</v>
      </c>
      <c r="W21" s="325">
        <v>4109.0870000000004</v>
      </c>
      <c r="X21" s="325">
        <v>0</v>
      </c>
      <c r="Y21" s="325">
        <v>165507.71299999999</v>
      </c>
      <c r="Z21" s="324">
        <v>99.791988441857214</v>
      </c>
      <c r="AA21" s="324">
        <v>100</v>
      </c>
      <c r="AB21" s="325">
        <v>100</v>
      </c>
      <c r="AC21" s="325"/>
      <c r="AD21" s="325">
        <v>100</v>
      </c>
      <c r="AE21" s="324">
        <v>96975.499100000001</v>
      </c>
      <c r="AF21" s="324">
        <v>95031.145199999999</v>
      </c>
      <c r="AG21" s="325">
        <v>0</v>
      </c>
      <c r="AH21" s="325">
        <v>0</v>
      </c>
      <c r="AI21" s="325">
        <v>95031.145199999999</v>
      </c>
      <c r="AJ21" s="324">
        <v>96975.499100000001</v>
      </c>
      <c r="AK21" s="324">
        <v>95031.145199999999</v>
      </c>
      <c r="AL21" s="325">
        <v>0</v>
      </c>
      <c r="AM21" s="325">
        <v>0</v>
      </c>
      <c r="AN21" s="325">
        <v>95031.145199999999</v>
      </c>
      <c r="AO21" s="324">
        <v>100</v>
      </c>
      <c r="AP21" s="326">
        <v>100</v>
      </c>
      <c r="AQ21" s="327"/>
      <c r="AR21" s="324"/>
      <c r="AS21" s="326">
        <f t="shared" si="0"/>
        <v>100</v>
      </c>
    </row>
    <row r="22" spans="1:45" ht="27.6" x14ac:dyDescent="0.25">
      <c r="A22" s="323" t="s">
        <v>388</v>
      </c>
      <c r="B22" s="324">
        <v>25971.4038</v>
      </c>
      <c r="C22" s="324">
        <v>117.84</v>
      </c>
      <c r="D22" s="325">
        <v>117.14</v>
      </c>
      <c r="E22" s="325">
        <v>0</v>
      </c>
      <c r="F22" s="325">
        <v>0.7</v>
      </c>
      <c r="G22" s="324">
        <v>26446.8148</v>
      </c>
      <c r="H22" s="324">
        <v>2158.8999999999996</v>
      </c>
      <c r="I22" s="325">
        <v>2158.1999999999998</v>
      </c>
      <c r="J22" s="325">
        <v>0</v>
      </c>
      <c r="K22" s="325">
        <v>0.7</v>
      </c>
      <c r="L22" s="324">
        <v>475.41100000000006</v>
      </c>
      <c r="M22" s="324">
        <v>2041.0599999999997</v>
      </c>
      <c r="N22" s="324">
        <v>582561.54330000002</v>
      </c>
      <c r="O22" s="324">
        <v>396480.41009999998</v>
      </c>
      <c r="P22" s="325">
        <v>91428.610100000005</v>
      </c>
      <c r="Q22" s="325">
        <v>0</v>
      </c>
      <c r="R22" s="325">
        <v>305051.8</v>
      </c>
      <c r="S22" s="324">
        <v>100</v>
      </c>
      <c r="T22" s="324">
        <v>100</v>
      </c>
      <c r="U22" s="324">
        <v>581968.99219999998</v>
      </c>
      <c r="V22" s="324">
        <v>394922.978</v>
      </c>
      <c r="W22" s="325">
        <v>89270.410099999994</v>
      </c>
      <c r="X22" s="325">
        <v>0</v>
      </c>
      <c r="Y22" s="325">
        <v>305652.56790000002</v>
      </c>
      <c r="Z22" s="324">
        <v>95.764095090068167</v>
      </c>
      <c r="AA22" s="324">
        <v>99.4563086054509</v>
      </c>
      <c r="AB22" s="325">
        <v>97.639469748430514</v>
      </c>
      <c r="AC22" s="325"/>
      <c r="AD22" s="325">
        <v>99.999770982327533</v>
      </c>
      <c r="AE22" s="324">
        <v>219991.7065</v>
      </c>
      <c r="AF22" s="324">
        <v>134750.4779</v>
      </c>
      <c r="AG22" s="325">
        <v>0</v>
      </c>
      <c r="AH22" s="325">
        <v>0</v>
      </c>
      <c r="AI22" s="325">
        <v>134750.4779</v>
      </c>
      <c r="AJ22" s="324">
        <v>219991.7065</v>
      </c>
      <c r="AK22" s="324">
        <v>134750.4779</v>
      </c>
      <c r="AL22" s="325">
        <v>0</v>
      </c>
      <c r="AM22" s="325">
        <v>0</v>
      </c>
      <c r="AN22" s="325">
        <v>134750.4779</v>
      </c>
      <c r="AO22" s="324">
        <v>100</v>
      </c>
      <c r="AP22" s="326">
        <v>100.00000000000001</v>
      </c>
      <c r="AQ22" s="327"/>
      <c r="AR22" s="324"/>
      <c r="AS22" s="326">
        <f t="shared" si="0"/>
        <v>100.00000000000001</v>
      </c>
    </row>
    <row r="23" spans="1:45" ht="27.6" x14ac:dyDescent="0.25">
      <c r="A23" s="323" t="s">
        <v>389</v>
      </c>
      <c r="B23" s="324">
        <v>25909.158800000001</v>
      </c>
      <c r="C23" s="324">
        <v>25572.758100000003</v>
      </c>
      <c r="D23" s="325">
        <v>22317.250800000002</v>
      </c>
      <c r="E23" s="325">
        <v>0</v>
      </c>
      <c r="F23" s="325">
        <v>3255.5073000000002</v>
      </c>
      <c r="G23" s="324">
        <v>10134.1343</v>
      </c>
      <c r="H23" s="324">
        <v>9935.1787999999997</v>
      </c>
      <c r="I23" s="325">
        <v>9935.1787999999997</v>
      </c>
      <c r="J23" s="325">
        <v>0</v>
      </c>
      <c r="K23" s="325">
        <v>0</v>
      </c>
      <c r="L23" s="324">
        <v>-15775.024500000001</v>
      </c>
      <c r="M23" s="324">
        <v>-15637.579300000003</v>
      </c>
      <c r="N23" s="324">
        <v>130148.02770000001</v>
      </c>
      <c r="O23" s="324">
        <v>124451.1857</v>
      </c>
      <c r="P23" s="325">
        <v>72906.085699999996</v>
      </c>
      <c r="Q23" s="325">
        <v>0</v>
      </c>
      <c r="R23" s="325">
        <v>51545.1</v>
      </c>
      <c r="S23" s="239">
        <v>106.58692328895363</v>
      </c>
      <c r="T23" s="239">
        <v>107.06198938348157</v>
      </c>
      <c r="U23" s="324">
        <v>137128.698</v>
      </c>
      <c r="V23" s="324">
        <v>131294.41070000001</v>
      </c>
      <c r="W23" s="325">
        <v>76493.803400000004</v>
      </c>
      <c r="X23" s="325">
        <v>0</v>
      </c>
      <c r="Y23" s="325">
        <v>54800.607300000003</v>
      </c>
      <c r="Z23" s="324">
        <v>98.338728290122106</v>
      </c>
      <c r="AA23" s="324">
        <v>98.479507236891649</v>
      </c>
      <c r="AB23" s="325">
        <v>97.418339116333655</v>
      </c>
      <c r="AC23" s="325"/>
      <c r="AD23" s="325">
        <v>100</v>
      </c>
      <c r="AE23" s="324">
        <v>30420.482199999999</v>
      </c>
      <c r="AF23" s="324">
        <v>30207.282299999999</v>
      </c>
      <c r="AG23" s="325">
        <v>0</v>
      </c>
      <c r="AH23" s="325">
        <v>0</v>
      </c>
      <c r="AI23" s="325">
        <v>30207.282299999999</v>
      </c>
      <c r="AJ23" s="324">
        <v>30328.482199999999</v>
      </c>
      <c r="AK23" s="324">
        <v>30207.282299999999</v>
      </c>
      <c r="AL23" s="325">
        <v>0</v>
      </c>
      <c r="AM23" s="325">
        <v>0</v>
      </c>
      <c r="AN23" s="325">
        <v>30207.282299999999</v>
      </c>
      <c r="AO23" s="324">
        <v>99.697572183783464</v>
      </c>
      <c r="AP23" s="326">
        <v>100</v>
      </c>
      <c r="AQ23" s="327"/>
      <c r="AR23" s="324"/>
      <c r="AS23" s="326">
        <f t="shared" si="0"/>
        <v>100</v>
      </c>
    </row>
    <row r="24" spans="1:45" ht="27.6" x14ac:dyDescent="0.25">
      <c r="A24" s="323" t="s">
        <v>390</v>
      </c>
      <c r="B24" s="324"/>
      <c r="C24" s="324"/>
      <c r="D24" s="325"/>
      <c r="E24" s="325"/>
      <c r="F24" s="325"/>
      <c r="G24" s="324"/>
      <c r="H24" s="324"/>
      <c r="I24" s="325"/>
      <c r="J24" s="325"/>
      <c r="K24" s="325"/>
      <c r="L24" s="324">
        <v>0</v>
      </c>
      <c r="M24" s="324">
        <v>0</v>
      </c>
      <c r="N24" s="324">
        <v>0</v>
      </c>
      <c r="O24" s="324">
        <v>0</v>
      </c>
      <c r="P24" s="325">
        <v>0</v>
      </c>
      <c r="Q24" s="325">
        <v>0</v>
      </c>
      <c r="R24" s="325">
        <v>0</v>
      </c>
      <c r="S24" s="324"/>
      <c r="T24" s="324"/>
      <c r="U24" s="324">
        <v>0</v>
      </c>
      <c r="V24" s="324">
        <v>0</v>
      </c>
      <c r="W24" s="325">
        <v>0</v>
      </c>
      <c r="X24" s="325">
        <v>0</v>
      </c>
      <c r="Y24" s="325">
        <v>0</v>
      </c>
      <c r="Z24" s="324"/>
      <c r="AA24" s="324"/>
      <c r="AB24" s="325"/>
      <c r="AC24" s="325"/>
      <c r="AD24" s="325"/>
      <c r="AE24" s="324">
        <v>0</v>
      </c>
      <c r="AF24" s="324">
        <v>0</v>
      </c>
      <c r="AG24" s="325">
        <v>0</v>
      </c>
      <c r="AH24" s="325">
        <v>0</v>
      </c>
      <c r="AI24" s="325">
        <v>0</v>
      </c>
      <c r="AJ24" s="324">
        <v>0</v>
      </c>
      <c r="AK24" s="324">
        <v>0</v>
      </c>
      <c r="AL24" s="325">
        <v>0</v>
      </c>
      <c r="AM24" s="325">
        <v>0</v>
      </c>
      <c r="AN24" s="325">
        <v>0</v>
      </c>
      <c r="AO24" s="324"/>
      <c r="AP24" s="326"/>
      <c r="AQ24" s="327"/>
      <c r="AR24" s="324"/>
      <c r="AS24" s="326"/>
    </row>
    <row r="25" spans="1:45" ht="27.6" x14ac:dyDescent="0.25">
      <c r="A25" s="323" t="s">
        <v>391</v>
      </c>
      <c r="B25" s="324">
        <v>13453.4666</v>
      </c>
      <c r="C25" s="324">
        <v>1104.0846999999999</v>
      </c>
      <c r="D25" s="325">
        <v>531.02269999999999</v>
      </c>
      <c r="E25" s="325">
        <v>0</v>
      </c>
      <c r="F25" s="325">
        <v>573.06200000000001</v>
      </c>
      <c r="G25" s="324">
        <v>13490.830599999999</v>
      </c>
      <c r="H25" s="324">
        <v>0</v>
      </c>
      <c r="I25" s="325">
        <v>0</v>
      </c>
      <c r="J25" s="325">
        <v>0</v>
      </c>
      <c r="K25" s="325">
        <v>0</v>
      </c>
      <c r="L25" s="324">
        <v>37.363999999999578</v>
      </c>
      <c r="M25" s="324">
        <v>-1104.0846999999999</v>
      </c>
      <c r="N25" s="324">
        <v>170432.337</v>
      </c>
      <c r="O25" s="324">
        <v>45783.7</v>
      </c>
      <c r="P25" s="325">
        <v>15091</v>
      </c>
      <c r="Q25" s="325">
        <v>0</v>
      </c>
      <c r="R25" s="325">
        <v>30692.7</v>
      </c>
      <c r="S25" s="324">
        <v>95.656286972783533</v>
      </c>
      <c r="T25" s="324">
        <v>100</v>
      </c>
      <c r="U25" s="324">
        <v>170394.44049999997</v>
      </c>
      <c r="V25" s="324">
        <v>46887.252200000003</v>
      </c>
      <c r="W25" s="325">
        <v>15621.4902</v>
      </c>
      <c r="X25" s="325">
        <v>0</v>
      </c>
      <c r="Y25" s="325">
        <v>31265.761999999999</v>
      </c>
      <c r="Z25" s="324">
        <v>95.046323156879737</v>
      </c>
      <c r="AA25" s="324">
        <v>100</v>
      </c>
      <c r="AB25" s="325">
        <v>100</v>
      </c>
      <c r="AC25" s="325"/>
      <c r="AD25" s="325">
        <v>100</v>
      </c>
      <c r="AE25" s="324">
        <v>81820.750400000004</v>
      </c>
      <c r="AF25" s="324">
        <v>16784.350399999999</v>
      </c>
      <c r="AG25" s="325">
        <v>1227.5504000000001</v>
      </c>
      <c r="AH25" s="325">
        <v>0</v>
      </c>
      <c r="AI25" s="325">
        <v>15556.8</v>
      </c>
      <c r="AJ25" s="324">
        <v>78671.286399999997</v>
      </c>
      <c r="AK25" s="324">
        <v>16784.350399999999</v>
      </c>
      <c r="AL25" s="325">
        <v>1227.5504000000001</v>
      </c>
      <c r="AM25" s="325">
        <v>0</v>
      </c>
      <c r="AN25" s="325">
        <v>15556.8</v>
      </c>
      <c r="AO25" s="324">
        <v>96.150775952795456</v>
      </c>
      <c r="AP25" s="326">
        <v>100</v>
      </c>
      <c r="AQ25" s="327">
        <f t="shared" si="1"/>
        <v>100</v>
      </c>
      <c r="AR25" s="324"/>
      <c r="AS25" s="326">
        <f t="shared" si="0"/>
        <v>100</v>
      </c>
    </row>
    <row r="26" spans="1:45" ht="27.6" x14ac:dyDescent="0.25">
      <c r="A26" s="323" t="s">
        <v>392</v>
      </c>
      <c r="B26" s="324">
        <v>3735.2975999999999</v>
      </c>
      <c r="C26" s="324">
        <v>0</v>
      </c>
      <c r="D26" s="325">
        <v>0</v>
      </c>
      <c r="E26" s="325">
        <v>0</v>
      </c>
      <c r="F26" s="325">
        <v>0</v>
      </c>
      <c r="G26" s="324">
        <v>4267.2528000000002</v>
      </c>
      <c r="H26" s="324">
        <v>663.74490000000003</v>
      </c>
      <c r="I26" s="325">
        <v>663.74490000000003</v>
      </c>
      <c r="J26" s="325">
        <v>0</v>
      </c>
      <c r="K26" s="325">
        <v>0</v>
      </c>
      <c r="L26" s="324">
        <v>531.95520000000033</v>
      </c>
      <c r="M26" s="324">
        <v>663.74490000000003</v>
      </c>
      <c r="N26" s="324">
        <v>250257.27740000002</v>
      </c>
      <c r="O26" s="324">
        <v>167007.20000000001</v>
      </c>
      <c r="P26" s="325">
        <v>10662.6</v>
      </c>
      <c r="Q26" s="325">
        <v>0</v>
      </c>
      <c r="R26" s="325">
        <v>156344.6</v>
      </c>
      <c r="S26" s="324">
        <v>99.229665611199323</v>
      </c>
      <c r="T26" s="324">
        <v>100</v>
      </c>
      <c r="U26" s="324">
        <v>249725.3223</v>
      </c>
      <c r="V26" s="324">
        <v>166343.4552</v>
      </c>
      <c r="W26" s="325">
        <v>9998.8552</v>
      </c>
      <c r="X26" s="325">
        <v>0</v>
      </c>
      <c r="Y26" s="325">
        <v>156344.6</v>
      </c>
      <c r="Z26" s="324">
        <v>99.018739770234447</v>
      </c>
      <c r="AA26" s="324">
        <v>99.602565158867392</v>
      </c>
      <c r="AB26" s="325">
        <v>93.775019226079934</v>
      </c>
      <c r="AC26" s="325"/>
      <c r="AD26" s="325">
        <v>100</v>
      </c>
      <c r="AE26" s="324">
        <v>118524.4289</v>
      </c>
      <c r="AF26" s="324">
        <v>93278.196100000001</v>
      </c>
      <c r="AG26" s="325">
        <v>0</v>
      </c>
      <c r="AH26" s="325">
        <v>0</v>
      </c>
      <c r="AI26" s="325">
        <v>93278.196100000001</v>
      </c>
      <c r="AJ26" s="324">
        <v>118421.71220000001</v>
      </c>
      <c r="AK26" s="324">
        <v>93278.196100000001</v>
      </c>
      <c r="AL26" s="325">
        <v>0</v>
      </c>
      <c r="AM26" s="325">
        <v>0</v>
      </c>
      <c r="AN26" s="325">
        <v>93278.196100000001</v>
      </c>
      <c r="AO26" s="324">
        <v>99.913337106153321</v>
      </c>
      <c r="AP26" s="326">
        <v>100</v>
      </c>
      <c r="AQ26" s="327"/>
      <c r="AR26" s="324"/>
      <c r="AS26" s="326">
        <f t="shared" si="0"/>
        <v>100</v>
      </c>
    </row>
    <row r="27" spans="1:45" s="247" customFormat="1" ht="14.4" thickBot="1" x14ac:dyDescent="0.3">
      <c r="A27" s="242" t="s">
        <v>150</v>
      </c>
      <c r="B27" s="243">
        <v>2485822.8969999999</v>
      </c>
      <c r="C27" s="243">
        <v>735270.5355</v>
      </c>
      <c r="D27" s="312">
        <v>327511.73379999999</v>
      </c>
      <c r="E27" s="312">
        <v>7506.4391999999998</v>
      </c>
      <c r="F27" s="312">
        <v>400252.36249999999</v>
      </c>
      <c r="G27" s="243">
        <v>2078024.0157999995</v>
      </c>
      <c r="H27" s="243">
        <v>640367.57160000014</v>
      </c>
      <c r="I27" s="312">
        <v>175878.74429999999</v>
      </c>
      <c r="J27" s="312">
        <v>2506.4391999999998</v>
      </c>
      <c r="K27" s="312">
        <v>461982.38810000004</v>
      </c>
      <c r="L27" s="243">
        <v>-407798.88120000018</v>
      </c>
      <c r="M27" s="243">
        <v>-94902.963900000002</v>
      </c>
      <c r="N27" s="243">
        <v>29536012.361099996</v>
      </c>
      <c r="O27" s="243">
        <v>11875866.133399997</v>
      </c>
      <c r="P27" s="312">
        <v>1439898.0811000001</v>
      </c>
      <c r="Q27" s="312">
        <v>58078.74</v>
      </c>
      <c r="R27" s="312">
        <v>10377889.3123</v>
      </c>
      <c r="S27" s="243">
        <v>98.889031814810679</v>
      </c>
      <c r="T27" s="243">
        <v>99.982046839959267</v>
      </c>
      <c r="U27" s="243">
        <v>29925433.79099999</v>
      </c>
      <c r="V27" s="243">
        <v>11951584.4376</v>
      </c>
      <c r="W27" s="312">
        <v>1569840.8530000001</v>
      </c>
      <c r="X27" s="312">
        <v>63078.74</v>
      </c>
      <c r="Y27" s="312">
        <v>10318664.844599999</v>
      </c>
      <c r="Z27" s="243">
        <v>94.420530282990242</v>
      </c>
      <c r="AA27" s="243">
        <v>95.544959030742746</v>
      </c>
      <c r="AB27" s="325">
        <v>90.169368499701008</v>
      </c>
      <c r="AC27" s="325">
        <v>96.147178187350875</v>
      </c>
      <c r="AD27" s="325">
        <v>96.415741980308127</v>
      </c>
      <c r="AE27" s="243">
        <v>14870734.749599995</v>
      </c>
      <c r="AF27" s="243">
        <v>5809560.5902000004</v>
      </c>
      <c r="AG27" s="312">
        <v>30933.726000000002</v>
      </c>
      <c r="AH27" s="312">
        <v>0</v>
      </c>
      <c r="AI27" s="312">
        <v>5778626.8642000016</v>
      </c>
      <c r="AJ27" s="243">
        <v>14363816.152000001</v>
      </c>
      <c r="AK27" s="243">
        <v>5706723.8620000016</v>
      </c>
      <c r="AL27" s="312">
        <v>30783.7634</v>
      </c>
      <c r="AM27" s="312">
        <v>0</v>
      </c>
      <c r="AN27" s="312">
        <v>5675940.0986000011</v>
      </c>
      <c r="AO27" s="243">
        <v>96.591166434371175</v>
      </c>
      <c r="AP27" s="244">
        <v>98.229870803422358</v>
      </c>
      <c r="AQ27" s="327">
        <f t="shared" si="1"/>
        <v>99.515213265935046</v>
      </c>
      <c r="AR27" s="324"/>
      <c r="AS27" s="326">
        <f t="shared" si="0"/>
        <v>98.222990201423627</v>
      </c>
    </row>
    <row r="28" spans="1:45" ht="14.4" thickTop="1" x14ac:dyDescent="0.25"/>
    <row r="29" spans="1:45" x14ac:dyDescent="0.25">
      <c r="R29" s="330">
        <v>3418082.2379000001</v>
      </c>
    </row>
    <row r="30" spans="1:45" x14ac:dyDescent="0.25">
      <c r="R30" s="330">
        <f>R29-R16</f>
        <v>-263.48820000002161</v>
      </c>
    </row>
  </sheetData>
  <mergeCells count="34">
    <mergeCell ref="U6:Y6"/>
    <mergeCell ref="Z6:AD6"/>
    <mergeCell ref="AE6:AP6"/>
    <mergeCell ref="AQ7:AS7"/>
    <mergeCell ref="N7:N8"/>
    <mergeCell ref="I7:K7"/>
    <mergeCell ref="S7:S8"/>
    <mergeCell ref="L7:L8"/>
    <mergeCell ref="AO7:AP7"/>
    <mergeCell ref="P7:R7"/>
    <mergeCell ref="AB7:AD7"/>
    <mergeCell ref="AE7:AF7"/>
    <mergeCell ref="AG7:AI7"/>
    <mergeCell ref="AJ7:AK7"/>
    <mergeCell ref="AL7:AN7"/>
    <mergeCell ref="U7:U8"/>
    <mergeCell ref="W7:Y7"/>
    <mergeCell ref="Z7:Z8"/>
    <mergeCell ref="AK1:AP1"/>
    <mergeCell ref="A3:AP3"/>
    <mergeCell ref="A5:A8"/>
    <mergeCell ref="B5:M5"/>
    <mergeCell ref="B6:B8"/>
    <mergeCell ref="C6:F6"/>
    <mergeCell ref="G6:G8"/>
    <mergeCell ref="H6:K6"/>
    <mergeCell ref="L6:M6"/>
    <mergeCell ref="N6:R6"/>
    <mergeCell ref="S6:T6"/>
    <mergeCell ref="C7:C8"/>
    <mergeCell ref="D7:F7"/>
    <mergeCell ref="H7:H8"/>
    <mergeCell ref="N5:T5"/>
    <mergeCell ref="U5:AP5"/>
  </mergeCells>
  <conditionalFormatting sqref="B7:B41">
    <cfRule type="cellIs" dxfId="1" priority="1" operator="equal">
      <formula>"-"</formula>
    </cfRule>
  </conditionalFormatting>
  <pageMargins left="0.39370078740157483" right="0.39370078740157483" top="0.98425196850393704" bottom="0.39370078740157483" header="0.31496062992125984" footer="0.31496062992125984"/>
  <pageSetup paperSize="9" scale="7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S40"/>
  <sheetViews>
    <sheetView tabSelected="1" topLeftCell="N1" zoomScale="115" zoomScaleNormal="115" workbookViewId="0">
      <selection activeCell="Z4" sqref="Z4"/>
    </sheetView>
  </sheetViews>
  <sheetFormatPr defaultColWidth="8.19921875" defaultRowHeight="13.8" x14ac:dyDescent="0.25"/>
  <cols>
    <col min="1" max="1" width="18.8984375" style="299" bestFit="1" customWidth="1"/>
    <col min="2" max="2" width="10.19921875" style="300" hidden="1" customWidth="1"/>
    <col min="3" max="3" width="8.3984375" style="300" hidden="1" customWidth="1"/>
    <col min="4" max="4" width="8.59765625" style="300" hidden="1" customWidth="1"/>
    <col min="5" max="7" width="8.3984375" style="300" hidden="1" customWidth="1"/>
    <col min="8" max="8" width="8.69921875" style="300" hidden="1" customWidth="1"/>
    <col min="9" max="11" width="8.3984375" style="300" hidden="1" customWidth="1"/>
    <col min="12" max="12" width="10.19921875" style="300" bestFit="1" customWidth="1"/>
    <col min="13" max="13" width="8.3984375" style="300" bestFit="1" customWidth="1"/>
    <col min="14" max="14" width="10" style="300" customWidth="1"/>
    <col min="15" max="15" width="8.3984375" style="300" bestFit="1" customWidth="1"/>
    <col min="16" max="16" width="8.69921875" style="300" hidden="1" customWidth="1"/>
    <col min="17" max="17" width="8.3984375" style="300" hidden="1" customWidth="1"/>
    <col min="18" max="18" width="10.19921875" style="300" hidden="1" customWidth="1"/>
    <col min="19" max="21" width="8.3984375" style="300" hidden="1" customWidth="1"/>
    <col min="22" max="22" width="10.19921875" style="300" bestFit="1" customWidth="1"/>
    <col min="23" max="23" width="8.3984375" style="300" bestFit="1" customWidth="1"/>
    <col min="24" max="24" width="10.19921875" style="300" customWidth="1"/>
    <col min="25" max="25" width="8.3984375" style="300" bestFit="1" customWidth="1"/>
    <col min="26" max="26" width="10.19921875" style="300" bestFit="1" customWidth="1"/>
    <col min="27" max="27" width="9.69921875" style="300" customWidth="1"/>
    <col min="28" max="28" width="9.09765625" style="300" customWidth="1"/>
    <col min="29" max="29" width="8.69921875" style="300" bestFit="1" customWidth="1"/>
    <col min="30" max="35" width="8.69921875" style="300" hidden="1" customWidth="1"/>
    <col min="36" max="36" width="9.296875" style="300" bestFit="1" customWidth="1"/>
    <col min="37" max="37" width="9.69921875" style="300" customWidth="1"/>
    <col min="38" max="38" width="9.3984375" style="300" customWidth="1"/>
    <col min="39" max="39" width="8.19921875" style="300"/>
    <col min="40" max="40" width="9.296875" style="300" hidden="1" customWidth="1"/>
    <col min="41" max="45" width="0" style="300" hidden="1" customWidth="1"/>
    <col min="46" max="16384" width="8.19921875" style="300"/>
  </cols>
  <sheetData>
    <row r="1" spans="1:45" s="299" customFormat="1" ht="13.8" customHeight="1" x14ac:dyDescent="0.25">
      <c r="AK1" s="314"/>
      <c r="AL1" s="314"/>
      <c r="AM1" s="321" t="s">
        <v>422</v>
      </c>
    </row>
    <row r="2" spans="1:45" s="314" customFormat="1" x14ac:dyDescent="0.25">
      <c r="AK2" s="315"/>
      <c r="AL2" s="315"/>
      <c r="AM2" s="315"/>
    </row>
    <row r="3" spans="1:45" s="299" customFormat="1" ht="36" customHeight="1" x14ac:dyDescent="0.25">
      <c r="A3" s="404" t="s">
        <v>426</v>
      </c>
      <c r="B3" s="404"/>
      <c r="C3" s="404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4"/>
      <c r="O3" s="404"/>
      <c r="P3" s="404"/>
      <c r="Q3" s="404"/>
      <c r="R3" s="404"/>
      <c r="S3" s="404"/>
      <c r="T3" s="404"/>
      <c r="U3" s="404"/>
      <c r="V3" s="404"/>
      <c r="W3" s="404"/>
      <c r="X3" s="404"/>
      <c r="Y3" s="404"/>
      <c r="Z3" s="404"/>
      <c r="AA3" s="404"/>
      <c r="AB3" s="404"/>
      <c r="AC3" s="404"/>
      <c r="AD3" s="404"/>
      <c r="AE3" s="404"/>
      <c r="AF3" s="404"/>
      <c r="AG3" s="404"/>
      <c r="AH3" s="404"/>
      <c r="AI3" s="404"/>
      <c r="AJ3" s="404"/>
      <c r="AK3" s="404"/>
      <c r="AL3" s="404"/>
      <c r="AM3" s="404"/>
      <c r="AN3" s="194"/>
      <c r="AO3" s="194"/>
      <c r="AP3" s="194"/>
    </row>
    <row r="4" spans="1:45" s="299" customFormat="1" ht="14.4" thickBot="1" x14ac:dyDescent="0.3">
      <c r="AM4" s="372" t="s">
        <v>424</v>
      </c>
    </row>
    <row r="5" spans="1:45" s="245" customFormat="1" ht="13.5" customHeight="1" thickTop="1" x14ac:dyDescent="0.25">
      <c r="A5" s="426" t="s">
        <v>148</v>
      </c>
      <c r="B5" s="428" t="s">
        <v>366</v>
      </c>
      <c r="C5" s="429"/>
      <c r="D5" s="429"/>
      <c r="E5" s="429"/>
      <c r="F5" s="429"/>
      <c r="G5" s="429"/>
      <c r="H5" s="429"/>
      <c r="I5" s="429"/>
      <c r="J5" s="429"/>
      <c r="K5" s="429"/>
      <c r="L5" s="429"/>
      <c r="M5" s="429"/>
      <c r="N5" s="429"/>
      <c r="O5" s="429"/>
      <c r="P5" s="429"/>
      <c r="Q5" s="429"/>
      <c r="R5" s="429"/>
      <c r="S5" s="429"/>
      <c r="T5" s="429"/>
      <c r="U5" s="429"/>
      <c r="V5" s="429"/>
      <c r="W5" s="429"/>
      <c r="X5" s="429"/>
      <c r="Y5" s="429"/>
      <c r="Z5" s="405" t="s">
        <v>367</v>
      </c>
      <c r="AA5" s="405"/>
      <c r="AB5" s="405"/>
      <c r="AC5" s="405"/>
      <c r="AD5" s="405"/>
      <c r="AE5" s="405"/>
      <c r="AF5" s="405"/>
      <c r="AG5" s="405"/>
      <c r="AH5" s="405"/>
      <c r="AI5" s="405"/>
      <c r="AJ5" s="405"/>
      <c r="AK5" s="405"/>
      <c r="AL5" s="405"/>
      <c r="AM5" s="406"/>
    </row>
    <row r="6" spans="1:45" s="245" customFormat="1" ht="12.75" customHeight="1" x14ac:dyDescent="0.25">
      <c r="A6" s="427"/>
      <c r="B6" s="430" t="s">
        <v>199</v>
      </c>
      <c r="C6" s="431"/>
      <c r="D6" s="431"/>
      <c r="E6" s="431"/>
      <c r="F6" s="431"/>
      <c r="G6" s="431"/>
      <c r="H6" s="431"/>
      <c r="I6" s="431"/>
      <c r="J6" s="431"/>
      <c r="K6" s="432"/>
      <c r="L6" s="430" t="s">
        <v>368</v>
      </c>
      <c r="M6" s="431"/>
      <c r="N6" s="431"/>
      <c r="O6" s="431"/>
      <c r="P6" s="431"/>
      <c r="Q6" s="431"/>
      <c r="R6" s="431"/>
      <c r="S6" s="431"/>
      <c r="T6" s="431"/>
      <c r="U6" s="432"/>
      <c r="V6" s="430" t="s">
        <v>355</v>
      </c>
      <c r="W6" s="431"/>
      <c r="X6" s="431"/>
      <c r="Y6" s="431"/>
      <c r="Z6" s="430" t="s">
        <v>368</v>
      </c>
      <c r="AA6" s="431"/>
      <c r="AB6" s="431"/>
      <c r="AC6" s="431"/>
      <c r="AD6" s="431"/>
      <c r="AE6" s="431"/>
      <c r="AF6" s="431"/>
      <c r="AG6" s="431"/>
      <c r="AH6" s="431"/>
      <c r="AI6" s="432"/>
      <c r="AJ6" s="402" t="s">
        <v>355</v>
      </c>
      <c r="AK6" s="402"/>
      <c r="AL6" s="402"/>
      <c r="AM6" s="407"/>
    </row>
    <row r="7" spans="1:45" s="245" customFormat="1" ht="13.2" customHeight="1" x14ac:dyDescent="0.25">
      <c r="A7" s="427"/>
      <c r="B7" s="402" t="s">
        <v>369</v>
      </c>
      <c r="C7" s="402" t="s">
        <v>370</v>
      </c>
      <c r="D7" s="402"/>
      <c r="E7" s="402"/>
      <c r="F7" s="443" t="s">
        <v>371</v>
      </c>
      <c r="G7" s="444"/>
      <c r="H7" s="445"/>
      <c r="I7" s="443" t="s">
        <v>372</v>
      </c>
      <c r="J7" s="444"/>
      <c r="K7" s="445"/>
      <c r="L7" s="402" t="s">
        <v>369</v>
      </c>
      <c r="M7" s="440" t="s">
        <v>375</v>
      </c>
      <c r="N7" s="430" t="s">
        <v>370</v>
      </c>
      <c r="O7" s="432"/>
      <c r="P7" s="443" t="s">
        <v>371</v>
      </c>
      <c r="Q7" s="444"/>
      <c r="R7" s="445"/>
      <c r="S7" s="443" t="s">
        <v>372</v>
      </c>
      <c r="T7" s="444"/>
      <c r="U7" s="445"/>
      <c r="V7" s="402" t="s">
        <v>369</v>
      </c>
      <c r="W7" s="440" t="s">
        <v>375</v>
      </c>
      <c r="X7" s="430" t="s">
        <v>370</v>
      </c>
      <c r="Y7" s="432"/>
      <c r="Z7" s="402" t="s">
        <v>369</v>
      </c>
      <c r="AA7" s="440" t="s">
        <v>375</v>
      </c>
      <c r="AB7" s="430" t="s">
        <v>370</v>
      </c>
      <c r="AC7" s="432"/>
      <c r="AD7" s="443" t="s">
        <v>371</v>
      </c>
      <c r="AE7" s="444"/>
      <c r="AF7" s="445"/>
      <c r="AG7" s="443" t="s">
        <v>372</v>
      </c>
      <c r="AH7" s="444"/>
      <c r="AI7" s="445"/>
      <c r="AJ7" s="402" t="s">
        <v>369</v>
      </c>
      <c r="AK7" s="440" t="s">
        <v>375</v>
      </c>
      <c r="AL7" s="430" t="s">
        <v>370</v>
      </c>
      <c r="AM7" s="432"/>
      <c r="AN7" s="443" t="s">
        <v>371</v>
      </c>
      <c r="AO7" s="444"/>
      <c r="AP7" s="445"/>
      <c r="AQ7" s="443" t="s">
        <v>372</v>
      </c>
      <c r="AR7" s="444"/>
      <c r="AS7" s="445"/>
    </row>
    <row r="8" spans="1:45" s="245" customFormat="1" ht="12.75" customHeight="1" x14ac:dyDescent="0.25">
      <c r="A8" s="427"/>
      <c r="B8" s="402"/>
      <c r="C8" s="295" t="s">
        <v>325</v>
      </c>
      <c r="D8" s="402" t="s">
        <v>373</v>
      </c>
      <c r="E8" s="295" t="s">
        <v>325</v>
      </c>
      <c r="F8" s="433" t="s">
        <v>370</v>
      </c>
      <c r="G8" s="434"/>
      <c r="H8" s="435"/>
      <c r="I8" s="433" t="s">
        <v>370</v>
      </c>
      <c r="J8" s="434"/>
      <c r="K8" s="435"/>
      <c r="L8" s="402"/>
      <c r="M8" s="441"/>
      <c r="N8" s="402" t="s">
        <v>373</v>
      </c>
      <c r="O8" s="295" t="s">
        <v>325</v>
      </c>
      <c r="P8" s="433" t="s">
        <v>370</v>
      </c>
      <c r="Q8" s="434"/>
      <c r="R8" s="435"/>
      <c r="S8" s="433" t="s">
        <v>370</v>
      </c>
      <c r="T8" s="434"/>
      <c r="U8" s="435"/>
      <c r="V8" s="402"/>
      <c r="W8" s="441"/>
      <c r="X8" s="402" t="s">
        <v>373</v>
      </c>
      <c r="Y8" s="295" t="s">
        <v>325</v>
      </c>
      <c r="Z8" s="402"/>
      <c r="AA8" s="441"/>
      <c r="AB8" s="402" t="s">
        <v>373</v>
      </c>
      <c r="AC8" s="295" t="s">
        <v>325</v>
      </c>
      <c r="AD8" s="433" t="s">
        <v>370</v>
      </c>
      <c r="AE8" s="434"/>
      <c r="AF8" s="435"/>
      <c r="AG8" s="433" t="s">
        <v>370</v>
      </c>
      <c r="AH8" s="434"/>
      <c r="AI8" s="435"/>
      <c r="AJ8" s="402"/>
      <c r="AK8" s="441"/>
      <c r="AL8" s="402" t="s">
        <v>373</v>
      </c>
      <c r="AM8" s="295" t="s">
        <v>325</v>
      </c>
      <c r="AN8" s="433" t="s">
        <v>370</v>
      </c>
      <c r="AO8" s="434"/>
      <c r="AP8" s="435"/>
      <c r="AQ8" s="433" t="s">
        <v>370</v>
      </c>
      <c r="AR8" s="434"/>
      <c r="AS8" s="435"/>
    </row>
    <row r="9" spans="1:45" s="245" customFormat="1" ht="26.4" x14ac:dyDescent="0.25">
      <c r="A9" s="427"/>
      <c r="B9" s="402"/>
      <c r="C9" s="295" t="s">
        <v>374</v>
      </c>
      <c r="D9" s="402"/>
      <c r="E9" s="295" t="s">
        <v>374</v>
      </c>
      <c r="F9" s="301" t="s">
        <v>360</v>
      </c>
      <c r="G9" s="301" t="s">
        <v>361</v>
      </c>
      <c r="H9" s="301" t="s">
        <v>362</v>
      </c>
      <c r="I9" s="301" t="s">
        <v>360</v>
      </c>
      <c r="J9" s="301" t="s">
        <v>361</v>
      </c>
      <c r="K9" s="301" t="s">
        <v>362</v>
      </c>
      <c r="L9" s="402"/>
      <c r="M9" s="442"/>
      <c r="N9" s="402"/>
      <c r="O9" s="295" t="s">
        <v>374</v>
      </c>
      <c r="P9" s="301" t="s">
        <v>360</v>
      </c>
      <c r="Q9" s="301" t="s">
        <v>361</v>
      </c>
      <c r="R9" s="301" t="s">
        <v>362</v>
      </c>
      <c r="S9" s="301" t="s">
        <v>360</v>
      </c>
      <c r="T9" s="301" t="s">
        <v>361</v>
      </c>
      <c r="U9" s="301" t="s">
        <v>362</v>
      </c>
      <c r="V9" s="402"/>
      <c r="W9" s="442"/>
      <c r="X9" s="402"/>
      <c r="Y9" s="295" t="s">
        <v>374</v>
      </c>
      <c r="Z9" s="402"/>
      <c r="AA9" s="442"/>
      <c r="AB9" s="402"/>
      <c r="AC9" s="295" t="s">
        <v>374</v>
      </c>
      <c r="AD9" s="301" t="s">
        <v>360</v>
      </c>
      <c r="AE9" s="301" t="s">
        <v>361</v>
      </c>
      <c r="AF9" s="301" t="s">
        <v>362</v>
      </c>
      <c r="AG9" s="301" t="s">
        <v>360</v>
      </c>
      <c r="AH9" s="301" t="s">
        <v>361</v>
      </c>
      <c r="AI9" s="301" t="s">
        <v>362</v>
      </c>
      <c r="AJ9" s="402"/>
      <c r="AK9" s="442"/>
      <c r="AL9" s="402"/>
      <c r="AM9" s="295" t="s">
        <v>374</v>
      </c>
      <c r="AN9" s="301" t="s">
        <v>360</v>
      </c>
      <c r="AO9" s="301" t="s">
        <v>361</v>
      </c>
      <c r="AP9" s="301" t="s">
        <v>362</v>
      </c>
      <c r="AQ9" s="301" t="s">
        <v>360</v>
      </c>
      <c r="AR9" s="301" t="s">
        <v>361</v>
      </c>
      <c r="AS9" s="301" t="s">
        <v>362</v>
      </c>
    </row>
    <row r="10" spans="1:45" s="238" customFormat="1" ht="10.199999999999999" x14ac:dyDescent="0.25">
      <c r="A10" s="235">
        <v>1</v>
      </c>
      <c r="B10" s="236"/>
      <c r="C10" s="236"/>
      <c r="D10" s="236"/>
      <c r="E10" s="236"/>
      <c r="F10" s="301"/>
      <c r="G10" s="301"/>
      <c r="H10" s="301"/>
      <c r="I10" s="301"/>
      <c r="J10" s="301"/>
      <c r="K10" s="301"/>
      <c r="L10" s="236">
        <v>2</v>
      </c>
      <c r="M10" s="236">
        <v>3</v>
      </c>
      <c r="N10" s="236">
        <v>4</v>
      </c>
      <c r="O10" s="236">
        <v>5</v>
      </c>
      <c r="P10" s="301"/>
      <c r="Q10" s="301"/>
      <c r="R10" s="301"/>
      <c r="S10" s="301"/>
      <c r="T10" s="301"/>
      <c r="U10" s="301"/>
      <c r="V10" s="236">
        <v>6</v>
      </c>
      <c r="W10" s="236">
        <v>7</v>
      </c>
      <c r="X10" s="236">
        <v>8</v>
      </c>
      <c r="Y10" s="236">
        <v>9</v>
      </c>
      <c r="Z10" s="236">
        <v>10</v>
      </c>
      <c r="AA10" s="236">
        <v>11</v>
      </c>
      <c r="AB10" s="236">
        <v>12</v>
      </c>
      <c r="AC10" s="236">
        <v>13</v>
      </c>
      <c r="AD10" s="301"/>
      <c r="AE10" s="301"/>
      <c r="AF10" s="301"/>
      <c r="AG10" s="301"/>
      <c r="AH10" s="301"/>
      <c r="AI10" s="301"/>
      <c r="AJ10" s="236">
        <v>14</v>
      </c>
      <c r="AK10" s="236">
        <v>15</v>
      </c>
      <c r="AL10" s="236">
        <v>16</v>
      </c>
      <c r="AM10" s="237">
        <v>17</v>
      </c>
      <c r="AN10" s="301"/>
      <c r="AO10" s="301"/>
      <c r="AP10" s="301"/>
      <c r="AQ10" s="301"/>
      <c r="AR10" s="301"/>
      <c r="AS10" s="301"/>
    </row>
    <row r="11" spans="1:45" x14ac:dyDescent="0.25">
      <c r="A11" s="303" t="s">
        <v>168</v>
      </c>
      <c r="B11" s="304">
        <v>12634.308499999999</v>
      </c>
      <c r="C11" s="304">
        <v>120.4388</v>
      </c>
      <c r="D11" s="304">
        <v>10104.1834</v>
      </c>
      <c r="E11" s="304">
        <v>120.4388</v>
      </c>
      <c r="F11" s="305">
        <v>8004.7763000000004</v>
      </c>
      <c r="G11" s="305">
        <v>0</v>
      </c>
      <c r="H11" s="305">
        <v>2099.4070999999999</v>
      </c>
      <c r="I11" s="305">
        <v>0</v>
      </c>
      <c r="J11" s="305">
        <v>0</v>
      </c>
      <c r="K11" s="305">
        <v>120.4388</v>
      </c>
      <c r="L11" s="304">
        <v>6986.1878999999999</v>
      </c>
      <c r="M11" s="304">
        <v>0</v>
      </c>
      <c r="N11" s="304">
        <v>4752.5717000000004</v>
      </c>
      <c r="O11" s="304">
        <v>0</v>
      </c>
      <c r="P11" s="305">
        <v>5.4611000000000001</v>
      </c>
      <c r="Q11" s="305">
        <v>0</v>
      </c>
      <c r="R11" s="305">
        <v>4747.1106</v>
      </c>
      <c r="S11" s="305">
        <v>0</v>
      </c>
      <c r="T11" s="305">
        <v>0</v>
      </c>
      <c r="U11" s="305">
        <v>0</v>
      </c>
      <c r="V11" s="304">
        <v>-5648.1205999999993</v>
      </c>
      <c r="W11" s="304">
        <v>-120.4388</v>
      </c>
      <c r="X11" s="304">
        <v>-5351.6116999999995</v>
      </c>
      <c r="Y11" s="304">
        <v>-120.4388</v>
      </c>
      <c r="Z11" s="304">
        <v>93195.008100000006</v>
      </c>
      <c r="AA11" s="304">
        <v>57354.7238</v>
      </c>
      <c r="AB11" s="304">
        <v>84424.110799999995</v>
      </c>
      <c r="AC11" s="304">
        <v>54780.395900000003</v>
      </c>
      <c r="AD11" s="305">
        <v>447.03739999999999</v>
      </c>
      <c r="AE11" s="305">
        <v>0</v>
      </c>
      <c r="AF11" s="305">
        <v>83977.073399999994</v>
      </c>
      <c r="AG11" s="305">
        <v>0</v>
      </c>
      <c r="AH11" s="305">
        <v>0</v>
      </c>
      <c r="AI11" s="305">
        <v>54780.395900000003</v>
      </c>
      <c r="AJ11" s="304">
        <v>37261.782000000007</v>
      </c>
      <c r="AK11" s="304">
        <v>34767.9323</v>
      </c>
      <c r="AL11" s="304">
        <v>34224.997199999998</v>
      </c>
      <c r="AM11" s="306">
        <v>34149.0573</v>
      </c>
      <c r="AN11" s="307" t="e">
        <f>AD11-#REF!</f>
        <v>#REF!</v>
      </c>
      <c r="AO11" s="305" t="e">
        <f>AE11-#REF!</f>
        <v>#REF!</v>
      </c>
      <c r="AP11" s="305" t="e">
        <f>AF11-#REF!</f>
        <v>#REF!</v>
      </c>
      <c r="AQ11" s="305" t="e">
        <f>AG11-#REF!</f>
        <v>#REF!</v>
      </c>
      <c r="AR11" s="305" t="e">
        <f>AH11-#REF!</f>
        <v>#REF!</v>
      </c>
      <c r="AS11" s="308" t="e">
        <f>AI11-#REF!</f>
        <v>#REF!</v>
      </c>
    </row>
    <row r="12" spans="1:45" ht="27.6" x14ac:dyDescent="0.25">
      <c r="A12" s="303" t="s">
        <v>169</v>
      </c>
      <c r="B12" s="304">
        <v>5369.3058000000001</v>
      </c>
      <c r="C12" s="304">
        <v>0</v>
      </c>
      <c r="D12" s="304">
        <v>3289.7808</v>
      </c>
      <c r="E12" s="304">
        <v>0</v>
      </c>
      <c r="F12" s="305">
        <v>284.83909999999997</v>
      </c>
      <c r="G12" s="305">
        <v>0</v>
      </c>
      <c r="H12" s="305">
        <v>3004.9416999999999</v>
      </c>
      <c r="I12" s="305">
        <v>0</v>
      </c>
      <c r="J12" s="305">
        <v>0</v>
      </c>
      <c r="K12" s="305">
        <v>0</v>
      </c>
      <c r="L12" s="304">
        <v>2699.7977000000001</v>
      </c>
      <c r="M12" s="304">
        <v>0</v>
      </c>
      <c r="N12" s="304">
        <v>1161.6403999999998</v>
      </c>
      <c r="O12" s="304">
        <v>0</v>
      </c>
      <c r="P12" s="305">
        <v>111.6617</v>
      </c>
      <c r="Q12" s="305">
        <v>0</v>
      </c>
      <c r="R12" s="305">
        <v>1049.9786999999999</v>
      </c>
      <c r="S12" s="305">
        <v>0</v>
      </c>
      <c r="T12" s="305">
        <v>0</v>
      </c>
      <c r="U12" s="305">
        <v>0</v>
      </c>
      <c r="V12" s="304">
        <v>-2669.5081</v>
      </c>
      <c r="W12" s="304">
        <v>0</v>
      </c>
      <c r="X12" s="304">
        <v>-2128.1404000000002</v>
      </c>
      <c r="Y12" s="304">
        <v>0</v>
      </c>
      <c r="Z12" s="304">
        <v>6398.0623999999998</v>
      </c>
      <c r="AA12" s="304">
        <v>242.5455</v>
      </c>
      <c r="AB12" s="304">
        <v>4891.6949999999997</v>
      </c>
      <c r="AC12" s="304">
        <v>0</v>
      </c>
      <c r="AD12" s="305">
        <v>562.47040000000004</v>
      </c>
      <c r="AE12" s="305">
        <v>0</v>
      </c>
      <c r="AF12" s="305">
        <v>4329.2245999999996</v>
      </c>
      <c r="AG12" s="305">
        <v>0</v>
      </c>
      <c r="AH12" s="305">
        <v>0</v>
      </c>
      <c r="AI12" s="305">
        <v>0</v>
      </c>
      <c r="AJ12" s="304">
        <v>1480.9967999999999</v>
      </c>
      <c r="AK12" s="304">
        <v>94.598700000000008</v>
      </c>
      <c r="AL12" s="304">
        <v>1816.8949999999995</v>
      </c>
      <c r="AM12" s="306">
        <v>0</v>
      </c>
      <c r="AN12" s="307" t="e">
        <f>AD12-#REF!</f>
        <v>#REF!</v>
      </c>
      <c r="AO12" s="305" t="e">
        <f>AE12-#REF!</f>
        <v>#REF!</v>
      </c>
      <c r="AP12" s="305" t="e">
        <f>AF12-#REF!</f>
        <v>#REF!</v>
      </c>
      <c r="AQ12" s="305" t="e">
        <f>AG12-#REF!</f>
        <v>#REF!</v>
      </c>
      <c r="AR12" s="305" t="e">
        <f>AH12-#REF!</f>
        <v>#REF!</v>
      </c>
      <c r="AS12" s="308" t="e">
        <f>AI12-#REF!</f>
        <v>#REF!</v>
      </c>
    </row>
    <row r="13" spans="1:45" x14ac:dyDescent="0.25">
      <c r="A13" s="303" t="s">
        <v>170</v>
      </c>
      <c r="B13" s="304">
        <v>5243.4182000000001</v>
      </c>
      <c r="C13" s="304">
        <v>0</v>
      </c>
      <c r="D13" s="304">
        <v>2564.8805000000002</v>
      </c>
      <c r="E13" s="304">
        <v>0</v>
      </c>
      <c r="F13" s="305">
        <v>75.492199999999997</v>
      </c>
      <c r="G13" s="305">
        <v>0</v>
      </c>
      <c r="H13" s="305">
        <v>2489.3883000000001</v>
      </c>
      <c r="I13" s="305">
        <v>0</v>
      </c>
      <c r="J13" s="305">
        <v>0</v>
      </c>
      <c r="K13" s="305">
        <v>0</v>
      </c>
      <c r="L13" s="304">
        <v>2658.0288999999998</v>
      </c>
      <c r="M13" s="304">
        <v>0</v>
      </c>
      <c r="N13" s="304">
        <v>756.99829999999997</v>
      </c>
      <c r="O13" s="304">
        <v>0</v>
      </c>
      <c r="P13" s="305">
        <v>83.256399999999999</v>
      </c>
      <c r="Q13" s="305">
        <v>0</v>
      </c>
      <c r="R13" s="305">
        <v>673.74189999999999</v>
      </c>
      <c r="S13" s="305">
        <v>0</v>
      </c>
      <c r="T13" s="305">
        <v>0</v>
      </c>
      <c r="U13" s="305">
        <v>0</v>
      </c>
      <c r="V13" s="304">
        <v>-2585.3893000000003</v>
      </c>
      <c r="W13" s="304">
        <v>0</v>
      </c>
      <c r="X13" s="304">
        <v>-1807.8822000000002</v>
      </c>
      <c r="Y13" s="304">
        <v>0</v>
      </c>
      <c r="Z13" s="304">
        <v>3113.6061</v>
      </c>
      <c r="AA13" s="304">
        <v>240.62870000000001</v>
      </c>
      <c r="AB13" s="304">
        <v>1991.8145</v>
      </c>
      <c r="AC13" s="304">
        <v>220.22669999999999</v>
      </c>
      <c r="AD13" s="305">
        <v>981.5163</v>
      </c>
      <c r="AE13" s="305">
        <v>0</v>
      </c>
      <c r="AF13" s="305">
        <v>1010.2982</v>
      </c>
      <c r="AG13" s="305">
        <v>58.844700000000003</v>
      </c>
      <c r="AH13" s="305">
        <v>0</v>
      </c>
      <c r="AI13" s="305">
        <v>161.38200000000001</v>
      </c>
      <c r="AJ13" s="304">
        <v>-5929.1109000000006</v>
      </c>
      <c r="AK13" s="304">
        <v>-53.902399999999972</v>
      </c>
      <c r="AL13" s="304">
        <v>-4662.2780000000002</v>
      </c>
      <c r="AM13" s="306">
        <v>-74.304399999999987</v>
      </c>
      <c r="AN13" s="307" t="e">
        <f>AD13-#REF!</f>
        <v>#REF!</v>
      </c>
      <c r="AO13" s="305" t="e">
        <f>AE13-#REF!</f>
        <v>#REF!</v>
      </c>
      <c r="AP13" s="305" t="e">
        <f>AF13-#REF!</f>
        <v>#REF!</v>
      </c>
      <c r="AQ13" s="305" t="e">
        <f>AG13-#REF!</f>
        <v>#REF!</v>
      </c>
      <c r="AR13" s="305" t="e">
        <f>AH13-#REF!</f>
        <v>#REF!</v>
      </c>
      <c r="AS13" s="308" t="e">
        <f>AI13-#REF!</f>
        <v>#REF!</v>
      </c>
    </row>
    <row r="14" spans="1:45" ht="27.6" x14ac:dyDescent="0.25">
      <c r="A14" s="303" t="s">
        <v>171</v>
      </c>
      <c r="B14" s="304">
        <v>3728.6086</v>
      </c>
      <c r="C14" s="304">
        <v>0</v>
      </c>
      <c r="D14" s="304">
        <v>3214.6422000000002</v>
      </c>
      <c r="E14" s="304">
        <v>0</v>
      </c>
      <c r="F14" s="305">
        <v>664.04459999999995</v>
      </c>
      <c r="G14" s="305">
        <v>0</v>
      </c>
      <c r="H14" s="305">
        <v>2550.5976000000001</v>
      </c>
      <c r="I14" s="305">
        <v>0</v>
      </c>
      <c r="J14" s="305">
        <v>0</v>
      </c>
      <c r="K14" s="305">
        <v>0</v>
      </c>
      <c r="L14" s="304">
        <v>4117.5556999999999</v>
      </c>
      <c r="M14" s="304">
        <v>0</v>
      </c>
      <c r="N14" s="304">
        <v>3594.8606</v>
      </c>
      <c r="O14" s="304">
        <v>0</v>
      </c>
      <c r="P14" s="305">
        <v>548.4058</v>
      </c>
      <c r="Q14" s="305">
        <v>0</v>
      </c>
      <c r="R14" s="305">
        <v>3046.4548</v>
      </c>
      <c r="S14" s="305">
        <v>0</v>
      </c>
      <c r="T14" s="305">
        <v>0</v>
      </c>
      <c r="U14" s="305">
        <v>0</v>
      </c>
      <c r="V14" s="304">
        <v>388.94709999999986</v>
      </c>
      <c r="W14" s="304">
        <v>0</v>
      </c>
      <c r="X14" s="304">
        <v>380.21839999999975</v>
      </c>
      <c r="Y14" s="304">
        <v>0</v>
      </c>
      <c r="Z14" s="304">
        <v>12039.595600000001</v>
      </c>
      <c r="AA14" s="304">
        <v>4060.0675999999999</v>
      </c>
      <c r="AB14" s="304">
        <v>10936.077899999998</v>
      </c>
      <c r="AC14" s="304">
        <v>4060.0675999999999</v>
      </c>
      <c r="AD14" s="305">
        <v>948.6979</v>
      </c>
      <c r="AE14" s="305">
        <v>0</v>
      </c>
      <c r="AF14" s="305">
        <v>9987.3799999999992</v>
      </c>
      <c r="AG14" s="305">
        <v>0</v>
      </c>
      <c r="AH14" s="305">
        <v>0</v>
      </c>
      <c r="AI14" s="305">
        <v>4060.0675999999999</v>
      </c>
      <c r="AJ14" s="304">
        <v>-5420.1435999999994</v>
      </c>
      <c r="AK14" s="304">
        <v>-3725.5702000000006</v>
      </c>
      <c r="AL14" s="304">
        <v>-5578.297700000001</v>
      </c>
      <c r="AM14" s="306">
        <v>-3725.5702000000006</v>
      </c>
      <c r="AN14" s="307" t="e">
        <f>AD14-#REF!</f>
        <v>#REF!</v>
      </c>
      <c r="AO14" s="305" t="e">
        <f>AE14-#REF!</f>
        <v>#REF!</v>
      </c>
      <c r="AP14" s="305" t="e">
        <f>AF14-#REF!</f>
        <v>#REF!</v>
      </c>
      <c r="AQ14" s="305" t="e">
        <f>AG14-#REF!</f>
        <v>#REF!</v>
      </c>
      <c r="AR14" s="305" t="e">
        <f>AH14-#REF!</f>
        <v>#REF!</v>
      </c>
      <c r="AS14" s="308" t="e">
        <f>AI14-#REF!</f>
        <v>#REF!</v>
      </c>
    </row>
    <row r="15" spans="1:45" ht="27.6" x14ac:dyDescent="0.25">
      <c r="A15" s="303" t="s">
        <v>172</v>
      </c>
      <c r="B15" s="304">
        <v>4504.5099</v>
      </c>
      <c r="C15" s="304">
        <v>100.2381</v>
      </c>
      <c r="D15" s="304">
        <v>3143.5268999999998</v>
      </c>
      <c r="E15" s="304">
        <v>86.973399999999998</v>
      </c>
      <c r="F15" s="305">
        <v>0</v>
      </c>
      <c r="G15" s="305">
        <v>0</v>
      </c>
      <c r="H15" s="305">
        <v>3143.5268999999998</v>
      </c>
      <c r="I15" s="305">
        <v>0</v>
      </c>
      <c r="J15" s="305">
        <v>0</v>
      </c>
      <c r="K15" s="305">
        <v>86.973399999999998</v>
      </c>
      <c r="L15" s="304">
        <v>3103.6495</v>
      </c>
      <c r="M15" s="304">
        <v>47.504399999999997</v>
      </c>
      <c r="N15" s="304">
        <v>1541.2402999999999</v>
      </c>
      <c r="O15" s="304">
        <v>47.504399999999997</v>
      </c>
      <c r="P15" s="305">
        <v>0</v>
      </c>
      <c r="Q15" s="305">
        <v>0</v>
      </c>
      <c r="R15" s="305">
        <v>1541.2402999999999</v>
      </c>
      <c r="S15" s="305">
        <v>0</v>
      </c>
      <c r="T15" s="305">
        <v>0</v>
      </c>
      <c r="U15" s="305">
        <v>47.504399999999997</v>
      </c>
      <c r="V15" s="304">
        <v>-1400.8604</v>
      </c>
      <c r="W15" s="304">
        <v>-52.733700000000006</v>
      </c>
      <c r="X15" s="304">
        <v>-1602.2865999999999</v>
      </c>
      <c r="Y15" s="304">
        <v>-39.469000000000001</v>
      </c>
      <c r="Z15" s="304">
        <v>29190.913400000001</v>
      </c>
      <c r="AA15" s="304">
        <v>11714.476699999999</v>
      </c>
      <c r="AB15" s="304">
        <v>27944.9277</v>
      </c>
      <c r="AC15" s="304">
        <v>11631.260200000001</v>
      </c>
      <c r="AD15" s="305">
        <v>0</v>
      </c>
      <c r="AE15" s="305">
        <v>0</v>
      </c>
      <c r="AF15" s="305">
        <v>27944.9277</v>
      </c>
      <c r="AG15" s="305">
        <v>0</v>
      </c>
      <c r="AH15" s="305">
        <v>0</v>
      </c>
      <c r="AI15" s="305">
        <v>11631.260200000001</v>
      </c>
      <c r="AJ15" s="304">
        <v>8358.0786000000007</v>
      </c>
      <c r="AK15" s="304">
        <v>2695.2603999999992</v>
      </c>
      <c r="AL15" s="304">
        <v>9092.0321000000004</v>
      </c>
      <c r="AM15" s="306">
        <v>2612.0439000000006</v>
      </c>
      <c r="AN15" s="307" t="e">
        <f>AD15-#REF!</f>
        <v>#REF!</v>
      </c>
      <c r="AO15" s="305" t="e">
        <f>AE15-#REF!</f>
        <v>#REF!</v>
      </c>
      <c r="AP15" s="305" t="e">
        <f>AF15-#REF!</f>
        <v>#REF!</v>
      </c>
      <c r="AQ15" s="305" t="e">
        <f>AG15-#REF!</f>
        <v>#REF!</v>
      </c>
      <c r="AR15" s="305" t="e">
        <f>AH15-#REF!</f>
        <v>#REF!</v>
      </c>
      <c r="AS15" s="308" t="e">
        <f>AI15-#REF!</f>
        <v>#REF!</v>
      </c>
    </row>
    <row r="16" spans="1:45" x14ac:dyDescent="0.25">
      <c r="A16" s="303" t="s">
        <v>173</v>
      </c>
      <c r="B16" s="304">
        <v>3056.9809</v>
      </c>
      <c r="C16" s="304">
        <v>133.23679999999999</v>
      </c>
      <c r="D16" s="304">
        <v>491.50760000000002</v>
      </c>
      <c r="E16" s="304">
        <v>133.23679999999999</v>
      </c>
      <c r="F16" s="305">
        <v>0</v>
      </c>
      <c r="G16" s="305">
        <v>0</v>
      </c>
      <c r="H16" s="305">
        <v>491.50760000000002</v>
      </c>
      <c r="I16" s="305">
        <v>0</v>
      </c>
      <c r="J16" s="305">
        <v>0</v>
      </c>
      <c r="K16" s="305">
        <v>133.23679999999999</v>
      </c>
      <c r="L16" s="304">
        <v>2238.8751000000002</v>
      </c>
      <c r="M16" s="304">
        <v>8.4</v>
      </c>
      <c r="N16" s="304">
        <v>748.27679999999998</v>
      </c>
      <c r="O16" s="304">
        <v>8.4</v>
      </c>
      <c r="P16" s="305">
        <v>0</v>
      </c>
      <c r="Q16" s="305">
        <v>0</v>
      </c>
      <c r="R16" s="305">
        <v>748.27679999999998</v>
      </c>
      <c r="S16" s="305">
        <v>0</v>
      </c>
      <c r="T16" s="305">
        <v>0</v>
      </c>
      <c r="U16" s="305">
        <v>8.4</v>
      </c>
      <c r="V16" s="304">
        <v>-818.10579999999982</v>
      </c>
      <c r="W16" s="304">
        <v>-124.83679999999998</v>
      </c>
      <c r="X16" s="304">
        <v>256.76919999999996</v>
      </c>
      <c r="Y16" s="304">
        <v>-124.83679999999998</v>
      </c>
      <c r="Z16" s="304">
        <v>11935.279</v>
      </c>
      <c r="AA16" s="304">
        <v>7864.0290999999997</v>
      </c>
      <c r="AB16" s="304">
        <v>10463.061300000001</v>
      </c>
      <c r="AC16" s="304">
        <v>7817.9250000000002</v>
      </c>
      <c r="AD16" s="305">
        <v>299.45800000000003</v>
      </c>
      <c r="AE16" s="305">
        <v>0</v>
      </c>
      <c r="AF16" s="305">
        <v>10163.603300000001</v>
      </c>
      <c r="AG16" s="305">
        <v>0</v>
      </c>
      <c r="AH16" s="305">
        <v>0</v>
      </c>
      <c r="AI16" s="305">
        <v>7817.9250000000002</v>
      </c>
      <c r="AJ16" s="304">
        <v>-7100.7375000000011</v>
      </c>
      <c r="AK16" s="304">
        <v>2472.4479999999994</v>
      </c>
      <c r="AL16" s="304">
        <v>-4731.250799999998</v>
      </c>
      <c r="AM16" s="306">
        <v>2519.2137000000002</v>
      </c>
      <c r="AN16" s="307" t="e">
        <f>AD16-#REF!</f>
        <v>#REF!</v>
      </c>
      <c r="AO16" s="305" t="e">
        <f>AE16-#REF!</f>
        <v>#REF!</v>
      </c>
      <c r="AP16" s="305" t="e">
        <f>AF16-#REF!</f>
        <v>#REF!</v>
      </c>
      <c r="AQ16" s="305" t="e">
        <f>AG16-#REF!</f>
        <v>#REF!</v>
      </c>
      <c r="AR16" s="305" t="e">
        <f>AH16-#REF!</f>
        <v>#REF!</v>
      </c>
      <c r="AS16" s="308" t="e">
        <f>AI16-#REF!</f>
        <v>#REF!</v>
      </c>
    </row>
    <row r="17" spans="1:45" x14ac:dyDescent="0.25">
      <c r="A17" s="303" t="s">
        <v>174</v>
      </c>
      <c r="B17" s="304">
        <v>16301.3254</v>
      </c>
      <c r="C17" s="304">
        <v>439.58699999999999</v>
      </c>
      <c r="D17" s="304">
        <v>5368.8006999999998</v>
      </c>
      <c r="E17" s="304">
        <v>314.60000000000002</v>
      </c>
      <c r="F17" s="305">
        <v>328.08440000000002</v>
      </c>
      <c r="G17" s="305">
        <v>0</v>
      </c>
      <c r="H17" s="305">
        <v>5040.7163</v>
      </c>
      <c r="I17" s="305">
        <v>314.60000000000002</v>
      </c>
      <c r="J17" s="305">
        <v>0</v>
      </c>
      <c r="K17" s="305">
        <v>0</v>
      </c>
      <c r="L17" s="304">
        <v>17202.120500000001</v>
      </c>
      <c r="M17" s="304">
        <v>219.12559999999999</v>
      </c>
      <c r="N17" s="304">
        <v>1733.8952999999999</v>
      </c>
      <c r="O17" s="304">
        <v>1.6999999999999999E-3</v>
      </c>
      <c r="P17" s="305">
        <v>6.2013999999999996</v>
      </c>
      <c r="Q17" s="305">
        <v>0</v>
      </c>
      <c r="R17" s="305">
        <v>1727.6939</v>
      </c>
      <c r="S17" s="305">
        <v>0</v>
      </c>
      <c r="T17" s="305">
        <v>0</v>
      </c>
      <c r="U17" s="305">
        <v>1.6999999999999999E-3</v>
      </c>
      <c r="V17" s="304">
        <v>900.79510000000118</v>
      </c>
      <c r="W17" s="304">
        <v>-220.4614</v>
      </c>
      <c r="X17" s="304">
        <v>-3634.9053999999996</v>
      </c>
      <c r="Y17" s="304">
        <v>-314.59829999999999</v>
      </c>
      <c r="Z17" s="304">
        <v>50643.213199999998</v>
      </c>
      <c r="AA17" s="304">
        <v>32556.254199999999</v>
      </c>
      <c r="AB17" s="304">
        <v>26882.196199999998</v>
      </c>
      <c r="AC17" s="304">
        <v>14597.466199999999</v>
      </c>
      <c r="AD17" s="305">
        <v>764.08590000000004</v>
      </c>
      <c r="AE17" s="305">
        <v>0</v>
      </c>
      <c r="AF17" s="305">
        <v>26118.1103</v>
      </c>
      <c r="AG17" s="305">
        <v>649.94860000000006</v>
      </c>
      <c r="AH17" s="305">
        <v>0</v>
      </c>
      <c r="AI17" s="305">
        <v>13947.517599999999</v>
      </c>
      <c r="AJ17" s="304">
        <v>8638.0729999999967</v>
      </c>
      <c r="AK17" s="304">
        <v>2212.5203999999976</v>
      </c>
      <c r="AL17" s="304">
        <v>5142.0243999999984</v>
      </c>
      <c r="AM17" s="306">
        <v>2996.5815999999995</v>
      </c>
      <c r="AN17" s="307" t="e">
        <f>AD17-#REF!</f>
        <v>#REF!</v>
      </c>
      <c r="AO17" s="305" t="e">
        <f>AE17-#REF!</f>
        <v>#REF!</v>
      </c>
      <c r="AP17" s="305" t="e">
        <f>AF17-#REF!</f>
        <v>#REF!</v>
      </c>
      <c r="AQ17" s="305" t="e">
        <f>AG17-#REF!</f>
        <v>#REF!</v>
      </c>
      <c r="AR17" s="305" t="e">
        <f>AH17-#REF!</f>
        <v>#REF!</v>
      </c>
      <c r="AS17" s="308" t="e">
        <f>AI17-#REF!</f>
        <v>#REF!</v>
      </c>
    </row>
    <row r="18" spans="1:45" ht="27.6" x14ac:dyDescent="0.25">
      <c r="A18" s="303" t="s">
        <v>175</v>
      </c>
      <c r="B18" s="304">
        <v>684.84749999999997</v>
      </c>
      <c r="C18" s="304">
        <v>0</v>
      </c>
      <c r="D18" s="304">
        <v>321.96420000000001</v>
      </c>
      <c r="E18" s="304">
        <v>0</v>
      </c>
      <c r="F18" s="305">
        <v>7.3532999999999999</v>
      </c>
      <c r="G18" s="305">
        <v>0</v>
      </c>
      <c r="H18" s="305">
        <v>314.61090000000002</v>
      </c>
      <c r="I18" s="305">
        <v>0</v>
      </c>
      <c r="J18" s="305">
        <v>0</v>
      </c>
      <c r="K18" s="305">
        <v>0</v>
      </c>
      <c r="L18" s="304">
        <v>348.12509999999997</v>
      </c>
      <c r="M18" s="304">
        <v>0</v>
      </c>
      <c r="N18" s="304">
        <v>154.40210000000002</v>
      </c>
      <c r="O18" s="304">
        <v>0</v>
      </c>
      <c r="P18" s="305">
        <v>69.106300000000005</v>
      </c>
      <c r="Q18" s="305">
        <v>0</v>
      </c>
      <c r="R18" s="305">
        <v>85.2958</v>
      </c>
      <c r="S18" s="305">
        <v>0</v>
      </c>
      <c r="T18" s="305">
        <v>0</v>
      </c>
      <c r="U18" s="305">
        <v>0</v>
      </c>
      <c r="V18" s="304">
        <v>-336.72239999999999</v>
      </c>
      <c r="W18" s="304">
        <v>0</v>
      </c>
      <c r="X18" s="304">
        <v>-167.56209999999999</v>
      </c>
      <c r="Y18" s="304">
        <v>0</v>
      </c>
      <c r="Z18" s="304">
        <v>5436.3163999999997</v>
      </c>
      <c r="AA18" s="304">
        <v>3020.0488999999998</v>
      </c>
      <c r="AB18" s="304">
        <v>4953.723</v>
      </c>
      <c r="AC18" s="304">
        <v>3020.0488999999998</v>
      </c>
      <c r="AD18" s="305">
        <v>79.063000000000002</v>
      </c>
      <c r="AE18" s="305">
        <v>0</v>
      </c>
      <c r="AF18" s="305">
        <v>4874.66</v>
      </c>
      <c r="AG18" s="305">
        <v>66.341499999999996</v>
      </c>
      <c r="AH18" s="305">
        <v>0</v>
      </c>
      <c r="AI18" s="305">
        <v>2953.7073999999998</v>
      </c>
      <c r="AJ18" s="304">
        <v>433.21410000000014</v>
      </c>
      <c r="AK18" s="304">
        <v>759.8150999999998</v>
      </c>
      <c r="AL18" s="304">
        <v>715.04379999999946</v>
      </c>
      <c r="AM18" s="306">
        <v>759.8150999999998</v>
      </c>
      <c r="AN18" s="307" t="e">
        <f>AD18-#REF!</f>
        <v>#REF!</v>
      </c>
      <c r="AO18" s="305" t="e">
        <f>AE18-#REF!</f>
        <v>#REF!</v>
      </c>
      <c r="AP18" s="305" t="e">
        <f>AF18-#REF!</f>
        <v>#REF!</v>
      </c>
      <c r="AQ18" s="305" t="e">
        <f>AG18-#REF!</f>
        <v>#REF!</v>
      </c>
      <c r="AR18" s="305" t="e">
        <f>AH18-#REF!</f>
        <v>#REF!</v>
      </c>
      <c r="AS18" s="308" t="e">
        <f>AI18-#REF!</f>
        <v>#REF!</v>
      </c>
    </row>
    <row r="19" spans="1:45" x14ac:dyDescent="0.25">
      <c r="A19" s="303" t="s">
        <v>176</v>
      </c>
      <c r="B19" s="304">
        <v>1573.5070000000001</v>
      </c>
      <c r="C19" s="304">
        <v>585.92579999999998</v>
      </c>
      <c r="D19" s="304">
        <v>934.68880000000001</v>
      </c>
      <c r="E19" s="304">
        <v>585.80029999999999</v>
      </c>
      <c r="F19" s="305">
        <v>27.784800000000001</v>
      </c>
      <c r="G19" s="305">
        <v>0</v>
      </c>
      <c r="H19" s="305">
        <v>906.904</v>
      </c>
      <c r="I19" s="305">
        <v>0</v>
      </c>
      <c r="J19" s="305">
        <v>0</v>
      </c>
      <c r="K19" s="305">
        <v>585.80029999999999</v>
      </c>
      <c r="L19" s="304">
        <v>1529.5181</v>
      </c>
      <c r="M19" s="304">
        <v>534.77110000000005</v>
      </c>
      <c r="N19" s="304">
        <v>1091.3773000000001</v>
      </c>
      <c r="O19" s="304">
        <v>534.64559999999994</v>
      </c>
      <c r="P19" s="305">
        <v>552.45699999999999</v>
      </c>
      <c r="Q19" s="305">
        <v>0</v>
      </c>
      <c r="R19" s="305">
        <v>538.9203</v>
      </c>
      <c r="S19" s="305">
        <v>495.86869999999999</v>
      </c>
      <c r="T19" s="305">
        <v>0</v>
      </c>
      <c r="U19" s="305">
        <v>38.776899999999998</v>
      </c>
      <c r="V19" s="304">
        <v>-43.988900000000058</v>
      </c>
      <c r="W19" s="304">
        <v>-51.154699999999934</v>
      </c>
      <c r="X19" s="304">
        <v>156.68850000000009</v>
      </c>
      <c r="Y19" s="304">
        <v>-51.154700000000048</v>
      </c>
      <c r="Z19" s="304">
        <v>10699.193499999999</v>
      </c>
      <c r="AA19" s="304">
        <v>3747.5673999999999</v>
      </c>
      <c r="AB19" s="304">
        <v>10103.1121</v>
      </c>
      <c r="AC19" s="304">
        <v>3747.5673999999999</v>
      </c>
      <c r="AD19" s="305">
        <v>3044.7046</v>
      </c>
      <c r="AE19" s="305">
        <v>0</v>
      </c>
      <c r="AF19" s="305">
        <v>7058.4075000000003</v>
      </c>
      <c r="AG19" s="305">
        <v>713.03629999999998</v>
      </c>
      <c r="AH19" s="305">
        <v>0</v>
      </c>
      <c r="AI19" s="305">
        <v>3034.5311000000002</v>
      </c>
      <c r="AJ19" s="304">
        <v>-2418.9121000000014</v>
      </c>
      <c r="AK19" s="304">
        <v>-5392.0519000000004</v>
      </c>
      <c r="AL19" s="304">
        <v>-2346.1034</v>
      </c>
      <c r="AM19" s="306">
        <v>-5350.9202999999998</v>
      </c>
      <c r="AN19" s="307" t="e">
        <f>AD19-#REF!</f>
        <v>#REF!</v>
      </c>
      <c r="AO19" s="305" t="e">
        <f>AE19-#REF!</f>
        <v>#REF!</v>
      </c>
      <c r="AP19" s="305" t="e">
        <f>AF19-#REF!</f>
        <v>#REF!</v>
      </c>
      <c r="AQ19" s="305" t="e">
        <f>AG19-#REF!</f>
        <v>#REF!</v>
      </c>
      <c r="AR19" s="305" t="e">
        <f>AH19-#REF!</f>
        <v>#REF!</v>
      </c>
      <c r="AS19" s="308" t="e">
        <f>AI19-#REF!</f>
        <v>#REF!</v>
      </c>
    </row>
    <row r="20" spans="1:45" x14ac:dyDescent="0.25">
      <c r="A20" s="303" t="s">
        <v>177</v>
      </c>
      <c r="B20" s="304">
        <v>2104.8867</v>
      </c>
      <c r="C20" s="304">
        <v>0</v>
      </c>
      <c r="D20" s="304">
        <v>1537.7959000000001</v>
      </c>
      <c r="E20" s="304">
        <v>0</v>
      </c>
      <c r="F20" s="305">
        <v>520.03869999999995</v>
      </c>
      <c r="G20" s="305">
        <v>0</v>
      </c>
      <c r="H20" s="305">
        <v>1017.7572</v>
      </c>
      <c r="I20" s="305">
        <v>0</v>
      </c>
      <c r="J20" s="305">
        <v>0</v>
      </c>
      <c r="K20" s="305">
        <v>0</v>
      </c>
      <c r="L20" s="304">
        <v>2038.825</v>
      </c>
      <c r="M20" s="304">
        <v>0</v>
      </c>
      <c r="N20" s="304">
        <v>1332.1167999999998</v>
      </c>
      <c r="O20" s="304">
        <v>0</v>
      </c>
      <c r="P20" s="305">
        <v>253.5385</v>
      </c>
      <c r="Q20" s="305">
        <v>0</v>
      </c>
      <c r="R20" s="305">
        <v>1078.5782999999999</v>
      </c>
      <c r="S20" s="305">
        <v>0</v>
      </c>
      <c r="T20" s="305">
        <v>0</v>
      </c>
      <c r="U20" s="305">
        <v>0</v>
      </c>
      <c r="V20" s="304">
        <v>-66.061699999999973</v>
      </c>
      <c r="W20" s="304">
        <v>0</v>
      </c>
      <c r="X20" s="304">
        <v>-205.67910000000029</v>
      </c>
      <c r="Y20" s="304">
        <v>0</v>
      </c>
      <c r="Z20" s="304">
        <v>19244.0766</v>
      </c>
      <c r="AA20" s="304">
        <v>10668.775600000001</v>
      </c>
      <c r="AB20" s="304">
        <v>17999.707900000001</v>
      </c>
      <c r="AC20" s="304">
        <v>10668.775600000001</v>
      </c>
      <c r="AD20" s="305">
        <v>0</v>
      </c>
      <c r="AE20" s="305">
        <v>0</v>
      </c>
      <c r="AF20" s="305">
        <v>17999.707900000001</v>
      </c>
      <c r="AG20" s="305">
        <v>0</v>
      </c>
      <c r="AH20" s="305">
        <v>0</v>
      </c>
      <c r="AI20" s="305">
        <v>10668.775600000001</v>
      </c>
      <c r="AJ20" s="304">
        <v>6118.9809999999998</v>
      </c>
      <c r="AK20" s="304">
        <v>3371.3387000000012</v>
      </c>
      <c r="AL20" s="304">
        <v>5483.1875</v>
      </c>
      <c r="AM20" s="306">
        <v>3371.3387000000012</v>
      </c>
      <c r="AN20" s="307" t="e">
        <f>AD20-#REF!</f>
        <v>#REF!</v>
      </c>
      <c r="AO20" s="305" t="e">
        <f>AE20-#REF!</f>
        <v>#REF!</v>
      </c>
      <c r="AP20" s="305" t="e">
        <f>AF20-#REF!</f>
        <v>#REF!</v>
      </c>
      <c r="AQ20" s="305" t="e">
        <f>AG20-#REF!</f>
        <v>#REF!</v>
      </c>
      <c r="AR20" s="305" t="e">
        <f>AH20-#REF!</f>
        <v>#REF!</v>
      </c>
      <c r="AS20" s="308" t="e">
        <f>AI20-#REF!</f>
        <v>#REF!</v>
      </c>
    </row>
    <row r="21" spans="1:45" x14ac:dyDescent="0.25">
      <c r="A21" s="303" t="s">
        <v>178</v>
      </c>
      <c r="B21" s="304">
        <v>1148.3796</v>
      </c>
      <c r="C21" s="304">
        <v>198.62450000000001</v>
      </c>
      <c r="D21" s="304">
        <v>502.82920000000001</v>
      </c>
      <c r="E21" s="304">
        <v>105.468</v>
      </c>
      <c r="F21" s="305">
        <v>28.190799999999999</v>
      </c>
      <c r="G21" s="305">
        <v>0</v>
      </c>
      <c r="H21" s="305">
        <v>474.63839999999999</v>
      </c>
      <c r="I21" s="305">
        <v>0</v>
      </c>
      <c r="J21" s="305">
        <v>0</v>
      </c>
      <c r="K21" s="305">
        <v>105.468</v>
      </c>
      <c r="L21" s="304">
        <v>1698.7221999999999</v>
      </c>
      <c r="M21" s="304">
        <v>105.468</v>
      </c>
      <c r="N21" s="304">
        <v>935.33699999999999</v>
      </c>
      <c r="O21" s="304">
        <v>105.468</v>
      </c>
      <c r="P21" s="305">
        <v>40.799999999999997</v>
      </c>
      <c r="Q21" s="305">
        <v>0</v>
      </c>
      <c r="R21" s="305">
        <v>894.53700000000003</v>
      </c>
      <c r="S21" s="305">
        <v>0</v>
      </c>
      <c r="T21" s="305">
        <v>0</v>
      </c>
      <c r="U21" s="305">
        <v>105.468</v>
      </c>
      <c r="V21" s="304">
        <v>550.34259999999995</v>
      </c>
      <c r="W21" s="304">
        <v>-93.156500000000008</v>
      </c>
      <c r="X21" s="304">
        <v>432.50779999999997</v>
      </c>
      <c r="Y21" s="304">
        <v>0</v>
      </c>
      <c r="Z21" s="304">
        <v>16411.4198</v>
      </c>
      <c r="AA21" s="304">
        <v>4357.2496000000001</v>
      </c>
      <c r="AB21" s="304">
        <v>15236.580899999999</v>
      </c>
      <c r="AC21" s="304">
        <v>4102.4387999999999</v>
      </c>
      <c r="AD21" s="305">
        <v>691.84630000000004</v>
      </c>
      <c r="AE21" s="305">
        <v>0</v>
      </c>
      <c r="AF21" s="305">
        <v>14544.7346</v>
      </c>
      <c r="AG21" s="305">
        <v>0</v>
      </c>
      <c r="AH21" s="305">
        <v>0</v>
      </c>
      <c r="AI21" s="305">
        <v>4102.4387999999999</v>
      </c>
      <c r="AJ21" s="304">
        <v>2398.2582999999995</v>
      </c>
      <c r="AK21" s="304">
        <v>-636.26050000000032</v>
      </c>
      <c r="AL21" s="304">
        <v>3098.5336000000007</v>
      </c>
      <c r="AM21" s="306">
        <v>38.547999999999774</v>
      </c>
      <c r="AN21" s="307" t="e">
        <f>AD21-#REF!</f>
        <v>#REF!</v>
      </c>
      <c r="AO21" s="305" t="e">
        <f>AE21-#REF!</f>
        <v>#REF!</v>
      </c>
      <c r="AP21" s="305" t="e">
        <f>AF21-#REF!</f>
        <v>#REF!</v>
      </c>
      <c r="AQ21" s="305" t="e">
        <f>AG21-#REF!</f>
        <v>#REF!</v>
      </c>
      <c r="AR21" s="305" t="e">
        <f>AH21-#REF!</f>
        <v>#REF!</v>
      </c>
      <c r="AS21" s="308" t="e">
        <f>AI21-#REF!</f>
        <v>#REF!</v>
      </c>
    </row>
    <row r="22" spans="1:45" x14ac:dyDescent="0.25">
      <c r="A22" s="303" t="s">
        <v>179</v>
      </c>
      <c r="B22" s="304">
        <v>2486.9810000000002</v>
      </c>
      <c r="C22" s="304">
        <v>2.5857000000000001</v>
      </c>
      <c r="D22" s="304">
        <v>1367.4198000000001</v>
      </c>
      <c r="E22" s="304">
        <v>2.5857000000000001</v>
      </c>
      <c r="F22" s="305">
        <v>0.57299999999999995</v>
      </c>
      <c r="G22" s="305">
        <v>0</v>
      </c>
      <c r="H22" s="305">
        <v>1366.8468</v>
      </c>
      <c r="I22" s="305">
        <v>0</v>
      </c>
      <c r="J22" s="305">
        <v>0</v>
      </c>
      <c r="K22" s="305">
        <v>2.5857000000000001</v>
      </c>
      <c r="L22" s="304">
        <v>2812.3944000000001</v>
      </c>
      <c r="M22" s="304">
        <v>2.5857000000000001</v>
      </c>
      <c r="N22" s="304">
        <v>894.02110000000005</v>
      </c>
      <c r="O22" s="304">
        <v>2.5857000000000001</v>
      </c>
      <c r="P22" s="305">
        <v>0.6</v>
      </c>
      <c r="Q22" s="305">
        <v>0</v>
      </c>
      <c r="R22" s="305">
        <v>893.42110000000002</v>
      </c>
      <c r="S22" s="305">
        <v>0</v>
      </c>
      <c r="T22" s="305">
        <v>0</v>
      </c>
      <c r="U22" s="305">
        <v>2.5857000000000001</v>
      </c>
      <c r="V22" s="304">
        <v>325.41339999999991</v>
      </c>
      <c r="W22" s="304">
        <v>0</v>
      </c>
      <c r="X22" s="304">
        <v>-473.39870000000008</v>
      </c>
      <c r="Y22" s="304">
        <v>0</v>
      </c>
      <c r="Z22" s="304">
        <v>17034.564999999999</v>
      </c>
      <c r="AA22" s="304">
        <v>83.452600000000004</v>
      </c>
      <c r="AB22" s="304">
        <v>14175.8514</v>
      </c>
      <c r="AC22" s="304">
        <v>83.452600000000004</v>
      </c>
      <c r="AD22" s="305">
        <v>296.54860000000002</v>
      </c>
      <c r="AE22" s="305">
        <v>0</v>
      </c>
      <c r="AF22" s="305">
        <v>13879.302799999999</v>
      </c>
      <c r="AG22" s="305">
        <v>0</v>
      </c>
      <c r="AH22" s="305">
        <v>0</v>
      </c>
      <c r="AI22" s="305">
        <v>83.452600000000004</v>
      </c>
      <c r="AJ22" s="304">
        <v>-189.52600000000166</v>
      </c>
      <c r="AK22" s="304">
        <v>-2938.5906999999997</v>
      </c>
      <c r="AL22" s="304">
        <v>-720.83370000000104</v>
      </c>
      <c r="AM22" s="306">
        <v>-2876.7226999999998</v>
      </c>
      <c r="AN22" s="307" t="e">
        <f>AD22-#REF!</f>
        <v>#REF!</v>
      </c>
      <c r="AO22" s="305" t="e">
        <f>AE22-#REF!</f>
        <v>#REF!</v>
      </c>
      <c r="AP22" s="305" t="e">
        <f>AF22-#REF!</f>
        <v>#REF!</v>
      </c>
      <c r="AQ22" s="305" t="e">
        <f>AG22-#REF!</f>
        <v>#REF!</v>
      </c>
      <c r="AR22" s="305" t="e">
        <f>AH22-#REF!</f>
        <v>#REF!</v>
      </c>
      <c r="AS22" s="308" t="e">
        <f>AI22-#REF!</f>
        <v>#REF!</v>
      </c>
    </row>
    <row r="23" spans="1:45" x14ac:dyDescent="0.25">
      <c r="A23" s="303" t="s">
        <v>180</v>
      </c>
      <c r="B23" s="304">
        <v>6624.933</v>
      </c>
      <c r="C23" s="304">
        <v>0</v>
      </c>
      <c r="D23" s="304">
        <v>3291.1729</v>
      </c>
      <c r="E23" s="304">
        <v>0</v>
      </c>
      <c r="F23" s="305">
        <v>1398.2978000000001</v>
      </c>
      <c r="G23" s="305">
        <v>0</v>
      </c>
      <c r="H23" s="305">
        <v>1892.8751</v>
      </c>
      <c r="I23" s="305">
        <v>0</v>
      </c>
      <c r="J23" s="305">
        <v>0</v>
      </c>
      <c r="K23" s="305">
        <v>0</v>
      </c>
      <c r="L23" s="304">
        <v>6061.1580999999996</v>
      </c>
      <c r="M23" s="304">
        <v>0</v>
      </c>
      <c r="N23" s="304">
        <v>2575.8001999999997</v>
      </c>
      <c r="O23" s="304">
        <v>0</v>
      </c>
      <c r="P23" s="305">
        <v>41.922800000000002</v>
      </c>
      <c r="Q23" s="305">
        <v>0</v>
      </c>
      <c r="R23" s="305">
        <v>2533.8773999999999</v>
      </c>
      <c r="S23" s="305">
        <v>0</v>
      </c>
      <c r="T23" s="305">
        <v>0</v>
      </c>
      <c r="U23" s="305">
        <v>0</v>
      </c>
      <c r="V23" s="304">
        <v>-563.77490000000034</v>
      </c>
      <c r="W23" s="304">
        <v>0</v>
      </c>
      <c r="X23" s="304">
        <v>-715.37270000000035</v>
      </c>
      <c r="Y23" s="304">
        <v>0</v>
      </c>
      <c r="Z23" s="304">
        <v>68850.778699999995</v>
      </c>
      <c r="AA23" s="304">
        <v>7644.2821000000004</v>
      </c>
      <c r="AB23" s="304">
        <v>63138.502399999998</v>
      </c>
      <c r="AC23" s="304">
        <v>7644.2821000000004</v>
      </c>
      <c r="AD23" s="305">
        <v>1926.2408</v>
      </c>
      <c r="AE23" s="305">
        <v>0</v>
      </c>
      <c r="AF23" s="305">
        <v>61212.261599999998</v>
      </c>
      <c r="AG23" s="305">
        <v>0</v>
      </c>
      <c r="AH23" s="305">
        <v>0</v>
      </c>
      <c r="AI23" s="305">
        <v>7644.2821000000004</v>
      </c>
      <c r="AJ23" s="304">
        <v>21213.043499999992</v>
      </c>
      <c r="AK23" s="304">
        <v>390.48670000000038</v>
      </c>
      <c r="AL23" s="304">
        <v>21227.293699999995</v>
      </c>
      <c r="AM23" s="306">
        <v>390.48670000000038</v>
      </c>
      <c r="AN23" s="307" t="e">
        <f>AD23-#REF!</f>
        <v>#REF!</v>
      </c>
      <c r="AO23" s="305" t="e">
        <f>AE23-#REF!</f>
        <v>#REF!</v>
      </c>
      <c r="AP23" s="305" t="e">
        <f>AF23-#REF!</f>
        <v>#REF!</v>
      </c>
      <c r="AQ23" s="305" t="e">
        <f>AG23-#REF!</f>
        <v>#REF!</v>
      </c>
      <c r="AR23" s="305" t="e">
        <f>AH23-#REF!</f>
        <v>#REF!</v>
      </c>
      <c r="AS23" s="308" t="e">
        <f>AI23-#REF!</f>
        <v>#REF!</v>
      </c>
    </row>
    <row r="24" spans="1:45" x14ac:dyDescent="0.25">
      <c r="A24" s="303" t="s">
        <v>181</v>
      </c>
      <c r="B24" s="304">
        <v>4284.4498999999996</v>
      </c>
      <c r="C24" s="304">
        <v>532.95060000000001</v>
      </c>
      <c r="D24" s="304">
        <v>3127.1594999999998</v>
      </c>
      <c r="E24" s="304">
        <v>532.95060000000001</v>
      </c>
      <c r="F24" s="305">
        <v>90.31</v>
      </c>
      <c r="G24" s="305">
        <v>0</v>
      </c>
      <c r="H24" s="305">
        <v>3036.8494999999998</v>
      </c>
      <c r="I24" s="305">
        <v>0</v>
      </c>
      <c r="J24" s="305">
        <v>0</v>
      </c>
      <c r="K24" s="305">
        <v>532.95060000000001</v>
      </c>
      <c r="L24" s="304">
        <v>4559.1135000000004</v>
      </c>
      <c r="M24" s="304">
        <v>503.12959999999998</v>
      </c>
      <c r="N24" s="304">
        <v>3118.4841000000001</v>
      </c>
      <c r="O24" s="304">
        <v>503.12959999999998</v>
      </c>
      <c r="P24" s="305">
        <v>156.31469999999999</v>
      </c>
      <c r="Q24" s="305">
        <v>0</v>
      </c>
      <c r="R24" s="305">
        <v>2962.1694000000002</v>
      </c>
      <c r="S24" s="305">
        <v>0</v>
      </c>
      <c r="T24" s="305">
        <v>0</v>
      </c>
      <c r="U24" s="305">
        <v>503.12959999999998</v>
      </c>
      <c r="V24" s="304">
        <v>274.66360000000077</v>
      </c>
      <c r="W24" s="304">
        <v>-29.821000000000026</v>
      </c>
      <c r="X24" s="304">
        <v>-8.6753999999996267</v>
      </c>
      <c r="Y24" s="304">
        <v>-29.821000000000026</v>
      </c>
      <c r="Z24" s="304">
        <v>9899.5218999999997</v>
      </c>
      <c r="AA24" s="304">
        <v>700.27700000000004</v>
      </c>
      <c r="AB24" s="304">
        <v>8096.9597000000003</v>
      </c>
      <c r="AC24" s="304">
        <v>700.27700000000004</v>
      </c>
      <c r="AD24" s="305">
        <v>1912.2762</v>
      </c>
      <c r="AE24" s="305">
        <v>0</v>
      </c>
      <c r="AF24" s="305">
        <v>6184.6835000000001</v>
      </c>
      <c r="AG24" s="305">
        <v>0</v>
      </c>
      <c r="AH24" s="305">
        <v>0</v>
      </c>
      <c r="AI24" s="305">
        <v>700.27700000000004</v>
      </c>
      <c r="AJ24" s="304">
        <v>6137.4465</v>
      </c>
      <c r="AK24" s="304">
        <v>168.29280000000006</v>
      </c>
      <c r="AL24" s="304">
        <v>5579.3967000000002</v>
      </c>
      <c r="AM24" s="306">
        <v>168.29280000000006</v>
      </c>
      <c r="AN24" s="307" t="e">
        <f>AD24-#REF!</f>
        <v>#REF!</v>
      </c>
      <c r="AO24" s="305" t="e">
        <f>AE24-#REF!</f>
        <v>#REF!</v>
      </c>
      <c r="AP24" s="305" t="e">
        <f>AF24-#REF!</f>
        <v>#REF!</v>
      </c>
      <c r="AQ24" s="305" t="e">
        <f>AG24-#REF!</f>
        <v>#REF!</v>
      </c>
      <c r="AR24" s="305" t="e">
        <f>AH24-#REF!</f>
        <v>#REF!</v>
      </c>
      <c r="AS24" s="308" t="e">
        <f>AI24-#REF!</f>
        <v>#REF!</v>
      </c>
    </row>
    <row r="25" spans="1:45" x14ac:dyDescent="0.25">
      <c r="A25" s="303" t="s">
        <v>182</v>
      </c>
      <c r="B25" s="304">
        <v>11135.759700000001</v>
      </c>
      <c r="C25" s="304">
        <v>0</v>
      </c>
      <c r="D25" s="304">
        <v>8830.1693999999989</v>
      </c>
      <c r="E25" s="304">
        <v>0</v>
      </c>
      <c r="F25" s="305">
        <v>538.21299999999997</v>
      </c>
      <c r="G25" s="305">
        <v>0</v>
      </c>
      <c r="H25" s="305">
        <v>8291.9563999999991</v>
      </c>
      <c r="I25" s="305">
        <v>0</v>
      </c>
      <c r="J25" s="305">
        <v>0</v>
      </c>
      <c r="K25" s="305">
        <v>0</v>
      </c>
      <c r="L25" s="304">
        <v>7057.4299000000001</v>
      </c>
      <c r="M25" s="304">
        <v>0</v>
      </c>
      <c r="N25" s="304">
        <v>4703.3977999999997</v>
      </c>
      <c r="O25" s="304">
        <v>0</v>
      </c>
      <c r="P25" s="305">
        <v>13.604799999999999</v>
      </c>
      <c r="Q25" s="305">
        <v>0</v>
      </c>
      <c r="R25" s="305">
        <v>4689.7929999999997</v>
      </c>
      <c r="S25" s="305">
        <v>0</v>
      </c>
      <c r="T25" s="305">
        <v>0</v>
      </c>
      <c r="U25" s="305">
        <v>0</v>
      </c>
      <c r="V25" s="304">
        <v>-4078.3298000000004</v>
      </c>
      <c r="W25" s="304">
        <v>0</v>
      </c>
      <c r="X25" s="304">
        <v>-4126.7715999999991</v>
      </c>
      <c r="Y25" s="304">
        <v>0</v>
      </c>
      <c r="Z25" s="304">
        <v>47046.894899999999</v>
      </c>
      <c r="AA25" s="304">
        <v>16292.0807</v>
      </c>
      <c r="AB25" s="304">
        <v>42989.900300000001</v>
      </c>
      <c r="AC25" s="304">
        <v>16291.8807</v>
      </c>
      <c r="AD25" s="305">
        <v>560.71749999999997</v>
      </c>
      <c r="AE25" s="305">
        <v>0</v>
      </c>
      <c r="AF25" s="305">
        <v>42429.182800000002</v>
      </c>
      <c r="AG25" s="305">
        <v>44.143999999999998</v>
      </c>
      <c r="AH25" s="305">
        <v>0</v>
      </c>
      <c r="AI25" s="305">
        <v>16247.736699999999</v>
      </c>
      <c r="AJ25" s="304">
        <v>23763.9532</v>
      </c>
      <c r="AK25" s="304">
        <v>11885.4872</v>
      </c>
      <c r="AL25" s="304">
        <v>22910.8874</v>
      </c>
      <c r="AM25" s="306">
        <v>11885.287199999999</v>
      </c>
      <c r="AN25" s="307" t="e">
        <f>AD25-#REF!</f>
        <v>#REF!</v>
      </c>
      <c r="AO25" s="305" t="e">
        <f>AE25-#REF!</f>
        <v>#REF!</v>
      </c>
      <c r="AP25" s="305" t="e">
        <f>AF25-#REF!</f>
        <v>#REF!</v>
      </c>
      <c r="AQ25" s="305" t="e">
        <f>AG25-#REF!</f>
        <v>#REF!</v>
      </c>
      <c r="AR25" s="305" t="e">
        <f>AH25-#REF!</f>
        <v>#REF!</v>
      </c>
      <c r="AS25" s="308" t="e">
        <f>AI25-#REF!</f>
        <v>#REF!</v>
      </c>
    </row>
    <row r="26" spans="1:45" x14ac:dyDescent="0.25">
      <c r="A26" s="303" t="s">
        <v>183</v>
      </c>
      <c r="B26" s="304">
        <v>11937.1353</v>
      </c>
      <c r="C26" s="304">
        <v>0</v>
      </c>
      <c r="D26" s="304">
        <v>8112.4086000000007</v>
      </c>
      <c r="E26" s="304">
        <v>0</v>
      </c>
      <c r="F26" s="305">
        <v>411.83789999999999</v>
      </c>
      <c r="G26" s="305">
        <v>0</v>
      </c>
      <c r="H26" s="305">
        <v>7700.5707000000002</v>
      </c>
      <c r="I26" s="305">
        <v>0</v>
      </c>
      <c r="J26" s="305">
        <v>0</v>
      </c>
      <c r="K26" s="305">
        <v>0</v>
      </c>
      <c r="L26" s="304">
        <v>13766.1414</v>
      </c>
      <c r="M26" s="304">
        <v>0</v>
      </c>
      <c r="N26" s="304">
        <v>8792.4013999999988</v>
      </c>
      <c r="O26" s="304">
        <v>0</v>
      </c>
      <c r="P26" s="305">
        <v>1350.0014000000001</v>
      </c>
      <c r="Q26" s="305">
        <v>0</v>
      </c>
      <c r="R26" s="305">
        <v>7442.4</v>
      </c>
      <c r="S26" s="305">
        <v>0</v>
      </c>
      <c r="T26" s="305">
        <v>0</v>
      </c>
      <c r="U26" s="305">
        <v>0</v>
      </c>
      <c r="V26" s="304">
        <v>1829.0061000000005</v>
      </c>
      <c r="W26" s="304">
        <v>0</v>
      </c>
      <c r="X26" s="304">
        <v>679.99279999999817</v>
      </c>
      <c r="Y26" s="304">
        <v>0</v>
      </c>
      <c r="Z26" s="304">
        <v>15289.7822</v>
      </c>
      <c r="AA26" s="304">
        <v>1535.7820999999999</v>
      </c>
      <c r="AB26" s="304">
        <v>6826.7884999999997</v>
      </c>
      <c r="AC26" s="304">
        <v>1535.7820999999999</v>
      </c>
      <c r="AD26" s="305">
        <v>115.7081</v>
      </c>
      <c r="AE26" s="305">
        <v>0</v>
      </c>
      <c r="AF26" s="305">
        <v>6711.0803999999998</v>
      </c>
      <c r="AG26" s="305">
        <v>0</v>
      </c>
      <c r="AH26" s="305">
        <v>0</v>
      </c>
      <c r="AI26" s="305">
        <v>1535.7820999999999</v>
      </c>
      <c r="AJ26" s="304">
        <v>-3507.5401000000002</v>
      </c>
      <c r="AK26" s="304">
        <v>-100.00040000000013</v>
      </c>
      <c r="AL26" s="304">
        <v>-6679.3843000000006</v>
      </c>
      <c r="AM26" s="306">
        <v>-100.00040000000013</v>
      </c>
      <c r="AN26" s="307" t="e">
        <f>AD26-#REF!</f>
        <v>#REF!</v>
      </c>
      <c r="AO26" s="305" t="e">
        <f>AE26-#REF!</f>
        <v>#REF!</v>
      </c>
      <c r="AP26" s="305" t="e">
        <f>AF26-#REF!</f>
        <v>#REF!</v>
      </c>
      <c r="AQ26" s="305" t="e">
        <f>AG26-#REF!</f>
        <v>#REF!</v>
      </c>
      <c r="AR26" s="305" t="e">
        <f>AH26-#REF!</f>
        <v>#REF!</v>
      </c>
      <c r="AS26" s="308" t="e">
        <f>AI26-#REF!</f>
        <v>#REF!</v>
      </c>
    </row>
    <row r="27" spans="1:45" x14ac:dyDescent="0.25">
      <c r="A27" s="303" t="s">
        <v>184</v>
      </c>
      <c r="B27" s="304">
        <v>9603.2347000000009</v>
      </c>
      <c r="C27" s="304">
        <v>0</v>
      </c>
      <c r="D27" s="304">
        <v>3659.1741000000002</v>
      </c>
      <c r="E27" s="304">
        <v>0</v>
      </c>
      <c r="F27" s="305">
        <v>297.14080000000001</v>
      </c>
      <c r="G27" s="305">
        <v>0</v>
      </c>
      <c r="H27" s="305">
        <v>3362.0333000000001</v>
      </c>
      <c r="I27" s="305">
        <v>0</v>
      </c>
      <c r="J27" s="305">
        <v>0</v>
      </c>
      <c r="K27" s="305">
        <v>0</v>
      </c>
      <c r="L27" s="304">
        <v>7414.7039999999997</v>
      </c>
      <c r="M27" s="304">
        <v>0</v>
      </c>
      <c r="N27" s="304">
        <v>2149.8854000000001</v>
      </c>
      <c r="O27" s="304">
        <v>0</v>
      </c>
      <c r="P27" s="305">
        <v>29.632200000000001</v>
      </c>
      <c r="Q27" s="305">
        <v>0</v>
      </c>
      <c r="R27" s="305">
        <v>2120.2532000000001</v>
      </c>
      <c r="S27" s="305">
        <v>0</v>
      </c>
      <c r="T27" s="305">
        <v>0</v>
      </c>
      <c r="U27" s="305">
        <v>0</v>
      </c>
      <c r="V27" s="304">
        <v>-2188.5307000000012</v>
      </c>
      <c r="W27" s="304">
        <v>0</v>
      </c>
      <c r="X27" s="304">
        <v>-1509.2887000000001</v>
      </c>
      <c r="Y27" s="304">
        <v>0</v>
      </c>
      <c r="Z27" s="304">
        <v>66405.152600000001</v>
      </c>
      <c r="AA27" s="304">
        <v>31160.014800000001</v>
      </c>
      <c r="AB27" s="304">
        <v>59980.089099999997</v>
      </c>
      <c r="AC27" s="304">
        <v>30841.404199999997</v>
      </c>
      <c r="AD27" s="305">
        <v>3772.5531000000001</v>
      </c>
      <c r="AE27" s="305">
        <v>0</v>
      </c>
      <c r="AF27" s="305">
        <v>56207.536</v>
      </c>
      <c r="AG27" s="305">
        <v>2008.046</v>
      </c>
      <c r="AH27" s="305">
        <v>0</v>
      </c>
      <c r="AI27" s="305">
        <v>28833.358199999999</v>
      </c>
      <c r="AJ27" s="304">
        <v>3337.0865000000049</v>
      </c>
      <c r="AK27" s="304">
        <v>566.69239999999991</v>
      </c>
      <c r="AL27" s="304">
        <v>3680.3505999999979</v>
      </c>
      <c r="AM27" s="306">
        <v>407.58410000000003</v>
      </c>
      <c r="AN27" s="307" t="e">
        <f>AD27-#REF!</f>
        <v>#REF!</v>
      </c>
      <c r="AO27" s="305" t="e">
        <f>AE27-#REF!</f>
        <v>#REF!</v>
      </c>
      <c r="AP27" s="305" t="e">
        <f>AF27-#REF!</f>
        <v>#REF!</v>
      </c>
      <c r="AQ27" s="305" t="e">
        <f>AG27-#REF!</f>
        <v>#REF!</v>
      </c>
      <c r="AR27" s="305" t="e">
        <f>AH27-#REF!</f>
        <v>#REF!</v>
      </c>
      <c r="AS27" s="308" t="e">
        <f>AI27-#REF!</f>
        <v>#REF!</v>
      </c>
    </row>
    <row r="28" spans="1:45" x14ac:dyDescent="0.25">
      <c r="A28" s="303" t="s">
        <v>185</v>
      </c>
      <c r="B28" s="304">
        <v>5521.1130999999996</v>
      </c>
      <c r="C28" s="304">
        <v>0</v>
      </c>
      <c r="D28" s="304">
        <v>2473.0695999999998</v>
      </c>
      <c r="E28" s="304">
        <v>0</v>
      </c>
      <c r="F28" s="305">
        <v>0</v>
      </c>
      <c r="G28" s="305">
        <v>0</v>
      </c>
      <c r="H28" s="305">
        <v>2473.0695999999998</v>
      </c>
      <c r="I28" s="305">
        <v>0</v>
      </c>
      <c r="J28" s="305">
        <v>0</v>
      </c>
      <c r="K28" s="305">
        <v>0</v>
      </c>
      <c r="L28" s="304">
        <v>7033.4349000000002</v>
      </c>
      <c r="M28" s="304">
        <v>0</v>
      </c>
      <c r="N28" s="304">
        <v>3315.5702000000001</v>
      </c>
      <c r="O28" s="304">
        <v>0</v>
      </c>
      <c r="P28" s="305">
        <v>0</v>
      </c>
      <c r="Q28" s="305">
        <v>0</v>
      </c>
      <c r="R28" s="305">
        <v>3315.5702000000001</v>
      </c>
      <c r="S28" s="305">
        <v>0</v>
      </c>
      <c r="T28" s="305">
        <v>0</v>
      </c>
      <c r="U28" s="305">
        <v>0</v>
      </c>
      <c r="V28" s="304">
        <v>1512.3218000000006</v>
      </c>
      <c r="W28" s="304">
        <v>0</v>
      </c>
      <c r="X28" s="304">
        <v>842.5006000000003</v>
      </c>
      <c r="Y28" s="304">
        <v>0</v>
      </c>
      <c r="Z28" s="304">
        <v>5002.6849000000002</v>
      </c>
      <c r="AA28" s="304">
        <v>0</v>
      </c>
      <c r="AB28" s="304">
        <v>0</v>
      </c>
      <c r="AC28" s="304">
        <v>0</v>
      </c>
      <c r="AD28" s="305">
        <v>0</v>
      </c>
      <c r="AE28" s="305">
        <v>0</v>
      </c>
      <c r="AF28" s="305">
        <v>0</v>
      </c>
      <c r="AG28" s="305">
        <v>0</v>
      </c>
      <c r="AH28" s="305">
        <v>0</v>
      </c>
      <c r="AI28" s="305">
        <v>0</v>
      </c>
      <c r="AJ28" s="304">
        <v>-184.49119999999948</v>
      </c>
      <c r="AK28" s="304">
        <v>0</v>
      </c>
      <c r="AL28" s="304">
        <v>-1028.1320000000001</v>
      </c>
      <c r="AM28" s="306">
        <v>0</v>
      </c>
      <c r="AN28" s="307" t="e">
        <f>AD28-#REF!</f>
        <v>#REF!</v>
      </c>
      <c r="AO28" s="305" t="e">
        <f>AE28-#REF!</f>
        <v>#REF!</v>
      </c>
      <c r="AP28" s="305" t="e">
        <f>AF28-#REF!</f>
        <v>#REF!</v>
      </c>
      <c r="AQ28" s="305" t="e">
        <f>AG28-#REF!</f>
        <v>#REF!</v>
      </c>
      <c r="AR28" s="305" t="e">
        <f>AH28-#REF!</f>
        <v>#REF!</v>
      </c>
      <c r="AS28" s="308" t="e">
        <f>AI28-#REF!</f>
        <v>#REF!</v>
      </c>
    </row>
    <row r="29" spans="1:45" x14ac:dyDescent="0.25">
      <c r="A29" s="303" t="s">
        <v>186</v>
      </c>
      <c r="B29" s="304">
        <v>1199.5843</v>
      </c>
      <c r="C29" s="304">
        <v>0</v>
      </c>
      <c r="D29" s="304">
        <v>716.50840000000005</v>
      </c>
      <c r="E29" s="304">
        <v>0</v>
      </c>
      <c r="F29" s="305">
        <v>0</v>
      </c>
      <c r="G29" s="305">
        <v>0</v>
      </c>
      <c r="H29" s="305">
        <v>716.50840000000005</v>
      </c>
      <c r="I29" s="305">
        <v>0</v>
      </c>
      <c r="J29" s="305">
        <v>0</v>
      </c>
      <c r="K29" s="305">
        <v>0</v>
      </c>
      <c r="L29" s="304">
        <v>1183.6519000000001</v>
      </c>
      <c r="M29" s="304">
        <v>0</v>
      </c>
      <c r="N29" s="304">
        <v>588.37450000000001</v>
      </c>
      <c r="O29" s="304">
        <v>0</v>
      </c>
      <c r="P29" s="305">
        <v>0</v>
      </c>
      <c r="Q29" s="305">
        <v>0</v>
      </c>
      <c r="R29" s="305">
        <v>588.37450000000001</v>
      </c>
      <c r="S29" s="305">
        <v>0</v>
      </c>
      <c r="T29" s="305">
        <v>0</v>
      </c>
      <c r="U29" s="305">
        <v>0</v>
      </c>
      <c r="V29" s="304">
        <v>-15.932399999999916</v>
      </c>
      <c r="W29" s="304">
        <v>0</v>
      </c>
      <c r="X29" s="304">
        <v>-128.13390000000004</v>
      </c>
      <c r="Y29" s="304">
        <v>0</v>
      </c>
      <c r="Z29" s="304">
        <v>4833.2650000000003</v>
      </c>
      <c r="AA29" s="304">
        <v>400.55759999999998</v>
      </c>
      <c r="AB29" s="304">
        <v>4179.8496999999998</v>
      </c>
      <c r="AC29" s="304">
        <v>400.55759999999998</v>
      </c>
      <c r="AD29" s="305">
        <v>261.4468</v>
      </c>
      <c r="AE29" s="305">
        <v>0</v>
      </c>
      <c r="AF29" s="305">
        <v>3918.4029</v>
      </c>
      <c r="AG29" s="305">
        <v>0</v>
      </c>
      <c r="AH29" s="305">
        <v>0</v>
      </c>
      <c r="AI29" s="305">
        <v>400.55759999999998</v>
      </c>
      <c r="AJ29" s="304">
        <v>498.21810000000005</v>
      </c>
      <c r="AK29" s="304">
        <v>-184.08860000000004</v>
      </c>
      <c r="AL29" s="304">
        <v>576.62589999999955</v>
      </c>
      <c r="AM29" s="306">
        <v>-184.08860000000004</v>
      </c>
      <c r="AN29" s="307" t="e">
        <f>AD29-#REF!</f>
        <v>#REF!</v>
      </c>
      <c r="AO29" s="305" t="e">
        <f>AE29-#REF!</f>
        <v>#REF!</v>
      </c>
      <c r="AP29" s="305" t="e">
        <f>AF29-#REF!</f>
        <v>#REF!</v>
      </c>
      <c r="AQ29" s="305" t="e">
        <f>AG29-#REF!</f>
        <v>#REF!</v>
      </c>
      <c r="AR29" s="305" t="e">
        <f>AH29-#REF!</f>
        <v>#REF!</v>
      </c>
      <c r="AS29" s="308" t="e">
        <f>AI29-#REF!</f>
        <v>#REF!</v>
      </c>
    </row>
    <row r="30" spans="1:45" x14ac:dyDescent="0.25">
      <c r="A30" s="303" t="s">
        <v>187</v>
      </c>
      <c r="B30" s="304">
        <v>49438.770900000003</v>
      </c>
      <c r="C30" s="304">
        <v>4523.0898999999999</v>
      </c>
      <c r="D30" s="304">
        <v>26310.297900000001</v>
      </c>
      <c r="E30" s="304">
        <v>2188.0853999999999</v>
      </c>
      <c r="F30" s="305">
        <v>3290.2062000000001</v>
      </c>
      <c r="G30" s="305">
        <v>0</v>
      </c>
      <c r="H30" s="305">
        <v>23020.091700000001</v>
      </c>
      <c r="I30" s="305">
        <v>2185.8553999999999</v>
      </c>
      <c r="J30" s="305">
        <v>0</v>
      </c>
      <c r="K30" s="305">
        <v>2.23</v>
      </c>
      <c r="L30" s="304">
        <v>53525.932500000003</v>
      </c>
      <c r="M30" s="304">
        <v>3240.4191000000001</v>
      </c>
      <c r="N30" s="304">
        <v>28404.0645</v>
      </c>
      <c r="O30" s="304">
        <v>3240.4191000000001</v>
      </c>
      <c r="P30" s="305">
        <v>3429.3766000000001</v>
      </c>
      <c r="Q30" s="305">
        <v>0</v>
      </c>
      <c r="R30" s="305">
        <v>24974.687900000001</v>
      </c>
      <c r="S30" s="305">
        <v>2185.8553999999999</v>
      </c>
      <c r="T30" s="305">
        <v>0</v>
      </c>
      <c r="U30" s="305">
        <v>1054.5636999999999</v>
      </c>
      <c r="V30" s="304">
        <v>4087.1615999999995</v>
      </c>
      <c r="W30" s="304">
        <v>-1282.6707999999999</v>
      </c>
      <c r="X30" s="304">
        <v>2093.766599999999</v>
      </c>
      <c r="Y30" s="304">
        <v>1052.3337000000001</v>
      </c>
      <c r="Z30" s="304">
        <v>165135.24859999999</v>
      </c>
      <c r="AA30" s="304">
        <v>308.9622</v>
      </c>
      <c r="AB30" s="304">
        <v>87866.129100000006</v>
      </c>
      <c r="AC30" s="304">
        <v>308.9622</v>
      </c>
      <c r="AD30" s="305">
        <v>12209.6446</v>
      </c>
      <c r="AE30" s="305">
        <v>0</v>
      </c>
      <c r="AF30" s="305">
        <v>75656.484500000006</v>
      </c>
      <c r="AG30" s="305">
        <v>0</v>
      </c>
      <c r="AH30" s="305">
        <v>0</v>
      </c>
      <c r="AI30" s="305">
        <v>308.9622</v>
      </c>
      <c r="AJ30" s="304">
        <v>-104361.2732</v>
      </c>
      <c r="AK30" s="304">
        <v>-62328.078399999999</v>
      </c>
      <c r="AL30" s="304">
        <v>-107862.52989999998</v>
      </c>
      <c r="AM30" s="306">
        <v>-62250.699099999998</v>
      </c>
      <c r="AN30" s="307" t="e">
        <f>AD30-#REF!</f>
        <v>#REF!</v>
      </c>
      <c r="AO30" s="305" t="e">
        <f>AE30-#REF!</f>
        <v>#REF!</v>
      </c>
      <c r="AP30" s="305" t="e">
        <f>AF30-#REF!</f>
        <v>#REF!</v>
      </c>
      <c r="AQ30" s="305" t="e">
        <f>AG30-#REF!</f>
        <v>#REF!</v>
      </c>
      <c r="AR30" s="305" t="e">
        <f>AH30-#REF!</f>
        <v>#REF!</v>
      </c>
      <c r="AS30" s="308" t="e">
        <f>AI30-#REF!</f>
        <v>#REF!</v>
      </c>
    </row>
    <row r="31" spans="1:45" x14ac:dyDescent="0.25">
      <c r="A31" s="303" t="s">
        <v>188</v>
      </c>
      <c r="B31" s="304">
        <v>15300.5059</v>
      </c>
      <c r="C31" s="304">
        <v>248.31780000000001</v>
      </c>
      <c r="D31" s="304">
        <v>3747.9239000000002</v>
      </c>
      <c r="E31" s="304">
        <v>8.7099999999999997E-2</v>
      </c>
      <c r="F31" s="305">
        <v>13.381600000000001</v>
      </c>
      <c r="G31" s="305">
        <v>0</v>
      </c>
      <c r="H31" s="305">
        <v>3734.5423000000001</v>
      </c>
      <c r="I31" s="305">
        <v>0</v>
      </c>
      <c r="J31" s="305">
        <v>0</v>
      </c>
      <c r="K31" s="305">
        <v>8.7099999999999997E-2</v>
      </c>
      <c r="L31" s="304">
        <v>15770.586300000001</v>
      </c>
      <c r="M31" s="304">
        <v>1641.8005000000001</v>
      </c>
      <c r="N31" s="304">
        <v>3424.1023999999998</v>
      </c>
      <c r="O31" s="304">
        <v>0</v>
      </c>
      <c r="P31" s="305">
        <v>49.424199999999999</v>
      </c>
      <c r="Q31" s="305">
        <v>0</v>
      </c>
      <c r="R31" s="305">
        <v>3374.6781999999998</v>
      </c>
      <c r="S31" s="305">
        <v>0</v>
      </c>
      <c r="T31" s="305">
        <v>0</v>
      </c>
      <c r="U31" s="305">
        <v>0</v>
      </c>
      <c r="V31" s="304">
        <v>470.08040000000074</v>
      </c>
      <c r="W31" s="304">
        <v>1393.4827</v>
      </c>
      <c r="X31" s="304">
        <v>-323.82150000000047</v>
      </c>
      <c r="Y31" s="304">
        <v>-8.7099999999999997E-2</v>
      </c>
      <c r="Z31" s="304">
        <v>22753.427599999999</v>
      </c>
      <c r="AA31" s="304">
        <v>0</v>
      </c>
      <c r="AB31" s="304">
        <v>2612.8815</v>
      </c>
      <c r="AC31" s="304">
        <v>0</v>
      </c>
      <c r="AD31" s="305">
        <v>137.47280000000001</v>
      </c>
      <c r="AE31" s="305">
        <v>0</v>
      </c>
      <c r="AF31" s="305">
        <v>2475.4087</v>
      </c>
      <c r="AG31" s="305">
        <v>0</v>
      </c>
      <c r="AH31" s="305">
        <v>0</v>
      </c>
      <c r="AI31" s="305">
        <v>0</v>
      </c>
      <c r="AJ31" s="304">
        <v>-3478.9069999999992</v>
      </c>
      <c r="AK31" s="304">
        <v>-20.376000000000001</v>
      </c>
      <c r="AL31" s="304">
        <v>-2045.3705000000004</v>
      </c>
      <c r="AM31" s="306">
        <v>-20.376000000000001</v>
      </c>
      <c r="AN31" s="307" t="e">
        <f>AD31-#REF!</f>
        <v>#REF!</v>
      </c>
      <c r="AO31" s="305" t="e">
        <f>AE31-#REF!</f>
        <v>#REF!</v>
      </c>
      <c r="AP31" s="305" t="e">
        <f>AF31-#REF!</f>
        <v>#REF!</v>
      </c>
      <c r="AQ31" s="305" t="e">
        <f>AG31-#REF!</f>
        <v>#REF!</v>
      </c>
      <c r="AR31" s="305" t="e">
        <f>AH31-#REF!</f>
        <v>#REF!</v>
      </c>
      <c r="AS31" s="308" t="e">
        <f>AI31-#REF!</f>
        <v>#REF!</v>
      </c>
    </row>
    <row r="32" spans="1:45" x14ac:dyDescent="0.25">
      <c r="A32" s="303" t="s">
        <v>189</v>
      </c>
      <c r="B32" s="304">
        <v>15344.284100000001</v>
      </c>
      <c r="C32" s="304">
        <v>0</v>
      </c>
      <c r="D32" s="304">
        <v>7306.0066000000006</v>
      </c>
      <c r="E32" s="304">
        <v>0</v>
      </c>
      <c r="F32" s="305">
        <v>87.545500000000004</v>
      </c>
      <c r="G32" s="305">
        <v>0</v>
      </c>
      <c r="H32" s="305">
        <v>7218.4611000000004</v>
      </c>
      <c r="I32" s="305">
        <v>0</v>
      </c>
      <c r="J32" s="305">
        <v>0</v>
      </c>
      <c r="K32" s="305">
        <v>0</v>
      </c>
      <c r="L32" s="304">
        <v>15769.9807</v>
      </c>
      <c r="M32" s="304">
        <v>0</v>
      </c>
      <c r="N32" s="304">
        <v>7590.9238999999998</v>
      </c>
      <c r="O32" s="304">
        <v>0</v>
      </c>
      <c r="P32" s="305">
        <v>110.352</v>
      </c>
      <c r="Q32" s="305">
        <v>0</v>
      </c>
      <c r="R32" s="305">
        <v>7480.5718999999999</v>
      </c>
      <c r="S32" s="305">
        <v>0</v>
      </c>
      <c r="T32" s="305">
        <v>0</v>
      </c>
      <c r="U32" s="305">
        <v>0</v>
      </c>
      <c r="V32" s="304">
        <v>425.69659999999931</v>
      </c>
      <c r="W32" s="304">
        <v>0</v>
      </c>
      <c r="X32" s="304">
        <v>284.91729999999916</v>
      </c>
      <c r="Y32" s="304">
        <v>0</v>
      </c>
      <c r="Z32" s="304">
        <v>64759.251100000001</v>
      </c>
      <c r="AA32" s="304">
        <v>3722.2269999999999</v>
      </c>
      <c r="AB32" s="304">
        <v>52863.938500000004</v>
      </c>
      <c r="AC32" s="304">
        <v>3204.1947</v>
      </c>
      <c r="AD32" s="305">
        <v>3152.8878</v>
      </c>
      <c r="AE32" s="305">
        <v>18998.450099999998</v>
      </c>
      <c r="AF32" s="305">
        <v>30712.600600000002</v>
      </c>
      <c r="AG32" s="305">
        <v>0</v>
      </c>
      <c r="AH32" s="305">
        <v>0</v>
      </c>
      <c r="AI32" s="305">
        <v>3204.1947</v>
      </c>
      <c r="AJ32" s="304">
        <v>22946.573400000001</v>
      </c>
      <c r="AK32" s="304">
        <v>323.71419999999989</v>
      </c>
      <c r="AL32" s="304">
        <v>19121.641500000005</v>
      </c>
      <c r="AM32" s="306">
        <v>111.29980000000023</v>
      </c>
      <c r="AN32" s="307" t="e">
        <f>AD32-#REF!</f>
        <v>#REF!</v>
      </c>
      <c r="AO32" s="305" t="e">
        <f>AE32-#REF!</f>
        <v>#REF!</v>
      </c>
      <c r="AP32" s="305" t="e">
        <f>AF32-#REF!</f>
        <v>#REF!</v>
      </c>
      <c r="AQ32" s="305" t="e">
        <f>AG32-#REF!</f>
        <v>#REF!</v>
      </c>
      <c r="AR32" s="305" t="e">
        <f>AH32-#REF!</f>
        <v>#REF!</v>
      </c>
      <c r="AS32" s="308" t="e">
        <f>AI32-#REF!</f>
        <v>#REF!</v>
      </c>
    </row>
    <row r="33" spans="1:45" x14ac:dyDescent="0.25">
      <c r="A33" s="303" t="s">
        <v>190</v>
      </c>
      <c r="B33" s="304">
        <v>5758.6409999999996</v>
      </c>
      <c r="C33" s="304">
        <v>4.0000000000000001E-3</v>
      </c>
      <c r="D33" s="304">
        <v>1712.9387000000002</v>
      </c>
      <c r="E33" s="304">
        <v>4.0000000000000001E-3</v>
      </c>
      <c r="F33" s="305">
        <v>88.841099999999997</v>
      </c>
      <c r="G33" s="305">
        <v>0</v>
      </c>
      <c r="H33" s="305">
        <v>1624.0976000000001</v>
      </c>
      <c r="I33" s="305">
        <v>0</v>
      </c>
      <c r="J33" s="305">
        <v>0</v>
      </c>
      <c r="K33" s="305">
        <v>4.0000000000000001E-3</v>
      </c>
      <c r="L33" s="304">
        <v>8519.9344999999994</v>
      </c>
      <c r="M33" s="304">
        <v>0</v>
      </c>
      <c r="N33" s="304">
        <v>2677.1113999999998</v>
      </c>
      <c r="O33" s="304">
        <v>0</v>
      </c>
      <c r="P33" s="305">
        <v>0</v>
      </c>
      <c r="Q33" s="305">
        <v>0</v>
      </c>
      <c r="R33" s="305">
        <v>2677.1113999999998</v>
      </c>
      <c r="S33" s="305">
        <v>0</v>
      </c>
      <c r="T33" s="305">
        <v>0</v>
      </c>
      <c r="U33" s="305">
        <v>0</v>
      </c>
      <c r="V33" s="304">
        <v>2761.2934999999998</v>
      </c>
      <c r="W33" s="304">
        <v>-4.0000000000000001E-3</v>
      </c>
      <c r="X33" s="304">
        <v>964.17269999999962</v>
      </c>
      <c r="Y33" s="304">
        <v>-4.0000000000000001E-3</v>
      </c>
      <c r="Z33" s="304">
        <v>7077.73</v>
      </c>
      <c r="AA33" s="304">
        <v>0</v>
      </c>
      <c r="AB33" s="304">
        <v>2360.6842999999999</v>
      </c>
      <c r="AC33" s="304">
        <v>0</v>
      </c>
      <c r="AD33" s="305">
        <v>116.7732</v>
      </c>
      <c r="AE33" s="305">
        <v>0</v>
      </c>
      <c r="AF33" s="305">
        <v>2243.9110999999998</v>
      </c>
      <c r="AG33" s="305">
        <v>0</v>
      </c>
      <c r="AH33" s="305">
        <v>0</v>
      </c>
      <c r="AI33" s="305">
        <v>0</v>
      </c>
      <c r="AJ33" s="304">
        <v>-3367.0346000000009</v>
      </c>
      <c r="AK33" s="304">
        <v>0</v>
      </c>
      <c r="AL33" s="304">
        <v>-3318.6965999999993</v>
      </c>
      <c r="AM33" s="306">
        <v>0</v>
      </c>
      <c r="AN33" s="307" t="e">
        <f>AD33-#REF!</f>
        <v>#REF!</v>
      </c>
      <c r="AO33" s="305" t="e">
        <f>AE33-#REF!</f>
        <v>#REF!</v>
      </c>
      <c r="AP33" s="305" t="e">
        <f>AF33-#REF!</f>
        <v>#REF!</v>
      </c>
      <c r="AQ33" s="305" t="e">
        <f>AG33-#REF!</f>
        <v>#REF!</v>
      </c>
      <c r="AR33" s="305" t="e">
        <f>AH33-#REF!</f>
        <v>#REF!</v>
      </c>
      <c r="AS33" s="308" t="e">
        <f>AI33-#REF!</f>
        <v>#REF!</v>
      </c>
    </row>
    <row r="34" spans="1:45" x14ac:dyDescent="0.25">
      <c r="A34" s="303" t="s">
        <v>191</v>
      </c>
      <c r="B34" s="304">
        <v>5673.2847000000002</v>
      </c>
      <c r="C34" s="304">
        <v>581.10140000000001</v>
      </c>
      <c r="D34" s="304">
        <v>2056.3245000000002</v>
      </c>
      <c r="E34" s="304">
        <v>23.122399999999999</v>
      </c>
      <c r="F34" s="305">
        <v>215.73740000000001</v>
      </c>
      <c r="G34" s="305">
        <v>0</v>
      </c>
      <c r="H34" s="305">
        <v>1840.5871</v>
      </c>
      <c r="I34" s="305">
        <v>0</v>
      </c>
      <c r="J34" s="305">
        <v>0</v>
      </c>
      <c r="K34" s="305">
        <v>23.122399999999999</v>
      </c>
      <c r="L34" s="304">
        <v>6920.2569000000003</v>
      </c>
      <c r="M34" s="304">
        <v>164.65629999999999</v>
      </c>
      <c r="N34" s="304">
        <v>1198.1782000000001</v>
      </c>
      <c r="O34" s="304">
        <v>0</v>
      </c>
      <c r="P34" s="305">
        <v>28.4465</v>
      </c>
      <c r="Q34" s="305">
        <v>0</v>
      </c>
      <c r="R34" s="305">
        <v>1169.7317</v>
      </c>
      <c r="S34" s="305">
        <v>0</v>
      </c>
      <c r="T34" s="305">
        <v>0</v>
      </c>
      <c r="U34" s="305">
        <v>0</v>
      </c>
      <c r="V34" s="304">
        <v>1246.9722000000002</v>
      </c>
      <c r="W34" s="304">
        <v>-416.44510000000002</v>
      </c>
      <c r="X34" s="304">
        <v>-858.14630000000011</v>
      </c>
      <c r="Y34" s="304">
        <v>-23.122399999999999</v>
      </c>
      <c r="Z34" s="304">
        <v>14093.641900000001</v>
      </c>
      <c r="AA34" s="304">
        <v>4273.5429999999997</v>
      </c>
      <c r="AB34" s="304">
        <v>9053.6918000000005</v>
      </c>
      <c r="AC34" s="304">
        <v>3732.1259999999997</v>
      </c>
      <c r="AD34" s="305">
        <v>3865.7145</v>
      </c>
      <c r="AE34" s="305">
        <v>0</v>
      </c>
      <c r="AF34" s="305">
        <v>5187.9772999999996</v>
      </c>
      <c r="AG34" s="305">
        <v>3501.3816999999999</v>
      </c>
      <c r="AH34" s="305">
        <v>0</v>
      </c>
      <c r="AI34" s="305">
        <v>230.74430000000001</v>
      </c>
      <c r="AJ34" s="304">
        <v>-2834.3203000000012</v>
      </c>
      <c r="AK34" s="304">
        <v>-1747.8046000000004</v>
      </c>
      <c r="AL34" s="304">
        <v>-2694.2155999999995</v>
      </c>
      <c r="AM34" s="306">
        <v>-1138.9133000000006</v>
      </c>
      <c r="AN34" s="307" t="e">
        <f>AD34-#REF!</f>
        <v>#REF!</v>
      </c>
      <c r="AO34" s="305" t="e">
        <f>AE34-#REF!</f>
        <v>#REF!</v>
      </c>
      <c r="AP34" s="305" t="e">
        <f>AF34-#REF!</f>
        <v>#REF!</v>
      </c>
      <c r="AQ34" s="305" t="e">
        <f>AG34-#REF!</f>
        <v>#REF!</v>
      </c>
      <c r="AR34" s="305" t="e">
        <f>AH34-#REF!</f>
        <v>#REF!</v>
      </c>
      <c r="AS34" s="308" t="e">
        <f>AI34-#REF!</f>
        <v>#REF!</v>
      </c>
    </row>
    <row r="35" spans="1:45" x14ac:dyDescent="0.25">
      <c r="A35" s="303" t="s">
        <v>192</v>
      </c>
      <c r="B35" s="304">
        <v>659.41499999999996</v>
      </c>
      <c r="C35" s="304">
        <v>286.86020000000002</v>
      </c>
      <c r="D35" s="304">
        <v>396.47070000000002</v>
      </c>
      <c r="E35" s="304">
        <v>239.49100000000001</v>
      </c>
      <c r="F35" s="305">
        <v>0</v>
      </c>
      <c r="G35" s="305">
        <v>0</v>
      </c>
      <c r="H35" s="305">
        <v>396.47070000000002</v>
      </c>
      <c r="I35" s="305">
        <v>0</v>
      </c>
      <c r="J35" s="305">
        <v>0</v>
      </c>
      <c r="K35" s="305">
        <v>239.49100000000001</v>
      </c>
      <c r="L35" s="304">
        <v>553.57159999999999</v>
      </c>
      <c r="M35" s="304">
        <v>80.891300000000001</v>
      </c>
      <c r="N35" s="304">
        <v>351.32369999999997</v>
      </c>
      <c r="O35" s="304">
        <v>33.522100000000002</v>
      </c>
      <c r="P35" s="305">
        <v>28.678899999999999</v>
      </c>
      <c r="Q35" s="305">
        <v>0</v>
      </c>
      <c r="R35" s="305">
        <v>322.64479999999998</v>
      </c>
      <c r="S35" s="305">
        <v>0</v>
      </c>
      <c r="T35" s="305">
        <v>0</v>
      </c>
      <c r="U35" s="305">
        <v>33.522100000000002</v>
      </c>
      <c r="V35" s="304">
        <v>-105.84339999999997</v>
      </c>
      <c r="W35" s="304">
        <v>-205.96890000000002</v>
      </c>
      <c r="X35" s="304">
        <v>-45.147000000000048</v>
      </c>
      <c r="Y35" s="304">
        <v>-205.96890000000002</v>
      </c>
      <c r="Z35" s="304">
        <v>430.32760000000002</v>
      </c>
      <c r="AA35" s="304">
        <v>0</v>
      </c>
      <c r="AB35" s="304">
        <v>0</v>
      </c>
      <c r="AC35" s="304">
        <v>0</v>
      </c>
      <c r="AD35" s="305">
        <v>0</v>
      </c>
      <c r="AE35" s="305">
        <v>0</v>
      </c>
      <c r="AF35" s="305">
        <v>0</v>
      </c>
      <c r="AG35" s="305">
        <v>0</v>
      </c>
      <c r="AH35" s="305">
        <v>0</v>
      </c>
      <c r="AI35" s="305">
        <v>0</v>
      </c>
      <c r="AJ35" s="304">
        <v>67.241199999999992</v>
      </c>
      <c r="AK35" s="304">
        <v>0</v>
      </c>
      <c r="AL35" s="304">
        <v>0</v>
      </c>
      <c r="AM35" s="306">
        <v>0</v>
      </c>
      <c r="AN35" s="307" t="e">
        <f>AD35-#REF!</f>
        <v>#REF!</v>
      </c>
      <c r="AO35" s="305" t="e">
        <f>AE35-#REF!</f>
        <v>#REF!</v>
      </c>
      <c r="AP35" s="305" t="e">
        <f>AF35-#REF!</f>
        <v>#REF!</v>
      </c>
      <c r="AQ35" s="305" t="e">
        <f>AG35-#REF!</f>
        <v>#REF!</v>
      </c>
      <c r="AR35" s="305" t="e">
        <f>AH35-#REF!</f>
        <v>#REF!</v>
      </c>
      <c r="AS35" s="308" t="e">
        <f>AI35-#REF!</f>
        <v>#REF!</v>
      </c>
    </row>
    <row r="36" spans="1:45" x14ac:dyDescent="0.25">
      <c r="A36" s="303" t="s">
        <v>193</v>
      </c>
      <c r="B36" s="304">
        <v>1677.1960999999999</v>
      </c>
      <c r="C36" s="304">
        <v>105.92489999999999</v>
      </c>
      <c r="D36" s="304">
        <v>991.03470000000004</v>
      </c>
      <c r="E36" s="304">
        <v>105.92489999999999</v>
      </c>
      <c r="F36" s="305">
        <v>0</v>
      </c>
      <c r="G36" s="305">
        <v>0</v>
      </c>
      <c r="H36" s="305">
        <v>991.03470000000004</v>
      </c>
      <c r="I36" s="305">
        <v>0</v>
      </c>
      <c r="J36" s="305">
        <v>0</v>
      </c>
      <c r="K36" s="305">
        <v>105.92489999999999</v>
      </c>
      <c r="L36" s="304">
        <v>2386.2844</v>
      </c>
      <c r="M36" s="304">
        <v>105.9248</v>
      </c>
      <c r="N36" s="304">
        <v>1351.8044</v>
      </c>
      <c r="O36" s="304">
        <v>105.9248</v>
      </c>
      <c r="P36" s="305">
        <v>0</v>
      </c>
      <c r="Q36" s="305">
        <v>0</v>
      </c>
      <c r="R36" s="305">
        <v>1351.8044</v>
      </c>
      <c r="S36" s="305">
        <v>0</v>
      </c>
      <c r="T36" s="305">
        <v>0</v>
      </c>
      <c r="U36" s="305">
        <v>105.9248</v>
      </c>
      <c r="V36" s="304">
        <v>709.08830000000012</v>
      </c>
      <c r="W36" s="304">
        <v>-9.9999999989108801E-5</v>
      </c>
      <c r="X36" s="304">
        <v>360.76969999999994</v>
      </c>
      <c r="Y36" s="304">
        <v>-9.9999999989108801E-5</v>
      </c>
      <c r="Z36" s="304">
        <v>593.32010000000002</v>
      </c>
      <c r="AA36" s="304">
        <v>0</v>
      </c>
      <c r="AB36" s="304">
        <v>23.866700000000002</v>
      </c>
      <c r="AC36" s="304">
        <v>0</v>
      </c>
      <c r="AD36" s="305">
        <v>0</v>
      </c>
      <c r="AE36" s="305">
        <v>0</v>
      </c>
      <c r="AF36" s="305">
        <v>23.866700000000002</v>
      </c>
      <c r="AG36" s="305">
        <v>0</v>
      </c>
      <c r="AH36" s="305">
        <v>0</v>
      </c>
      <c r="AI36" s="305">
        <v>0</v>
      </c>
      <c r="AJ36" s="304">
        <v>404.81280000000004</v>
      </c>
      <c r="AK36" s="304">
        <v>0</v>
      </c>
      <c r="AL36" s="304">
        <v>-10.505199999999995</v>
      </c>
      <c r="AM36" s="306">
        <v>0</v>
      </c>
      <c r="AN36" s="307" t="e">
        <f>AD36-#REF!</f>
        <v>#REF!</v>
      </c>
      <c r="AO36" s="305" t="e">
        <f>AE36-#REF!</f>
        <v>#REF!</v>
      </c>
      <c r="AP36" s="305" t="e">
        <f>AF36-#REF!</f>
        <v>#REF!</v>
      </c>
      <c r="AQ36" s="305" t="e">
        <f>AG36-#REF!</f>
        <v>#REF!</v>
      </c>
      <c r="AR36" s="305" t="e">
        <f>AH36-#REF!</f>
        <v>#REF!</v>
      </c>
      <c r="AS36" s="308" t="e">
        <f>AI36-#REF!</f>
        <v>#REF!</v>
      </c>
    </row>
    <row r="37" spans="1:45" x14ac:dyDescent="0.25">
      <c r="A37" s="316" t="s">
        <v>194</v>
      </c>
      <c r="B37" s="317">
        <v>202995.36679999999</v>
      </c>
      <c r="C37" s="317">
        <v>7858.8854999999994</v>
      </c>
      <c r="D37" s="317">
        <v>105572.6795</v>
      </c>
      <c r="E37" s="317">
        <v>4438.7684000000008</v>
      </c>
      <c r="F37" s="309">
        <v>16372.6885</v>
      </c>
      <c r="G37" s="309">
        <v>0</v>
      </c>
      <c r="H37" s="309">
        <v>89199.991000000009</v>
      </c>
      <c r="I37" s="309">
        <v>2500.4553999999998</v>
      </c>
      <c r="J37" s="309">
        <v>0</v>
      </c>
      <c r="K37" s="309">
        <v>1938.3130000000001</v>
      </c>
      <c r="L37" s="317">
        <v>197955.98069999999</v>
      </c>
      <c r="M37" s="317">
        <v>6654.6764000000003</v>
      </c>
      <c r="N37" s="317">
        <v>88938.159799999979</v>
      </c>
      <c r="O37" s="317">
        <v>4581.6009999999997</v>
      </c>
      <c r="P37" s="309">
        <v>6909.2423000000008</v>
      </c>
      <c r="Q37" s="309">
        <v>0</v>
      </c>
      <c r="R37" s="309">
        <v>82028.917499999981</v>
      </c>
      <c r="S37" s="309">
        <v>2681.7240999999999</v>
      </c>
      <c r="T37" s="309">
        <v>0</v>
      </c>
      <c r="U37" s="309">
        <v>1899.8768999999998</v>
      </c>
      <c r="V37" s="317">
        <v>-5039.386099999997</v>
      </c>
      <c r="W37" s="317">
        <v>-1204.2090999999998</v>
      </c>
      <c r="X37" s="317">
        <v>-16634.519700000008</v>
      </c>
      <c r="Y37" s="317">
        <v>142.83260000000001</v>
      </c>
      <c r="Z37" s="317">
        <v>767512.2762000002</v>
      </c>
      <c r="AA37" s="317">
        <v>201947.54620000004</v>
      </c>
      <c r="AB37" s="317">
        <v>569996.14030000009</v>
      </c>
      <c r="AC37" s="317">
        <v>179389.09150000001</v>
      </c>
      <c r="AD37" s="317">
        <v>36146.863799999999</v>
      </c>
      <c r="AE37" s="317">
        <v>18998.450099999998</v>
      </c>
      <c r="AF37" s="317">
        <v>514850.82640000002</v>
      </c>
      <c r="AG37" s="317">
        <v>7041.7428</v>
      </c>
      <c r="AH37" s="317">
        <v>0</v>
      </c>
      <c r="AI37" s="317">
        <v>172347.3487</v>
      </c>
      <c r="AJ37" s="317">
        <v>4265.7624999999971</v>
      </c>
      <c r="AK37" s="317">
        <v>-17418.136799999997</v>
      </c>
      <c r="AL37" s="317">
        <v>-9008.6882999999907</v>
      </c>
      <c r="AM37" s="318">
        <v>-16312.046099999996</v>
      </c>
      <c r="AN37" s="319" t="e">
        <f t="shared" ref="AN37:AS37" si="0">SUM(AN11:AN36)</f>
        <v>#REF!</v>
      </c>
      <c r="AO37" s="319" t="e">
        <f t="shared" si="0"/>
        <v>#REF!</v>
      </c>
      <c r="AP37" s="319" t="e">
        <f t="shared" si="0"/>
        <v>#REF!</v>
      </c>
      <c r="AQ37" s="319" t="e">
        <f t="shared" si="0"/>
        <v>#REF!</v>
      </c>
      <c r="AR37" s="319" t="e">
        <f t="shared" si="0"/>
        <v>#REF!</v>
      </c>
      <c r="AS37" s="319" t="e">
        <f t="shared" si="0"/>
        <v>#REF!</v>
      </c>
    </row>
    <row r="38" spans="1:45" ht="27.6" x14ac:dyDescent="0.25">
      <c r="A38" s="303" t="s">
        <v>364</v>
      </c>
      <c r="B38" s="304">
        <v>851819.31600000011</v>
      </c>
      <c r="C38" s="304">
        <v>12358.5491</v>
      </c>
      <c r="D38" s="304">
        <v>179569.10469999997</v>
      </c>
      <c r="E38" s="304">
        <v>3800.3816000000002</v>
      </c>
      <c r="F38" s="304">
        <v>11337.984</v>
      </c>
      <c r="G38" s="304">
        <v>47.1479</v>
      </c>
      <c r="H38" s="304">
        <v>168183.97279999996</v>
      </c>
      <c r="I38" s="304">
        <v>0</v>
      </c>
      <c r="J38" s="304">
        <v>0</v>
      </c>
      <c r="K38" s="304">
        <v>3800.3816000000002</v>
      </c>
      <c r="L38" s="304">
        <v>8933382.5418000016</v>
      </c>
      <c r="M38" s="304">
        <v>15475.7201</v>
      </c>
      <c r="N38" s="304">
        <v>8339583.5933000008</v>
      </c>
      <c r="O38" s="304">
        <v>1228.1073000000001</v>
      </c>
      <c r="P38" s="304">
        <v>461555.06340000004</v>
      </c>
      <c r="Q38" s="304">
        <v>0</v>
      </c>
      <c r="R38" s="304">
        <v>7878028.5299000004</v>
      </c>
      <c r="S38" s="304">
        <v>174.23500000000001</v>
      </c>
      <c r="T38" s="304">
        <v>0</v>
      </c>
      <c r="U38" s="304">
        <v>1053.8723</v>
      </c>
      <c r="V38" s="304">
        <v>8081563.2258000011</v>
      </c>
      <c r="W38" s="304">
        <v>3117.1709999999998</v>
      </c>
      <c r="X38" s="304">
        <v>8160014.4885999998</v>
      </c>
      <c r="Y38" s="304">
        <v>-2572.2743</v>
      </c>
      <c r="Z38" s="304">
        <v>2142403.8277999996</v>
      </c>
      <c r="AA38" s="304">
        <v>385127.66570000001</v>
      </c>
      <c r="AB38" s="304">
        <v>307418.94500000001</v>
      </c>
      <c r="AC38" s="304">
        <v>804.87760000000003</v>
      </c>
      <c r="AD38" s="304">
        <v>172881.85689999998</v>
      </c>
      <c r="AE38" s="304">
        <v>2506.4391999999998</v>
      </c>
      <c r="AF38" s="304">
        <v>132030.6489</v>
      </c>
      <c r="AG38" s="304">
        <v>229.2517</v>
      </c>
      <c r="AH38" s="304">
        <v>0</v>
      </c>
      <c r="AI38" s="304">
        <v>575.6259</v>
      </c>
      <c r="AJ38" s="304">
        <v>462200.97150000004</v>
      </c>
      <c r="AK38" s="304">
        <v>145866.26910000003</v>
      </c>
      <c r="AL38" s="304">
        <v>-138075.30850000001</v>
      </c>
      <c r="AM38" s="306">
        <v>804.87760000000003</v>
      </c>
      <c r="AN38" s="320">
        <f>[1]Деб.кред._обл!BD27</f>
        <v>-103769.24789999999</v>
      </c>
      <c r="AO38" s="305">
        <f>[1]Деб.кред._обл!BE27</f>
        <v>2506.4391999999998</v>
      </c>
      <c r="AP38" s="305">
        <f>[1]Деб.кред._обл!BF27</f>
        <v>-36812.499799999991</v>
      </c>
      <c r="AQ38" s="305">
        <f>[1]Деб.кред._обл!BG27</f>
        <v>229.2517</v>
      </c>
      <c r="AR38" s="305">
        <f>[1]Деб.кред._обл!BH27</f>
        <v>0</v>
      </c>
      <c r="AS38" s="305">
        <f>[1]Деб.кред._обл!BI27</f>
        <v>575.6259</v>
      </c>
    </row>
    <row r="39" spans="1:45" ht="14.4" thickBot="1" x14ac:dyDescent="0.3">
      <c r="A39" s="279" t="s">
        <v>365</v>
      </c>
      <c r="B39" s="274">
        <v>1054814.6828000001</v>
      </c>
      <c r="C39" s="274">
        <v>20217.434600000001</v>
      </c>
      <c r="D39" s="274">
        <v>285141.78419999999</v>
      </c>
      <c r="E39" s="274">
        <v>8239.1500000000015</v>
      </c>
      <c r="F39" s="312">
        <v>27710.672500000001</v>
      </c>
      <c r="G39" s="312">
        <v>47.1479</v>
      </c>
      <c r="H39" s="312">
        <v>257383.96379999997</v>
      </c>
      <c r="I39" s="312">
        <v>2500.4553999999998</v>
      </c>
      <c r="J39" s="312">
        <v>0</v>
      </c>
      <c r="K39" s="312">
        <v>5738.6946000000007</v>
      </c>
      <c r="L39" s="274">
        <v>9131338.5225000009</v>
      </c>
      <c r="M39" s="274">
        <v>22130.396500000003</v>
      </c>
      <c r="N39" s="274">
        <v>8428521.7531000003</v>
      </c>
      <c r="O39" s="274">
        <v>5809.7083000000002</v>
      </c>
      <c r="P39" s="312">
        <v>468464.30570000003</v>
      </c>
      <c r="Q39" s="312">
        <v>0</v>
      </c>
      <c r="R39" s="312">
        <v>7960057.4473999999</v>
      </c>
      <c r="S39" s="312">
        <v>2855.9591</v>
      </c>
      <c r="T39" s="312">
        <v>0</v>
      </c>
      <c r="U39" s="312">
        <v>2953.7491999999997</v>
      </c>
      <c r="V39" s="274">
        <v>8076523.8397000013</v>
      </c>
      <c r="W39" s="274">
        <v>1912.9619</v>
      </c>
      <c r="X39" s="274">
        <v>8143379.9688999997</v>
      </c>
      <c r="Y39" s="274">
        <v>-2429.4416999999999</v>
      </c>
      <c r="Z39" s="274">
        <v>2909916.1039999998</v>
      </c>
      <c r="AA39" s="274">
        <v>587075.21189999999</v>
      </c>
      <c r="AB39" s="274">
        <v>877415.08530000015</v>
      </c>
      <c r="AC39" s="274">
        <v>180193.96910000002</v>
      </c>
      <c r="AD39" s="274">
        <v>209028.72069999998</v>
      </c>
      <c r="AE39" s="274">
        <v>21504.889299999999</v>
      </c>
      <c r="AF39" s="274">
        <v>646881.47530000005</v>
      </c>
      <c r="AG39" s="274">
        <v>7270.9944999999998</v>
      </c>
      <c r="AH39" s="274">
        <v>0</v>
      </c>
      <c r="AI39" s="274">
        <v>172922.97460000002</v>
      </c>
      <c r="AJ39" s="274">
        <v>466466.73400000005</v>
      </c>
      <c r="AK39" s="274">
        <v>128448.13230000004</v>
      </c>
      <c r="AL39" s="274">
        <v>-147083.99679999999</v>
      </c>
      <c r="AM39" s="275">
        <v>-15507.168499999996</v>
      </c>
      <c r="AN39" s="319" t="e">
        <f t="shared" ref="AN39:AS39" si="1">AN37+AN38</f>
        <v>#REF!</v>
      </c>
      <c r="AO39" s="319" t="e">
        <f t="shared" si="1"/>
        <v>#REF!</v>
      </c>
      <c r="AP39" s="319" t="e">
        <f t="shared" si="1"/>
        <v>#REF!</v>
      </c>
      <c r="AQ39" s="319" t="e">
        <f t="shared" si="1"/>
        <v>#REF!</v>
      </c>
      <c r="AR39" s="319" t="e">
        <f t="shared" si="1"/>
        <v>#REF!</v>
      </c>
      <c r="AS39" s="319" t="e">
        <f t="shared" si="1"/>
        <v>#REF!</v>
      </c>
    </row>
    <row r="40" spans="1:45" ht="14.4" thickTop="1" x14ac:dyDescent="0.25"/>
  </sheetData>
  <mergeCells count="44">
    <mergeCell ref="D8:D9"/>
    <mergeCell ref="F8:H8"/>
    <mergeCell ref="I8:K8"/>
    <mergeCell ref="N8:N9"/>
    <mergeCell ref="P8:R8"/>
    <mergeCell ref="M7:M9"/>
    <mergeCell ref="N7:O7"/>
    <mergeCell ref="L7:L9"/>
    <mergeCell ref="P7:R7"/>
    <mergeCell ref="AN7:AP7"/>
    <mergeCell ref="AQ7:AS7"/>
    <mergeCell ref="AG8:AI8"/>
    <mergeCell ref="AL8:AL9"/>
    <mergeCell ref="AN8:AP8"/>
    <mergeCell ref="AQ8:AS8"/>
    <mergeCell ref="AK7:AK9"/>
    <mergeCell ref="AL7:AM7"/>
    <mergeCell ref="AD8:AF8"/>
    <mergeCell ref="AA7:AA9"/>
    <mergeCell ref="AB7:AC7"/>
    <mergeCell ref="AG7:AI7"/>
    <mergeCell ref="AJ7:AJ9"/>
    <mergeCell ref="A3:AM3"/>
    <mergeCell ref="A5:A9"/>
    <mergeCell ref="B5:Y5"/>
    <mergeCell ref="Z5:AM5"/>
    <mergeCell ref="B6:K6"/>
    <mergeCell ref="L6:U6"/>
    <mergeCell ref="V6:Y6"/>
    <mergeCell ref="Z6:AI6"/>
    <mergeCell ref="AJ6:AM6"/>
    <mergeCell ref="B7:B9"/>
    <mergeCell ref="C7:E7"/>
    <mergeCell ref="F7:H7"/>
    <mergeCell ref="I7:K7"/>
    <mergeCell ref="Z7:Z9"/>
    <mergeCell ref="AD7:AF7"/>
    <mergeCell ref="AB8:AB9"/>
    <mergeCell ref="X8:X9"/>
    <mergeCell ref="W7:W9"/>
    <mergeCell ref="X7:Y7"/>
    <mergeCell ref="S7:U7"/>
    <mergeCell ref="V7:V9"/>
    <mergeCell ref="S8:U8"/>
  </mergeCells>
  <conditionalFormatting sqref="B11:XFD1048576">
    <cfRule type="cellIs" dxfId="0" priority="1" operator="equal">
      <formula>0</formula>
    </cfRule>
  </conditionalFormatting>
  <pageMargins left="0.39370078740157483" right="0.39370078740157483" top="0.98425196850393704" bottom="0.59055118110236227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11</vt:i4>
      </vt:variant>
    </vt:vector>
  </HeadingPairs>
  <TitlesOfParts>
    <vt:vector size="21" baseType="lpstr">
      <vt:lpstr>Приложение № 1 конс.</vt:lpstr>
      <vt:lpstr>Приложение № 1.1 Конс. 15-16</vt:lpstr>
      <vt:lpstr>Приложение № 2 бюджеты МО</vt:lpstr>
      <vt:lpstr>Приложение № 3 доходы МО</vt:lpstr>
      <vt:lpstr>Приложение № 4 МБТ</vt:lpstr>
      <vt:lpstr>Приложение № 5 программы</vt:lpstr>
      <vt:lpstr>Приложение № 6 ФХД МО</vt:lpstr>
      <vt:lpstr>Приложение № 7 ФХД ОБ</vt:lpstr>
      <vt:lpstr>Приложение № 8 задолж.МО</vt:lpstr>
      <vt:lpstr>Прилоежние № 9 задолж.ОБ</vt:lpstr>
      <vt:lpstr>'Прилоежние № 9 задолж.ОБ'!Заголовки_для_печати</vt:lpstr>
      <vt:lpstr>'Приложение № 1.1 Конс. 15-16'!Заголовки_для_печати</vt:lpstr>
      <vt:lpstr>'Приложение № 5 программы'!Заголовки_для_печати</vt:lpstr>
      <vt:lpstr>'Прилоежние № 9 задолж.ОБ'!Область_печати</vt:lpstr>
      <vt:lpstr>'Приложение № 1 конс.'!Область_печати</vt:lpstr>
      <vt:lpstr>'Приложение № 2 бюджеты МО'!Область_печати</vt:lpstr>
      <vt:lpstr>'Приложение № 3 доходы МО'!Область_печати</vt:lpstr>
      <vt:lpstr>'Приложение № 4 МБТ'!Область_печати</vt:lpstr>
      <vt:lpstr>'Приложение № 5 программы'!Область_печати</vt:lpstr>
      <vt:lpstr>'Приложение № 6 ФХД МО'!Область_печати</vt:lpstr>
      <vt:lpstr>'Приложение № 7 ФХД ОБ'!Область_печати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Калинин</dc:creator>
  <cp:lastModifiedBy>Калинин Сергей Фёдорович</cp:lastModifiedBy>
  <cp:lastPrinted>2017-05-22T07:11:51Z</cp:lastPrinted>
  <dcterms:created xsi:type="dcterms:W3CDTF">2016-05-07T11:22:55Z</dcterms:created>
  <dcterms:modified xsi:type="dcterms:W3CDTF">2017-05-22T14:57:48Z</dcterms:modified>
</cp:coreProperties>
</file>