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18 год\Бюджет 2018\Проект бюджета\Заключение\"/>
    </mc:Choice>
  </mc:AlternateContent>
  <bookViews>
    <workbookView xWindow="120" yWindow="96" windowWidth="19416" windowHeight="11016" tabRatio="669"/>
  </bookViews>
  <sheets>
    <sheet name="Приложение 3.1 " sheetId="1" r:id="rId1"/>
    <sheet name="Приложение 6.1" sheetId="5" r:id="rId2"/>
    <sheet name="Прилоежние 6.2" sheetId="4" r:id="rId3"/>
    <sheet name="Приложение 6.3" sheetId="6" r:id="rId4"/>
    <sheet name="Приложение 6.4" sheetId="7" r:id="rId5"/>
  </sheets>
  <definedNames>
    <definedName name="_xlnm.Print_Titles" localSheetId="2">'Прилоежние 6.2'!$5:$7</definedName>
    <definedName name="_xlnm.Print_Titles" localSheetId="0">'Приложение 3.1 '!$4:$5</definedName>
    <definedName name="_xlnm.Print_Titles" localSheetId="3">'Приложение 6.3'!$5:$6</definedName>
    <definedName name="_xlnm.Print_Area" localSheetId="2">'Прилоежние 6.2'!$A$1:$AA$39</definedName>
    <definedName name="_xlnm.Print_Area" localSheetId="0">'Приложение 3.1 '!$A$1:$S$40</definedName>
    <definedName name="_xlnm.Print_Area" localSheetId="3">'Приложение 6.3'!$A$1:$S$125</definedName>
  </definedNames>
  <calcPr calcId="152511" calcMode="manual"/>
</workbook>
</file>

<file path=xl/calcChain.xml><?xml version="1.0" encoding="utf-8"?>
<calcChain xmlns="http://schemas.openxmlformats.org/spreadsheetml/2006/main">
  <c r="J9" i="6" l="1"/>
  <c r="K8" i="6"/>
  <c r="R118" i="6"/>
  <c r="L118" i="6"/>
  <c r="U116" i="6"/>
  <c r="S116" i="6" s="1"/>
  <c r="T116" i="6"/>
  <c r="R116" i="6"/>
  <c r="O116" i="6"/>
  <c r="M116" i="6" s="1"/>
  <c r="N116" i="6"/>
  <c r="L116" i="6"/>
  <c r="I116" i="6"/>
  <c r="G116" i="6" s="1"/>
  <c r="K116" i="6" s="1"/>
  <c r="H116" i="6"/>
  <c r="F116" i="6"/>
  <c r="J116" i="6" s="1"/>
  <c r="W115" i="6"/>
  <c r="U115" i="6"/>
  <c r="T115" i="6"/>
  <c r="S115" i="6" s="1"/>
  <c r="R115" i="6"/>
  <c r="V115" i="6" s="1"/>
  <c r="O115" i="6"/>
  <c r="N115" i="6"/>
  <c r="M115" i="6"/>
  <c r="Q115" i="6" s="1"/>
  <c r="L115" i="6"/>
  <c r="I115" i="6"/>
  <c r="H115" i="6"/>
  <c r="G115" i="6"/>
  <c r="K115" i="6" s="1"/>
  <c r="F115" i="6"/>
  <c r="T114" i="6"/>
  <c r="S114" i="6" s="1"/>
  <c r="W114" i="6" s="1"/>
  <c r="R114" i="6"/>
  <c r="N114" i="6"/>
  <c r="L114" i="6"/>
  <c r="H114" i="6"/>
  <c r="G114" i="6" s="1"/>
  <c r="F114" i="6"/>
  <c r="T113" i="6"/>
  <c r="S113" i="6" s="1"/>
  <c r="V113" i="6" s="1"/>
  <c r="R113" i="6"/>
  <c r="W113" i="6" s="1"/>
  <c r="N113" i="6"/>
  <c r="L113" i="6"/>
  <c r="K113" i="6"/>
  <c r="I113" i="6"/>
  <c r="H113" i="6"/>
  <c r="G113" i="6"/>
  <c r="F113" i="6"/>
  <c r="J113" i="6" s="1"/>
  <c r="T112" i="6"/>
  <c r="S112" i="6"/>
  <c r="V112" i="6" s="1"/>
  <c r="R112" i="6"/>
  <c r="W112" i="6" s="1"/>
  <c r="N112" i="6"/>
  <c r="N110" i="6" s="1"/>
  <c r="L112" i="6"/>
  <c r="J112" i="6"/>
  <c r="H112" i="6"/>
  <c r="G112" i="6"/>
  <c r="F112" i="6"/>
  <c r="K112" i="6" s="1"/>
  <c r="W111" i="6"/>
  <c r="T111" i="6"/>
  <c r="S111" i="6"/>
  <c r="S110" i="6" s="1"/>
  <c r="Y110" i="6" s="1"/>
  <c r="R111" i="6"/>
  <c r="N111" i="6"/>
  <c r="L111" i="6"/>
  <c r="K111" i="6"/>
  <c r="I111" i="6"/>
  <c r="H111" i="6"/>
  <c r="G111" i="6"/>
  <c r="F111" i="6"/>
  <c r="J111" i="6" s="1"/>
  <c r="U110" i="6"/>
  <c r="R110" i="6"/>
  <c r="O110" i="6"/>
  <c r="I110" i="6"/>
  <c r="E110" i="6"/>
  <c r="D110" i="6"/>
  <c r="C110" i="6"/>
  <c r="V109" i="6"/>
  <c r="T109" i="6"/>
  <c r="S109" i="6"/>
  <c r="R109" i="6"/>
  <c r="W109" i="6" s="1"/>
  <c r="N109" i="6"/>
  <c r="M109" i="6" s="1"/>
  <c r="L109" i="6"/>
  <c r="H109" i="6"/>
  <c r="G109" i="6" s="1"/>
  <c r="J109" i="6" s="1"/>
  <c r="F109" i="6"/>
  <c r="K109" i="6" s="1"/>
  <c r="W108" i="6"/>
  <c r="U108" i="6"/>
  <c r="U105" i="6" s="1"/>
  <c r="T108" i="6"/>
  <c r="S108" i="6"/>
  <c r="R108" i="6"/>
  <c r="V108" i="6" s="1"/>
  <c r="O108" i="6"/>
  <c r="N108" i="6"/>
  <c r="M108" i="6"/>
  <c r="Q108" i="6" s="1"/>
  <c r="L108" i="6"/>
  <c r="I108" i="6"/>
  <c r="H108" i="6"/>
  <c r="F108" i="6"/>
  <c r="W107" i="6"/>
  <c r="T107" i="6"/>
  <c r="S107" i="6"/>
  <c r="R107" i="6"/>
  <c r="P107" i="6"/>
  <c r="N107" i="6"/>
  <c r="M107" i="6"/>
  <c r="L107" i="6"/>
  <c r="Q107" i="6" s="1"/>
  <c r="K107" i="6"/>
  <c r="H107" i="6"/>
  <c r="G107" i="6" s="1"/>
  <c r="F107" i="6"/>
  <c r="J107" i="6" s="1"/>
  <c r="W106" i="6"/>
  <c r="U106" i="6"/>
  <c r="T106" i="6"/>
  <c r="S106" i="6"/>
  <c r="S105" i="6" s="1"/>
  <c r="Y105" i="6" s="1"/>
  <c r="R106" i="6"/>
  <c r="V106" i="6" s="1"/>
  <c r="P106" i="6"/>
  <c r="O106" i="6"/>
  <c r="N106" i="6"/>
  <c r="M106" i="6" s="1"/>
  <c r="L106" i="6"/>
  <c r="K106" i="6"/>
  <c r="I106" i="6"/>
  <c r="H106" i="6"/>
  <c r="G106" i="6"/>
  <c r="F106" i="6"/>
  <c r="J106" i="6" s="1"/>
  <c r="T105" i="6"/>
  <c r="O105" i="6"/>
  <c r="N105" i="6"/>
  <c r="H105" i="6"/>
  <c r="E105" i="6"/>
  <c r="D105" i="6"/>
  <c r="C105" i="6"/>
  <c r="Y104" i="6"/>
  <c r="V104" i="6"/>
  <c r="T104" i="6"/>
  <c r="S104" i="6"/>
  <c r="R104" i="6"/>
  <c r="W104" i="6" s="1"/>
  <c r="N104" i="6"/>
  <c r="M104" i="6"/>
  <c r="L104" i="6"/>
  <c r="H104" i="6"/>
  <c r="G104" i="6"/>
  <c r="F104" i="6"/>
  <c r="V103" i="6"/>
  <c r="T103" i="6"/>
  <c r="S103" i="6"/>
  <c r="Y103" i="6" s="1"/>
  <c r="R103" i="6"/>
  <c r="W103" i="6" s="1"/>
  <c r="Q103" i="6"/>
  <c r="O103" i="6"/>
  <c r="N103" i="6"/>
  <c r="M103" i="6"/>
  <c r="X103" i="6" s="1"/>
  <c r="L103" i="6"/>
  <c r="P103" i="6" s="1"/>
  <c r="H103" i="6"/>
  <c r="G103" i="6" s="1"/>
  <c r="K103" i="6" s="1"/>
  <c r="F103" i="6"/>
  <c r="T102" i="6"/>
  <c r="S102" i="6"/>
  <c r="W102" i="6" s="1"/>
  <c r="R102" i="6"/>
  <c r="N102" i="6"/>
  <c r="M102" i="6"/>
  <c r="L102" i="6"/>
  <c r="H102" i="6"/>
  <c r="G102" i="6"/>
  <c r="J102" i="6" s="1"/>
  <c r="F102" i="6"/>
  <c r="K102" i="6" s="1"/>
  <c r="V101" i="6"/>
  <c r="T101" i="6"/>
  <c r="S101" i="6" s="1"/>
  <c r="R101" i="6"/>
  <c r="W101" i="6" s="1"/>
  <c r="P101" i="6"/>
  <c r="N101" i="6"/>
  <c r="M101" i="6"/>
  <c r="L101" i="6"/>
  <c r="Q101" i="6" s="1"/>
  <c r="H101" i="6"/>
  <c r="G101" i="6" s="1"/>
  <c r="K101" i="6" s="1"/>
  <c r="F101" i="6"/>
  <c r="V100" i="6"/>
  <c r="T100" i="6"/>
  <c r="S100" i="6" s="1"/>
  <c r="R100" i="6"/>
  <c r="Q100" i="6"/>
  <c r="P100" i="6"/>
  <c r="N100" i="6"/>
  <c r="M100" i="6" s="1"/>
  <c r="L100" i="6"/>
  <c r="I100" i="6"/>
  <c r="H100" i="6"/>
  <c r="G100" i="6"/>
  <c r="F100" i="6"/>
  <c r="K100" i="6" s="1"/>
  <c r="U99" i="6"/>
  <c r="T99" i="6"/>
  <c r="S99" i="6" s="1"/>
  <c r="R99" i="6"/>
  <c r="N99" i="6"/>
  <c r="M99" i="6"/>
  <c r="L99" i="6"/>
  <c r="H99" i="6"/>
  <c r="G99" i="6"/>
  <c r="F99" i="6"/>
  <c r="T98" i="6"/>
  <c r="S98" i="6" s="1"/>
  <c r="V98" i="6" s="1"/>
  <c r="R98" i="6"/>
  <c r="P98" i="6"/>
  <c r="N98" i="6"/>
  <c r="M98" i="6" s="1"/>
  <c r="L98" i="6"/>
  <c r="H98" i="6"/>
  <c r="G98" i="6"/>
  <c r="J98" i="6" s="1"/>
  <c r="F98" i="6"/>
  <c r="T97" i="6"/>
  <c r="T96" i="6" s="1"/>
  <c r="S97" i="6"/>
  <c r="R97" i="6"/>
  <c r="N97" i="6"/>
  <c r="N96" i="6" s="1"/>
  <c r="M97" i="6"/>
  <c r="P97" i="6" s="1"/>
  <c r="L97" i="6"/>
  <c r="H97" i="6"/>
  <c r="F97" i="6"/>
  <c r="U96" i="6"/>
  <c r="O96" i="6"/>
  <c r="I96" i="6"/>
  <c r="E96" i="6"/>
  <c r="D96" i="6"/>
  <c r="C96" i="6"/>
  <c r="T95" i="6"/>
  <c r="S95" i="6" s="1"/>
  <c r="R95" i="6"/>
  <c r="N95" i="6"/>
  <c r="M95" i="6"/>
  <c r="P95" i="6" s="1"/>
  <c r="L95" i="6"/>
  <c r="Q95" i="6" s="1"/>
  <c r="I95" i="6"/>
  <c r="H95" i="6"/>
  <c r="G95" i="6" s="1"/>
  <c r="K95" i="6" s="1"/>
  <c r="F95" i="6"/>
  <c r="J95" i="6" s="1"/>
  <c r="T94" i="6"/>
  <c r="S94" i="6" s="1"/>
  <c r="R94" i="6"/>
  <c r="N94" i="6"/>
  <c r="M94" i="6"/>
  <c r="P94" i="6" s="1"/>
  <c r="L94" i="6"/>
  <c r="Q94" i="6" s="1"/>
  <c r="H94" i="6"/>
  <c r="G94" i="6"/>
  <c r="K94" i="6" s="1"/>
  <c r="F94" i="6"/>
  <c r="T93" i="6"/>
  <c r="S93" i="6"/>
  <c r="V93" i="6" s="1"/>
  <c r="R93" i="6"/>
  <c r="N93" i="6"/>
  <c r="M93" i="6" s="1"/>
  <c r="L93" i="6"/>
  <c r="H93" i="6"/>
  <c r="G93" i="6"/>
  <c r="F93" i="6"/>
  <c r="T92" i="6"/>
  <c r="S92" i="6"/>
  <c r="R92" i="6"/>
  <c r="N92" i="6"/>
  <c r="L92" i="6"/>
  <c r="H92" i="6"/>
  <c r="F92" i="6"/>
  <c r="U91" i="6"/>
  <c r="O91" i="6"/>
  <c r="L91" i="6"/>
  <c r="I91" i="6"/>
  <c r="E91" i="6"/>
  <c r="D91" i="6"/>
  <c r="C91" i="6"/>
  <c r="T90" i="6"/>
  <c r="S90" i="6" s="1"/>
  <c r="R90" i="6"/>
  <c r="N90" i="6"/>
  <c r="M90" i="6"/>
  <c r="M87" i="6" s="1"/>
  <c r="X87" i="6" s="1"/>
  <c r="L90" i="6"/>
  <c r="H90" i="6"/>
  <c r="G90" i="6"/>
  <c r="F90" i="6"/>
  <c r="T89" i="6"/>
  <c r="S89" i="6" s="1"/>
  <c r="M89" i="6"/>
  <c r="L89" i="6"/>
  <c r="K89" i="6"/>
  <c r="H89" i="6"/>
  <c r="G89" i="6"/>
  <c r="F89" i="6"/>
  <c r="S88" i="6"/>
  <c r="W88" i="6" s="1"/>
  <c r="R88" i="6"/>
  <c r="Q88" i="6"/>
  <c r="N88" i="6"/>
  <c r="N87" i="6" s="1"/>
  <c r="M88" i="6"/>
  <c r="L88" i="6"/>
  <c r="J88" i="6"/>
  <c r="H88" i="6"/>
  <c r="G88" i="6"/>
  <c r="F88" i="6"/>
  <c r="U87" i="6"/>
  <c r="O87" i="6"/>
  <c r="I87" i="6"/>
  <c r="H87" i="6"/>
  <c r="G87" i="6"/>
  <c r="E87" i="6"/>
  <c r="D87" i="6"/>
  <c r="C87" i="6"/>
  <c r="W86" i="6"/>
  <c r="U86" i="6"/>
  <c r="T86" i="6"/>
  <c r="T82" i="6" s="1"/>
  <c r="S86" i="6"/>
  <c r="R86" i="6"/>
  <c r="V86" i="6" s="1"/>
  <c r="O86" i="6"/>
  <c r="M86" i="6" s="1"/>
  <c r="N86" i="6"/>
  <c r="L86" i="6"/>
  <c r="Q86" i="6" s="1"/>
  <c r="K86" i="6"/>
  <c r="I86" i="6"/>
  <c r="G86" i="6" s="1"/>
  <c r="H86" i="6"/>
  <c r="F86" i="6"/>
  <c r="J86" i="6" s="1"/>
  <c r="W85" i="6"/>
  <c r="U85" i="6"/>
  <c r="T85" i="6"/>
  <c r="S85" i="6"/>
  <c r="R85" i="6"/>
  <c r="V85" i="6" s="1"/>
  <c r="O85" i="6"/>
  <c r="O82" i="6" s="1"/>
  <c r="N85" i="6"/>
  <c r="M85" i="6" s="1"/>
  <c r="Q85" i="6" s="1"/>
  <c r="L85" i="6"/>
  <c r="I85" i="6"/>
  <c r="H85" i="6"/>
  <c r="G85" i="6"/>
  <c r="K85" i="6" s="1"/>
  <c r="F85" i="6"/>
  <c r="J85" i="6" s="1"/>
  <c r="U84" i="6"/>
  <c r="S84" i="6"/>
  <c r="R84" i="6"/>
  <c r="V84" i="6" s="1"/>
  <c r="O84" i="6"/>
  <c r="M84" i="6"/>
  <c r="L84" i="6"/>
  <c r="I84" i="6"/>
  <c r="H84" i="6"/>
  <c r="H82" i="6" s="1"/>
  <c r="G84" i="6"/>
  <c r="K84" i="6" s="1"/>
  <c r="F84" i="6"/>
  <c r="U83" i="6"/>
  <c r="T83" i="6"/>
  <c r="R83" i="6"/>
  <c r="Q83" i="6"/>
  <c r="O83" i="6"/>
  <c r="N83" i="6"/>
  <c r="M83" i="6"/>
  <c r="M82" i="6" s="1"/>
  <c r="X82" i="6" s="1"/>
  <c r="L83" i="6"/>
  <c r="P83" i="6" s="1"/>
  <c r="I83" i="6"/>
  <c r="G83" i="6" s="1"/>
  <c r="H83" i="6"/>
  <c r="F83" i="6"/>
  <c r="K83" i="6" s="1"/>
  <c r="N82" i="6"/>
  <c r="I82" i="6"/>
  <c r="G82" i="6"/>
  <c r="E82" i="6"/>
  <c r="D82" i="6"/>
  <c r="C82" i="6"/>
  <c r="X81" i="6"/>
  <c r="V81" i="6"/>
  <c r="T81" i="6"/>
  <c r="S81" i="6" s="1"/>
  <c r="Y81" i="6" s="1"/>
  <c r="R81" i="6"/>
  <c r="Q81" i="6"/>
  <c r="P81" i="6"/>
  <c r="N81" i="6"/>
  <c r="M81" i="6" s="1"/>
  <c r="L81" i="6"/>
  <c r="J81" i="6"/>
  <c r="H81" i="6"/>
  <c r="G81" i="6"/>
  <c r="F81" i="6"/>
  <c r="K81" i="6" s="1"/>
  <c r="W80" i="6"/>
  <c r="T80" i="6"/>
  <c r="S80" i="6"/>
  <c r="R80" i="6"/>
  <c r="V80" i="6" s="1"/>
  <c r="P80" i="6"/>
  <c r="N80" i="6"/>
  <c r="M80" i="6"/>
  <c r="L80" i="6"/>
  <c r="Q80" i="6" s="1"/>
  <c r="K80" i="6"/>
  <c r="I80" i="6"/>
  <c r="H80" i="6"/>
  <c r="G80" i="6"/>
  <c r="F80" i="6"/>
  <c r="J80" i="6" s="1"/>
  <c r="T79" i="6"/>
  <c r="S79" i="6"/>
  <c r="W79" i="6" s="1"/>
  <c r="R79" i="6"/>
  <c r="N79" i="6"/>
  <c r="M79" i="6" s="1"/>
  <c r="P79" i="6" s="1"/>
  <c r="L79" i="6"/>
  <c r="H79" i="6"/>
  <c r="G79" i="6" s="1"/>
  <c r="K79" i="6" s="1"/>
  <c r="F79" i="6"/>
  <c r="V78" i="6"/>
  <c r="T78" i="6"/>
  <c r="S78" i="6"/>
  <c r="R78" i="6"/>
  <c r="W78" i="6" s="1"/>
  <c r="N78" i="6"/>
  <c r="M78" i="6" s="1"/>
  <c r="Q78" i="6" s="1"/>
  <c r="L78" i="6"/>
  <c r="H78" i="6"/>
  <c r="G78" i="6" s="1"/>
  <c r="J78" i="6" s="1"/>
  <c r="F78" i="6"/>
  <c r="W77" i="6"/>
  <c r="V77" i="6"/>
  <c r="T77" i="6"/>
  <c r="S77" i="6" s="1"/>
  <c r="R77" i="6"/>
  <c r="N77" i="6"/>
  <c r="M77" i="6"/>
  <c r="L77" i="6"/>
  <c r="P77" i="6" s="1"/>
  <c r="H77" i="6"/>
  <c r="G77" i="6"/>
  <c r="F77" i="6"/>
  <c r="J77" i="6" s="1"/>
  <c r="V76" i="6"/>
  <c r="T76" i="6"/>
  <c r="S76" i="6"/>
  <c r="R76" i="6"/>
  <c r="W76" i="6" s="1"/>
  <c r="N76" i="6"/>
  <c r="M76" i="6" s="1"/>
  <c r="L76" i="6"/>
  <c r="P76" i="6" s="1"/>
  <c r="K76" i="6"/>
  <c r="H76" i="6"/>
  <c r="G76" i="6"/>
  <c r="F76" i="6"/>
  <c r="J76" i="6" s="1"/>
  <c r="U75" i="6"/>
  <c r="T75" i="6"/>
  <c r="S75" i="6"/>
  <c r="W75" i="6" s="1"/>
  <c r="R75" i="6"/>
  <c r="P75" i="6"/>
  <c r="O75" i="6"/>
  <c r="M75" i="6" s="1"/>
  <c r="N75" i="6"/>
  <c r="L75" i="6"/>
  <c r="Q75" i="6" s="1"/>
  <c r="K75" i="6"/>
  <c r="H75" i="6"/>
  <c r="G75" i="6"/>
  <c r="F75" i="6"/>
  <c r="J75" i="6" s="1"/>
  <c r="V74" i="6"/>
  <c r="T74" i="6"/>
  <c r="S74" i="6"/>
  <c r="S73" i="6" s="1"/>
  <c r="Y73" i="6" s="1"/>
  <c r="R74" i="6"/>
  <c r="W74" i="6" s="1"/>
  <c r="Q74" i="6"/>
  <c r="N74" i="6"/>
  <c r="M74" i="6" s="1"/>
  <c r="L74" i="6"/>
  <c r="K74" i="6"/>
  <c r="H74" i="6"/>
  <c r="G74" i="6"/>
  <c r="F74" i="6"/>
  <c r="J74" i="6" s="1"/>
  <c r="V73" i="6"/>
  <c r="U73" i="6"/>
  <c r="R73" i="6"/>
  <c r="O73" i="6"/>
  <c r="I73" i="6"/>
  <c r="E73" i="6"/>
  <c r="D73" i="6"/>
  <c r="C73" i="6"/>
  <c r="V72" i="6"/>
  <c r="T72" i="6"/>
  <c r="S72" i="6"/>
  <c r="R72" i="6"/>
  <c r="W72" i="6" s="1"/>
  <c r="Q72" i="6"/>
  <c r="N72" i="6"/>
  <c r="M72" i="6"/>
  <c r="L72" i="6"/>
  <c r="P72" i="6" s="1"/>
  <c r="J72" i="6"/>
  <c r="H72" i="6"/>
  <c r="G72" i="6"/>
  <c r="F72" i="6"/>
  <c r="K72" i="6" s="1"/>
  <c r="W71" i="6"/>
  <c r="S71" i="6"/>
  <c r="V71" i="6" s="1"/>
  <c r="M71" i="6"/>
  <c r="Q71" i="6" s="1"/>
  <c r="G71" i="6"/>
  <c r="J71" i="6" s="1"/>
  <c r="V70" i="6"/>
  <c r="T70" i="6"/>
  <c r="S70" i="6"/>
  <c r="R70" i="6"/>
  <c r="W70" i="6" s="1"/>
  <c r="Q70" i="6"/>
  <c r="N70" i="6"/>
  <c r="M70" i="6"/>
  <c r="L70" i="6"/>
  <c r="P70" i="6" s="1"/>
  <c r="J70" i="6"/>
  <c r="H70" i="6"/>
  <c r="G70" i="6"/>
  <c r="F70" i="6"/>
  <c r="K70" i="6" s="1"/>
  <c r="T69" i="6"/>
  <c r="S69" i="6" s="1"/>
  <c r="R69" i="6"/>
  <c r="V69" i="6" s="1"/>
  <c r="N69" i="6"/>
  <c r="M69" i="6"/>
  <c r="L69" i="6"/>
  <c r="H69" i="6"/>
  <c r="H67" i="6" s="1"/>
  <c r="G69" i="6"/>
  <c r="F69" i="6"/>
  <c r="U68" i="6"/>
  <c r="T68" i="6"/>
  <c r="S68" i="6" s="1"/>
  <c r="S67" i="6" s="1"/>
  <c r="R68" i="6"/>
  <c r="O68" i="6"/>
  <c r="N68" i="6"/>
  <c r="M68" i="6" s="1"/>
  <c r="M67" i="6" s="1"/>
  <c r="X67" i="6" s="1"/>
  <c r="L68" i="6"/>
  <c r="I68" i="6"/>
  <c r="I67" i="6" s="1"/>
  <c r="H68" i="6"/>
  <c r="F68" i="6"/>
  <c r="Y67" i="6"/>
  <c r="U67" i="6"/>
  <c r="T67" i="6"/>
  <c r="O67" i="6"/>
  <c r="N67" i="6"/>
  <c r="E67" i="6"/>
  <c r="D67" i="6"/>
  <c r="C67" i="6"/>
  <c r="U66" i="6"/>
  <c r="S66" i="6" s="1"/>
  <c r="V66" i="6" s="1"/>
  <c r="T66" i="6"/>
  <c r="R66" i="6"/>
  <c r="Q66" i="6"/>
  <c r="O66" i="6"/>
  <c r="N66" i="6"/>
  <c r="M66" i="6"/>
  <c r="L66" i="6"/>
  <c r="P66" i="6" s="1"/>
  <c r="I66" i="6"/>
  <c r="G66" i="6" s="1"/>
  <c r="H66" i="6"/>
  <c r="F66" i="6"/>
  <c r="U65" i="6"/>
  <c r="T65" i="6"/>
  <c r="R65" i="6"/>
  <c r="Q65" i="6"/>
  <c r="O65" i="6"/>
  <c r="N65" i="6"/>
  <c r="M65" i="6"/>
  <c r="L65" i="6"/>
  <c r="P65" i="6" s="1"/>
  <c r="I65" i="6"/>
  <c r="G65" i="6"/>
  <c r="K65" i="6" s="1"/>
  <c r="F65" i="6"/>
  <c r="T64" i="6"/>
  <c r="T63" i="6" s="1"/>
  <c r="S64" i="6"/>
  <c r="V64" i="6" s="1"/>
  <c r="R64" i="6"/>
  <c r="N64" i="6"/>
  <c r="M64" i="6" s="1"/>
  <c r="Q64" i="6" s="1"/>
  <c r="L64" i="6"/>
  <c r="L63" i="6" s="1"/>
  <c r="J64" i="6"/>
  <c r="H64" i="6"/>
  <c r="G64" i="6"/>
  <c r="F64" i="6"/>
  <c r="K64" i="6" s="1"/>
  <c r="R63" i="6"/>
  <c r="O63" i="6"/>
  <c r="M63" i="6"/>
  <c r="I63" i="6"/>
  <c r="G63" i="6" s="1"/>
  <c r="H63" i="6"/>
  <c r="F63" i="6"/>
  <c r="E63" i="6"/>
  <c r="D63" i="6"/>
  <c r="C63" i="6"/>
  <c r="U62" i="6"/>
  <c r="T62" i="6"/>
  <c r="S62" i="6"/>
  <c r="R62" i="6"/>
  <c r="W62" i="6" s="1"/>
  <c r="P62" i="6"/>
  <c r="N62" i="6"/>
  <c r="M62" i="6"/>
  <c r="L62" i="6"/>
  <c r="Q62" i="6" s="1"/>
  <c r="H62" i="6"/>
  <c r="G62" i="6" s="1"/>
  <c r="F62" i="6"/>
  <c r="J62" i="6" s="1"/>
  <c r="T61" i="6"/>
  <c r="S61" i="6"/>
  <c r="R61" i="6"/>
  <c r="V61" i="6" s="1"/>
  <c r="N61" i="6"/>
  <c r="M61" i="6"/>
  <c r="L61" i="6"/>
  <c r="H61" i="6"/>
  <c r="G61" i="6"/>
  <c r="J61" i="6" s="1"/>
  <c r="F61" i="6"/>
  <c r="K61" i="6" s="1"/>
  <c r="T60" i="6"/>
  <c r="S60" i="6" s="1"/>
  <c r="R60" i="6"/>
  <c r="N60" i="6"/>
  <c r="M60" i="6"/>
  <c r="P60" i="6" s="1"/>
  <c r="L60" i="6"/>
  <c r="Q60" i="6" s="1"/>
  <c r="H60" i="6"/>
  <c r="H58" i="6" s="1"/>
  <c r="F60" i="6"/>
  <c r="T59" i="6"/>
  <c r="T58" i="6" s="1"/>
  <c r="S59" i="6"/>
  <c r="V59" i="6" s="1"/>
  <c r="R59" i="6"/>
  <c r="N59" i="6"/>
  <c r="M59" i="6" s="1"/>
  <c r="Q59" i="6" s="1"/>
  <c r="L59" i="6"/>
  <c r="J59" i="6"/>
  <c r="H59" i="6"/>
  <c r="G59" i="6"/>
  <c r="F59" i="6"/>
  <c r="U58" i="6"/>
  <c r="O58" i="6"/>
  <c r="N58" i="6"/>
  <c r="I58" i="6"/>
  <c r="G58" i="6"/>
  <c r="E58" i="6"/>
  <c r="D58" i="6"/>
  <c r="C58" i="6"/>
  <c r="V57" i="6"/>
  <c r="T57" i="6"/>
  <c r="S57" i="6"/>
  <c r="W57" i="6" s="1"/>
  <c r="M57" i="6"/>
  <c r="J57" i="6"/>
  <c r="G57" i="6"/>
  <c r="T56" i="6"/>
  <c r="S56" i="6" s="1"/>
  <c r="R56" i="6"/>
  <c r="V56" i="6" s="1"/>
  <c r="N56" i="6"/>
  <c r="M56" i="6"/>
  <c r="L56" i="6"/>
  <c r="P56" i="6" s="1"/>
  <c r="H56" i="6"/>
  <c r="G56" i="6"/>
  <c r="F56" i="6"/>
  <c r="T55" i="6"/>
  <c r="S55" i="6" s="1"/>
  <c r="V55" i="6" s="1"/>
  <c r="R55" i="6"/>
  <c r="N55" i="6"/>
  <c r="M55" i="6" s="1"/>
  <c r="P55" i="6" s="1"/>
  <c r="L55" i="6"/>
  <c r="H55" i="6"/>
  <c r="G55" i="6"/>
  <c r="J55" i="6" s="1"/>
  <c r="F55" i="6"/>
  <c r="T54" i="6"/>
  <c r="T53" i="6" s="1"/>
  <c r="S54" i="6"/>
  <c r="R54" i="6"/>
  <c r="N54" i="6"/>
  <c r="N53" i="6" s="1"/>
  <c r="M54" i="6"/>
  <c r="P54" i="6" s="1"/>
  <c r="L54" i="6"/>
  <c r="H54" i="6"/>
  <c r="G54" i="6" s="1"/>
  <c r="K54" i="6" s="1"/>
  <c r="F54" i="6"/>
  <c r="U53" i="6"/>
  <c r="O53" i="6"/>
  <c r="I53" i="6"/>
  <c r="E53" i="6"/>
  <c r="D53" i="6"/>
  <c r="C53" i="6"/>
  <c r="T52" i="6"/>
  <c r="S52" i="6" s="1"/>
  <c r="R52" i="6"/>
  <c r="W52" i="6" s="1"/>
  <c r="N52" i="6"/>
  <c r="M52" i="6"/>
  <c r="P52" i="6" s="1"/>
  <c r="L52" i="6"/>
  <c r="Q52" i="6" s="1"/>
  <c r="H52" i="6"/>
  <c r="G52" i="6"/>
  <c r="K52" i="6" s="1"/>
  <c r="F52" i="6"/>
  <c r="U51" i="6"/>
  <c r="T51" i="6"/>
  <c r="R51" i="6"/>
  <c r="O51" i="6"/>
  <c r="N51" i="6"/>
  <c r="M51" i="6"/>
  <c r="L51" i="6"/>
  <c r="Q51" i="6" s="1"/>
  <c r="J51" i="6"/>
  <c r="I51" i="6"/>
  <c r="H51" i="6"/>
  <c r="G51" i="6" s="1"/>
  <c r="F51" i="6"/>
  <c r="K51" i="6" s="1"/>
  <c r="W50" i="6"/>
  <c r="T50" i="6"/>
  <c r="S50" i="6"/>
  <c r="R50" i="6"/>
  <c r="V50" i="6" s="1"/>
  <c r="N50" i="6"/>
  <c r="M50" i="6"/>
  <c r="L50" i="6"/>
  <c r="I50" i="6"/>
  <c r="H50" i="6"/>
  <c r="G50" i="6" s="1"/>
  <c r="F50" i="6"/>
  <c r="T49" i="6"/>
  <c r="S49" i="6"/>
  <c r="V49" i="6" s="1"/>
  <c r="R49" i="6"/>
  <c r="W49" i="6" s="1"/>
  <c r="N49" i="6"/>
  <c r="M49" i="6"/>
  <c r="Q49" i="6" s="1"/>
  <c r="L49" i="6"/>
  <c r="H49" i="6"/>
  <c r="G49" i="6"/>
  <c r="J49" i="6" s="1"/>
  <c r="F49" i="6"/>
  <c r="U48" i="6"/>
  <c r="S48" i="6" s="1"/>
  <c r="T48" i="6"/>
  <c r="R48" i="6"/>
  <c r="W48" i="6" s="1"/>
  <c r="Q48" i="6"/>
  <c r="O48" i="6"/>
  <c r="N48" i="6"/>
  <c r="M48" i="6"/>
  <c r="L48" i="6"/>
  <c r="P48" i="6" s="1"/>
  <c r="I48" i="6"/>
  <c r="H48" i="6"/>
  <c r="F48" i="6"/>
  <c r="R47" i="6"/>
  <c r="O47" i="6"/>
  <c r="N47" i="6"/>
  <c r="L47" i="6"/>
  <c r="H47" i="6"/>
  <c r="E47" i="6"/>
  <c r="D47" i="6"/>
  <c r="C47" i="6"/>
  <c r="T46" i="6"/>
  <c r="S46" i="6"/>
  <c r="R46" i="6"/>
  <c r="V46" i="6" s="1"/>
  <c r="N46" i="6"/>
  <c r="M46" i="6"/>
  <c r="P46" i="6" s="1"/>
  <c r="L46" i="6"/>
  <c r="Q46" i="6" s="1"/>
  <c r="H46" i="6"/>
  <c r="G46" i="6" s="1"/>
  <c r="F46" i="6"/>
  <c r="K46" i="6" s="1"/>
  <c r="T45" i="6"/>
  <c r="S45" i="6"/>
  <c r="W45" i="6" s="1"/>
  <c r="N45" i="6"/>
  <c r="M45" i="6"/>
  <c r="Q45" i="6" s="1"/>
  <c r="G45" i="6"/>
  <c r="J45" i="6" s="1"/>
  <c r="S44" i="6"/>
  <c r="W44" i="6" s="1"/>
  <c r="M44" i="6"/>
  <c r="P44" i="6" s="1"/>
  <c r="K44" i="6"/>
  <c r="J44" i="6"/>
  <c r="G44" i="6"/>
  <c r="U43" i="6"/>
  <c r="S43" i="6" s="1"/>
  <c r="T43" i="6"/>
  <c r="R43" i="6"/>
  <c r="Q43" i="6"/>
  <c r="O43" i="6"/>
  <c r="O41" i="6" s="1"/>
  <c r="N43" i="6"/>
  <c r="M43" i="6"/>
  <c r="L43" i="6"/>
  <c r="P43" i="6" s="1"/>
  <c r="I43" i="6"/>
  <c r="G43" i="6" s="1"/>
  <c r="H43" i="6"/>
  <c r="F43" i="6"/>
  <c r="T42" i="6"/>
  <c r="S42" i="6" s="1"/>
  <c r="R42" i="6"/>
  <c r="N42" i="6"/>
  <c r="M42" i="6" s="1"/>
  <c r="L42" i="6"/>
  <c r="I42" i="6"/>
  <c r="H42" i="6"/>
  <c r="G42" i="6"/>
  <c r="F42" i="6"/>
  <c r="F41" i="6" s="1"/>
  <c r="T41" i="6"/>
  <c r="N41" i="6"/>
  <c r="L41" i="6"/>
  <c r="I41" i="6"/>
  <c r="E41" i="6"/>
  <c r="D41" i="6"/>
  <c r="C41" i="6"/>
  <c r="T40" i="6"/>
  <c r="S40" i="6" s="1"/>
  <c r="W40" i="6" s="1"/>
  <c r="R40" i="6"/>
  <c r="P40" i="6"/>
  <c r="N40" i="6"/>
  <c r="M40" i="6"/>
  <c r="L40" i="6"/>
  <c r="Q40" i="6" s="1"/>
  <c r="I40" i="6"/>
  <c r="G40" i="6" s="1"/>
  <c r="K40" i="6" s="1"/>
  <c r="H40" i="6"/>
  <c r="F40" i="6"/>
  <c r="W39" i="6"/>
  <c r="T39" i="6"/>
  <c r="S39" i="6" s="1"/>
  <c r="R39" i="6"/>
  <c r="V39" i="6" s="1"/>
  <c r="N39" i="6"/>
  <c r="M39" i="6"/>
  <c r="L39" i="6"/>
  <c r="P39" i="6" s="1"/>
  <c r="H39" i="6"/>
  <c r="G39" i="6"/>
  <c r="F39" i="6"/>
  <c r="J39" i="6" s="1"/>
  <c r="U38" i="6"/>
  <c r="U36" i="6" s="1"/>
  <c r="T38" i="6"/>
  <c r="S38" i="6" s="1"/>
  <c r="R38" i="6"/>
  <c r="W38" i="6" s="1"/>
  <c r="O38" i="6"/>
  <c r="N38" i="6"/>
  <c r="M38" i="6" s="1"/>
  <c r="L38" i="6"/>
  <c r="Q38" i="6" s="1"/>
  <c r="I38" i="6"/>
  <c r="I36" i="6" s="1"/>
  <c r="H38" i="6"/>
  <c r="F38" i="6"/>
  <c r="U37" i="6"/>
  <c r="T37" i="6"/>
  <c r="S37" i="6"/>
  <c r="R37" i="6"/>
  <c r="W37" i="6" s="1"/>
  <c r="O37" i="6"/>
  <c r="N37" i="6"/>
  <c r="M37" i="6" s="1"/>
  <c r="L37" i="6"/>
  <c r="Q37" i="6" s="1"/>
  <c r="I37" i="6"/>
  <c r="H37" i="6"/>
  <c r="G37" i="6" s="1"/>
  <c r="F37" i="6"/>
  <c r="R36" i="6"/>
  <c r="O36" i="6"/>
  <c r="L36" i="6"/>
  <c r="E36" i="6"/>
  <c r="D36" i="6"/>
  <c r="C36" i="6"/>
  <c r="U35" i="6"/>
  <c r="T35" i="6"/>
  <c r="S35" i="6"/>
  <c r="Y35" i="6" s="1"/>
  <c r="R35" i="6"/>
  <c r="W35" i="6" s="1"/>
  <c r="Q35" i="6"/>
  <c r="O35" i="6"/>
  <c r="N35" i="6"/>
  <c r="M35" i="6"/>
  <c r="X35" i="6" s="1"/>
  <c r="L35" i="6"/>
  <c r="P35" i="6" s="1"/>
  <c r="I35" i="6"/>
  <c r="G35" i="6" s="1"/>
  <c r="H35" i="6"/>
  <c r="F35" i="6"/>
  <c r="K35" i="6" s="1"/>
  <c r="T34" i="6"/>
  <c r="S34" i="6" s="1"/>
  <c r="W34" i="6" s="1"/>
  <c r="R34" i="6"/>
  <c r="N34" i="6"/>
  <c r="M34" i="6" s="1"/>
  <c r="P34" i="6" s="1"/>
  <c r="L34" i="6"/>
  <c r="K34" i="6"/>
  <c r="J34" i="6"/>
  <c r="H34" i="6"/>
  <c r="G34" i="6" s="1"/>
  <c r="F34" i="6"/>
  <c r="V33" i="6"/>
  <c r="T33" i="6"/>
  <c r="S33" i="6"/>
  <c r="R33" i="6"/>
  <c r="W33" i="6" s="1"/>
  <c r="Q33" i="6"/>
  <c r="N33" i="6"/>
  <c r="M33" i="6"/>
  <c r="L33" i="6"/>
  <c r="P33" i="6" s="1"/>
  <c r="J33" i="6"/>
  <c r="I33" i="6"/>
  <c r="H33" i="6"/>
  <c r="G33" i="6" s="1"/>
  <c r="F33" i="6"/>
  <c r="K33" i="6" s="1"/>
  <c r="T32" i="6"/>
  <c r="S32" i="6"/>
  <c r="R32" i="6"/>
  <c r="V32" i="6" s="1"/>
  <c r="N32" i="6"/>
  <c r="M32" i="6"/>
  <c r="L32" i="6"/>
  <c r="P32" i="6" s="1"/>
  <c r="H32" i="6"/>
  <c r="G32" i="6"/>
  <c r="J32" i="6" s="1"/>
  <c r="F32" i="6"/>
  <c r="K32" i="6" s="1"/>
  <c r="T31" i="6"/>
  <c r="S31" i="6" s="1"/>
  <c r="R31" i="6"/>
  <c r="W31" i="6" s="1"/>
  <c r="N31" i="6"/>
  <c r="M31" i="6"/>
  <c r="P31" i="6" s="1"/>
  <c r="L31" i="6"/>
  <c r="Q31" i="6" s="1"/>
  <c r="H31" i="6"/>
  <c r="G31" i="6"/>
  <c r="K31" i="6" s="1"/>
  <c r="F31" i="6"/>
  <c r="T30" i="6"/>
  <c r="S30" i="6"/>
  <c r="V30" i="6" s="1"/>
  <c r="R30" i="6"/>
  <c r="N30" i="6"/>
  <c r="M30" i="6" s="1"/>
  <c r="Q30" i="6" s="1"/>
  <c r="L30" i="6"/>
  <c r="J30" i="6"/>
  <c r="H30" i="6"/>
  <c r="G30" i="6"/>
  <c r="F30" i="6"/>
  <c r="K30" i="6" s="1"/>
  <c r="T29" i="6"/>
  <c r="S29" i="6" s="1"/>
  <c r="W29" i="6" s="1"/>
  <c r="R29" i="6"/>
  <c r="N29" i="6"/>
  <c r="M29" i="6" s="1"/>
  <c r="P29" i="6" s="1"/>
  <c r="L29" i="6"/>
  <c r="K29" i="6"/>
  <c r="J29" i="6"/>
  <c r="H29" i="6"/>
  <c r="G29" i="6" s="1"/>
  <c r="F29" i="6"/>
  <c r="U28" i="6"/>
  <c r="T28" i="6"/>
  <c r="T26" i="6" s="1"/>
  <c r="S28" i="6"/>
  <c r="R28" i="6"/>
  <c r="R26" i="6" s="1"/>
  <c r="O28" i="6"/>
  <c r="O26" i="6" s="1"/>
  <c r="N28" i="6"/>
  <c r="M28" i="6" s="1"/>
  <c r="L28" i="6"/>
  <c r="Q28" i="6" s="1"/>
  <c r="I28" i="6"/>
  <c r="H28" i="6"/>
  <c r="G28" i="6" s="1"/>
  <c r="F28" i="6"/>
  <c r="K28" i="6" s="1"/>
  <c r="U27" i="6"/>
  <c r="T27" i="6"/>
  <c r="R27" i="6"/>
  <c r="O27" i="6"/>
  <c r="N27" i="6"/>
  <c r="N26" i="6" s="1"/>
  <c r="M27" i="6"/>
  <c r="L27" i="6"/>
  <c r="Q27" i="6" s="1"/>
  <c r="I27" i="6"/>
  <c r="I26" i="6" s="1"/>
  <c r="H27" i="6"/>
  <c r="G27" i="6" s="1"/>
  <c r="F27" i="6"/>
  <c r="K27" i="6" s="1"/>
  <c r="U26" i="6"/>
  <c r="E26" i="6"/>
  <c r="D26" i="6"/>
  <c r="C26" i="6"/>
  <c r="W25" i="6"/>
  <c r="V25" i="6"/>
  <c r="T25" i="6"/>
  <c r="S25" i="6" s="1"/>
  <c r="R25" i="6"/>
  <c r="P25" i="6"/>
  <c r="N25" i="6"/>
  <c r="M25" i="6"/>
  <c r="L25" i="6"/>
  <c r="Q25" i="6" s="1"/>
  <c r="K25" i="6"/>
  <c r="I25" i="6"/>
  <c r="H25" i="6"/>
  <c r="G25" i="6"/>
  <c r="F25" i="6"/>
  <c r="J25" i="6" s="1"/>
  <c r="T24" i="6"/>
  <c r="S24" i="6" s="1"/>
  <c r="R24" i="6"/>
  <c r="W24" i="6" s="1"/>
  <c r="N24" i="6"/>
  <c r="M24" i="6"/>
  <c r="P24" i="6" s="1"/>
  <c r="L24" i="6"/>
  <c r="Q24" i="6" s="1"/>
  <c r="H24" i="6"/>
  <c r="G24" i="6"/>
  <c r="K24" i="6" s="1"/>
  <c r="F24" i="6"/>
  <c r="T23" i="6"/>
  <c r="S23" i="6"/>
  <c r="V23" i="6" s="1"/>
  <c r="R23" i="6"/>
  <c r="N23" i="6"/>
  <c r="M23" i="6" s="1"/>
  <c r="Q23" i="6" s="1"/>
  <c r="L23" i="6"/>
  <c r="J23" i="6"/>
  <c r="H23" i="6"/>
  <c r="G23" i="6"/>
  <c r="F23" i="6"/>
  <c r="K23" i="6" s="1"/>
  <c r="U22" i="6"/>
  <c r="U18" i="6" s="1"/>
  <c r="T22" i="6"/>
  <c r="R22" i="6"/>
  <c r="O22" i="6"/>
  <c r="N22" i="6"/>
  <c r="M22" i="6"/>
  <c r="Q22" i="6" s="1"/>
  <c r="L22" i="6"/>
  <c r="P22" i="6" s="1"/>
  <c r="I22" i="6"/>
  <c r="H22" i="6"/>
  <c r="G22" i="6" s="1"/>
  <c r="K22" i="6" s="1"/>
  <c r="F22" i="6"/>
  <c r="U21" i="6"/>
  <c r="T21" i="6"/>
  <c r="S21" i="6"/>
  <c r="R21" i="6"/>
  <c r="W21" i="6" s="1"/>
  <c r="O21" i="6"/>
  <c r="O18" i="6" s="1"/>
  <c r="N21" i="6"/>
  <c r="M21" i="6"/>
  <c r="Q21" i="6" s="1"/>
  <c r="L21" i="6"/>
  <c r="I21" i="6"/>
  <c r="G21" i="6" s="1"/>
  <c r="H21" i="6"/>
  <c r="F21" i="6"/>
  <c r="K21" i="6" s="1"/>
  <c r="T20" i="6"/>
  <c r="S20" i="6"/>
  <c r="R20" i="6"/>
  <c r="V20" i="6" s="1"/>
  <c r="P20" i="6"/>
  <c r="N20" i="6"/>
  <c r="M20" i="6"/>
  <c r="L20" i="6"/>
  <c r="Q20" i="6" s="1"/>
  <c r="I20" i="6"/>
  <c r="H20" i="6"/>
  <c r="G20" i="6"/>
  <c r="K20" i="6" s="1"/>
  <c r="F20" i="6"/>
  <c r="J20" i="6" s="1"/>
  <c r="T19" i="6"/>
  <c r="T18" i="6" s="1"/>
  <c r="S19" i="6"/>
  <c r="R19" i="6"/>
  <c r="N19" i="6"/>
  <c r="N18" i="6" s="1"/>
  <c r="M19" i="6"/>
  <c r="P19" i="6" s="1"/>
  <c r="L19" i="6"/>
  <c r="H19" i="6"/>
  <c r="G19" i="6" s="1"/>
  <c r="K19" i="6" s="1"/>
  <c r="F19" i="6"/>
  <c r="L18" i="6"/>
  <c r="F18" i="6"/>
  <c r="E18" i="6"/>
  <c r="D18" i="6"/>
  <c r="C18" i="6"/>
  <c r="U17" i="6"/>
  <c r="T17" i="6"/>
  <c r="S17" i="6"/>
  <c r="W17" i="6" s="1"/>
  <c r="R17" i="6"/>
  <c r="V17" i="6" s="1"/>
  <c r="O17" i="6"/>
  <c r="N17" i="6"/>
  <c r="M17" i="6" s="1"/>
  <c r="Q17" i="6" s="1"/>
  <c r="L17" i="6"/>
  <c r="I17" i="6"/>
  <c r="H17" i="6"/>
  <c r="G17" i="6"/>
  <c r="F17" i="6"/>
  <c r="K17" i="6" s="1"/>
  <c r="T16" i="6"/>
  <c r="S16" i="6"/>
  <c r="V16" i="6" s="1"/>
  <c r="P16" i="6"/>
  <c r="M16" i="6"/>
  <c r="H16" i="6"/>
  <c r="G16" i="6" s="1"/>
  <c r="K16" i="6" s="1"/>
  <c r="F16" i="6"/>
  <c r="V15" i="6"/>
  <c r="T15" i="6"/>
  <c r="S15" i="6"/>
  <c r="R15" i="6"/>
  <c r="W15" i="6" s="1"/>
  <c r="O15" i="6"/>
  <c r="M15" i="6" s="1"/>
  <c r="Q15" i="6" s="1"/>
  <c r="N15" i="6"/>
  <c r="L15" i="6"/>
  <c r="I15" i="6"/>
  <c r="H15" i="6"/>
  <c r="G15" i="6"/>
  <c r="K15" i="6" s="1"/>
  <c r="F15" i="6"/>
  <c r="J15" i="6" s="1"/>
  <c r="T14" i="6"/>
  <c r="S14" i="6"/>
  <c r="W14" i="6" s="1"/>
  <c r="R14" i="6"/>
  <c r="N14" i="6"/>
  <c r="M114" i="6" s="1"/>
  <c r="Q114" i="6" s="1"/>
  <c r="M14" i="6"/>
  <c r="P14" i="6" s="1"/>
  <c r="L14" i="6"/>
  <c r="H14" i="6"/>
  <c r="G14" i="6" s="1"/>
  <c r="K14" i="6" s="1"/>
  <c r="F14" i="6"/>
  <c r="V13" i="6"/>
  <c r="T13" i="6"/>
  <c r="S13" i="6"/>
  <c r="R13" i="6"/>
  <c r="W13" i="6" s="1"/>
  <c r="N13" i="6"/>
  <c r="M113" i="6" s="1"/>
  <c r="Q113" i="6" s="1"/>
  <c r="L13" i="6"/>
  <c r="H13" i="6"/>
  <c r="G13" i="6" s="1"/>
  <c r="J13" i="6" s="1"/>
  <c r="F13" i="6"/>
  <c r="T12" i="6"/>
  <c r="R12" i="6"/>
  <c r="R8" i="6" s="1"/>
  <c r="P12" i="6"/>
  <c r="N12" i="6"/>
  <c r="M112" i="6" s="1"/>
  <c r="M12" i="6"/>
  <c r="L12" i="6"/>
  <c r="Q12" i="6" s="1"/>
  <c r="K12" i="6"/>
  <c r="H12" i="6"/>
  <c r="G12" i="6"/>
  <c r="F12" i="6"/>
  <c r="J12" i="6" s="1"/>
  <c r="V11" i="6"/>
  <c r="T11" i="6"/>
  <c r="S11" i="6"/>
  <c r="R11" i="6"/>
  <c r="W11" i="6" s="1"/>
  <c r="N11" i="6"/>
  <c r="L11" i="6"/>
  <c r="H11" i="6"/>
  <c r="G11" i="6"/>
  <c r="F11" i="6"/>
  <c r="J11" i="6" s="1"/>
  <c r="U10" i="6"/>
  <c r="T10" i="6"/>
  <c r="S10" i="6"/>
  <c r="W10" i="6" s="1"/>
  <c r="R10" i="6"/>
  <c r="N10" i="6"/>
  <c r="L10" i="6"/>
  <c r="I10" i="6"/>
  <c r="H10" i="6"/>
  <c r="G10" i="6"/>
  <c r="F10" i="6"/>
  <c r="V9" i="6"/>
  <c r="T9" i="6"/>
  <c r="S9" i="6"/>
  <c r="R9" i="6"/>
  <c r="W9" i="6" s="1"/>
  <c r="O9" i="6"/>
  <c r="N9" i="6"/>
  <c r="M9" i="6"/>
  <c r="Q9" i="6" s="1"/>
  <c r="L9" i="6"/>
  <c r="P9" i="6" s="1"/>
  <c r="I9" i="6"/>
  <c r="H9" i="6"/>
  <c r="G9" i="6" s="1"/>
  <c r="F9" i="6"/>
  <c r="U8" i="6"/>
  <c r="T8" i="6"/>
  <c r="I8" i="6"/>
  <c r="H8" i="6"/>
  <c r="E8" i="6"/>
  <c r="D8" i="6"/>
  <c r="D117" i="6" s="1"/>
  <c r="C8" i="6"/>
  <c r="C117" i="6" s="1"/>
  <c r="Q41" i="6" l="1"/>
  <c r="M41" i="6"/>
  <c r="P42" i="6"/>
  <c r="G8" i="6"/>
  <c r="K9" i="6"/>
  <c r="S41" i="6"/>
  <c r="Y41" i="6" s="1"/>
  <c r="W42" i="6"/>
  <c r="M26" i="6"/>
  <c r="X26" i="6" s="1"/>
  <c r="K37" i="6"/>
  <c r="K41" i="6"/>
  <c r="J41" i="6"/>
  <c r="K43" i="6"/>
  <c r="W43" i="6"/>
  <c r="M10" i="6"/>
  <c r="N8" i="6"/>
  <c r="K11" i="6"/>
  <c r="J17" i="6"/>
  <c r="W20" i="6"/>
  <c r="V21" i="6"/>
  <c r="P27" i="6"/>
  <c r="V28" i="6"/>
  <c r="W32" i="6"/>
  <c r="W36" i="6"/>
  <c r="V37" i="6"/>
  <c r="Q39" i="6"/>
  <c r="J42" i="6"/>
  <c r="Q47" i="6"/>
  <c r="K50" i="6"/>
  <c r="J50" i="6"/>
  <c r="S53" i="6"/>
  <c r="Y53" i="6" s="1"/>
  <c r="W60" i="6"/>
  <c r="V60" i="6"/>
  <c r="P69" i="6"/>
  <c r="L67" i="6"/>
  <c r="Q77" i="6"/>
  <c r="W89" i="6"/>
  <c r="V89" i="6"/>
  <c r="P90" i="6"/>
  <c r="Q90" i="6"/>
  <c r="L87" i="6"/>
  <c r="W94" i="6"/>
  <c r="V94" i="6"/>
  <c r="W95" i="6"/>
  <c r="V95" i="6"/>
  <c r="J100" i="6"/>
  <c r="J104" i="6"/>
  <c r="K104" i="6"/>
  <c r="X104" i="6"/>
  <c r="Q104" i="6"/>
  <c r="P109" i="6"/>
  <c r="L105" i="6"/>
  <c r="Q109" i="6"/>
  <c r="L110" i="6"/>
  <c r="Q112" i="6"/>
  <c r="P112" i="6"/>
  <c r="O8" i="6"/>
  <c r="F8" i="6"/>
  <c r="J10" i="6"/>
  <c r="J14" i="6"/>
  <c r="P15" i="6"/>
  <c r="J16" i="6"/>
  <c r="H18" i="6"/>
  <c r="G18" i="6" s="1"/>
  <c r="K18" i="6" s="1"/>
  <c r="M18" i="6"/>
  <c r="X18" i="6" s="1"/>
  <c r="R18" i="6"/>
  <c r="J19" i="6"/>
  <c r="J21" i="6"/>
  <c r="V22" i="6"/>
  <c r="P23" i="6"/>
  <c r="F26" i="6"/>
  <c r="L26" i="6"/>
  <c r="W28" i="6"/>
  <c r="P30" i="6"/>
  <c r="V35" i="6"/>
  <c r="H36" i="6"/>
  <c r="G36" i="6" s="1"/>
  <c r="N36" i="6"/>
  <c r="S36" i="6"/>
  <c r="Y36" i="6" s="1"/>
  <c r="M36" i="6"/>
  <c r="X36" i="6" s="1"/>
  <c r="J40" i="6"/>
  <c r="V40" i="6"/>
  <c r="K42" i="6"/>
  <c r="V43" i="6"/>
  <c r="V44" i="6"/>
  <c r="S51" i="6"/>
  <c r="V51" i="6" s="1"/>
  <c r="T47" i="6"/>
  <c r="M53" i="6"/>
  <c r="X53" i="6" s="1"/>
  <c r="R53" i="6"/>
  <c r="J54" i="6"/>
  <c r="J56" i="6"/>
  <c r="K56" i="6"/>
  <c r="F53" i="6"/>
  <c r="P61" i="6"/>
  <c r="Q61" i="6"/>
  <c r="S65" i="6"/>
  <c r="W65" i="6" s="1"/>
  <c r="U63" i="6"/>
  <c r="J69" i="6"/>
  <c r="K69" i="6"/>
  <c r="F67" i="6"/>
  <c r="F73" i="6"/>
  <c r="J79" i="6"/>
  <c r="R82" i="6"/>
  <c r="L82" i="6"/>
  <c r="P84" i="6"/>
  <c r="T87" i="6"/>
  <c r="J90" i="6"/>
  <c r="K90" i="6"/>
  <c r="P93" i="6"/>
  <c r="Q93" i="6"/>
  <c r="S96" i="6"/>
  <c r="Y96" i="6" s="1"/>
  <c r="W97" i="6"/>
  <c r="W99" i="6"/>
  <c r="V99" i="6"/>
  <c r="V107" i="6"/>
  <c r="R105" i="6"/>
  <c r="K108" i="6"/>
  <c r="Y116" i="6"/>
  <c r="V116" i="6"/>
  <c r="E117" i="6"/>
  <c r="K10" i="6"/>
  <c r="M11" i="6"/>
  <c r="Q11" i="6" s="1"/>
  <c r="M111" i="6"/>
  <c r="R117" i="6"/>
  <c r="K13" i="6"/>
  <c r="P17" i="6"/>
  <c r="I18" i="6"/>
  <c r="I117" i="6" s="1"/>
  <c r="W19" i="6"/>
  <c r="J22" i="6"/>
  <c r="S22" i="6"/>
  <c r="W22" i="6" s="1"/>
  <c r="V24" i="6"/>
  <c r="H26" i="6"/>
  <c r="G26" i="6" s="1"/>
  <c r="W27" i="6"/>
  <c r="J28" i="6"/>
  <c r="Q29" i="6"/>
  <c r="V29" i="6"/>
  <c r="V31" i="6"/>
  <c r="Q34" i="6"/>
  <c r="V34" i="6"/>
  <c r="J35" i="6"/>
  <c r="T36" i="6"/>
  <c r="T117" i="6" s="1"/>
  <c r="J37" i="6"/>
  <c r="P38" i="6"/>
  <c r="Q42" i="6"/>
  <c r="V42" i="6"/>
  <c r="J43" i="6"/>
  <c r="P45" i="6"/>
  <c r="V45" i="6"/>
  <c r="J46" i="6"/>
  <c r="U47" i="6"/>
  <c r="M47" i="6"/>
  <c r="X47" i="6" s="1"/>
  <c r="V48" i="6"/>
  <c r="P51" i="6"/>
  <c r="V52" i="6"/>
  <c r="H53" i="6"/>
  <c r="G53" i="6" s="1"/>
  <c r="W54" i="6"/>
  <c r="W55" i="6"/>
  <c r="W56" i="6"/>
  <c r="R58" i="6"/>
  <c r="P59" i="6"/>
  <c r="K62" i="6"/>
  <c r="X63" i="6"/>
  <c r="Q63" i="6"/>
  <c r="S63" i="6"/>
  <c r="Y63" i="6" s="1"/>
  <c r="R67" i="6"/>
  <c r="W68" i="6"/>
  <c r="V68" i="6"/>
  <c r="W69" i="6"/>
  <c r="P71" i="6"/>
  <c r="L73" i="6"/>
  <c r="P74" i="6"/>
  <c r="F87" i="6"/>
  <c r="J89" i="6"/>
  <c r="M92" i="6"/>
  <c r="N91" i="6"/>
  <c r="J93" i="6"/>
  <c r="K93" i="6"/>
  <c r="F91" i="6"/>
  <c r="R96" i="6"/>
  <c r="P99" i="6"/>
  <c r="Q99" i="6"/>
  <c r="P102" i="6"/>
  <c r="Q102" i="6"/>
  <c r="F105" i="6"/>
  <c r="P113" i="6"/>
  <c r="V114" i="6"/>
  <c r="X116" i="6"/>
  <c r="Q116" i="6"/>
  <c r="L8" i="6"/>
  <c r="V10" i="6"/>
  <c r="S12" i="6"/>
  <c r="M13" i="6"/>
  <c r="Q13" i="6" s="1"/>
  <c r="Q14" i="6"/>
  <c r="V14" i="6"/>
  <c r="W16" i="6"/>
  <c r="J18" i="6"/>
  <c r="Q19" i="6"/>
  <c r="V19" i="6"/>
  <c r="P21" i="6"/>
  <c r="W23" i="6"/>
  <c r="J24" i="6"/>
  <c r="J27" i="6"/>
  <c r="S27" i="6"/>
  <c r="P28" i="6"/>
  <c r="W30" i="6"/>
  <c r="J31" i="6"/>
  <c r="Q32" i="6"/>
  <c r="F36" i="6"/>
  <c r="P36" i="6"/>
  <c r="P37" i="6"/>
  <c r="G38" i="6"/>
  <c r="J38" i="6" s="1"/>
  <c r="V38" i="6"/>
  <c r="K39" i="6"/>
  <c r="H41" i="6"/>
  <c r="G41" i="6" s="1"/>
  <c r="R41" i="6"/>
  <c r="Q44" i="6"/>
  <c r="W46" i="6"/>
  <c r="F47" i="6"/>
  <c r="G48" i="6"/>
  <c r="J48" i="6" s="1"/>
  <c r="I47" i="6"/>
  <c r="G47" i="6" s="1"/>
  <c r="P50" i="6"/>
  <c r="Q50" i="6"/>
  <c r="K55" i="6"/>
  <c r="Q55" i="6"/>
  <c r="L53" i="6"/>
  <c r="Q56" i="6"/>
  <c r="M58" i="6"/>
  <c r="X58" i="6" s="1"/>
  <c r="S58" i="6"/>
  <c r="Y58" i="6" s="1"/>
  <c r="F58" i="6"/>
  <c r="K59" i="6"/>
  <c r="G60" i="6"/>
  <c r="K60" i="6" s="1"/>
  <c r="W61" i="6"/>
  <c r="V62" i="6"/>
  <c r="K63" i="6"/>
  <c r="N63" i="6"/>
  <c r="P64" i="6"/>
  <c r="V65" i="6"/>
  <c r="K66" i="6"/>
  <c r="W66" i="6"/>
  <c r="Q68" i="6"/>
  <c r="G67" i="6"/>
  <c r="Q69" i="6"/>
  <c r="W73" i="6"/>
  <c r="M73" i="6"/>
  <c r="X73" i="6" s="1"/>
  <c r="Q76" i="6"/>
  <c r="K77" i="6"/>
  <c r="S83" i="6"/>
  <c r="U82" i="6"/>
  <c r="V90" i="6"/>
  <c r="W90" i="6"/>
  <c r="G92" i="6"/>
  <c r="J92" i="6" s="1"/>
  <c r="H91" i="6"/>
  <c r="G91" i="6" s="1"/>
  <c r="V92" i="6"/>
  <c r="W92" i="6"/>
  <c r="R91" i="6"/>
  <c r="M96" i="6"/>
  <c r="X96" i="6" s="1"/>
  <c r="G97" i="6"/>
  <c r="H96" i="6"/>
  <c r="G96" i="6" s="1"/>
  <c r="J99" i="6"/>
  <c r="K99" i="6"/>
  <c r="F96" i="6"/>
  <c r="I105" i="6"/>
  <c r="G105" i="6" s="1"/>
  <c r="G108" i="6"/>
  <c r="J108" i="6" s="1"/>
  <c r="V110" i="6"/>
  <c r="H110" i="6"/>
  <c r="G110" i="6" s="1"/>
  <c r="J114" i="6"/>
  <c r="F110" i="6"/>
  <c r="K114" i="6"/>
  <c r="P114" i="6"/>
  <c r="P115" i="6"/>
  <c r="J63" i="6"/>
  <c r="J66" i="6"/>
  <c r="P68" i="6"/>
  <c r="K78" i="6"/>
  <c r="P78" i="6"/>
  <c r="W81" i="6"/>
  <c r="J83" i="6"/>
  <c r="P85" i="6"/>
  <c r="P86" i="6"/>
  <c r="S91" i="6"/>
  <c r="Y91" i="6" s="1"/>
  <c r="W98" i="6"/>
  <c r="M105" i="6"/>
  <c r="X105" i="6" s="1"/>
  <c r="W110" i="6"/>
  <c r="P116" i="6"/>
  <c r="K49" i="6"/>
  <c r="P49" i="6"/>
  <c r="W51" i="6"/>
  <c r="J52" i="6"/>
  <c r="Q54" i="6"/>
  <c r="V54" i="6"/>
  <c r="L58" i="6"/>
  <c r="W59" i="6"/>
  <c r="J60" i="6"/>
  <c r="P63" i="6"/>
  <c r="W64" i="6"/>
  <c r="J65" i="6"/>
  <c r="G68" i="6"/>
  <c r="J68" i="6" s="1"/>
  <c r="K71" i="6"/>
  <c r="N73" i="6"/>
  <c r="T73" i="6"/>
  <c r="H73" i="6"/>
  <c r="G73" i="6" s="1"/>
  <c r="V75" i="6"/>
  <c r="Q79" i="6"/>
  <c r="V79" i="6"/>
  <c r="F82" i="6"/>
  <c r="J84" i="6"/>
  <c r="S87" i="6"/>
  <c r="Y87" i="6" s="1"/>
  <c r="K92" i="6"/>
  <c r="T91" i="6"/>
  <c r="W93" i="6"/>
  <c r="J94" i="6"/>
  <c r="K98" i="6"/>
  <c r="Q98" i="6"/>
  <c r="L96" i="6"/>
  <c r="V102" i="6"/>
  <c r="J103" i="6"/>
  <c r="P104" i="6"/>
  <c r="T110" i="6"/>
  <c r="W116" i="6"/>
  <c r="K88" i="6"/>
  <c r="P88" i="6"/>
  <c r="V88" i="6"/>
  <c r="R87" i="6"/>
  <c r="Q97" i="6"/>
  <c r="V97" i="6"/>
  <c r="W100" i="6"/>
  <c r="J101" i="6"/>
  <c r="Q106" i="6"/>
  <c r="P108" i="6"/>
  <c r="V111" i="6"/>
  <c r="J115" i="6"/>
  <c r="G31" i="7"/>
  <c r="K82" i="6" l="1"/>
  <c r="J82" i="6"/>
  <c r="K96" i="6"/>
  <c r="J96" i="6"/>
  <c r="K97" i="6"/>
  <c r="J97" i="6"/>
  <c r="K105" i="6"/>
  <c r="J105" i="6"/>
  <c r="J87" i="6"/>
  <c r="K87" i="6"/>
  <c r="R119" i="6"/>
  <c r="V82" i="6"/>
  <c r="V63" i="6"/>
  <c r="Q26" i="6"/>
  <c r="P26" i="6"/>
  <c r="F117" i="6"/>
  <c r="J8" i="6"/>
  <c r="Q67" i="6"/>
  <c r="P67" i="6"/>
  <c r="Q18" i="6"/>
  <c r="N117" i="6"/>
  <c r="K110" i="6"/>
  <c r="J110" i="6"/>
  <c r="K36" i="6"/>
  <c r="J36" i="6"/>
  <c r="T118" i="6"/>
  <c r="W96" i="6"/>
  <c r="V96" i="6"/>
  <c r="V58" i="6"/>
  <c r="W58" i="6"/>
  <c r="P13" i="6"/>
  <c r="M110" i="6"/>
  <c r="X110" i="6" s="1"/>
  <c r="P111" i="6"/>
  <c r="W105" i="6"/>
  <c r="V105" i="6"/>
  <c r="K26" i="6"/>
  <c r="J26" i="6"/>
  <c r="Q36" i="6"/>
  <c r="Q10" i="6"/>
  <c r="P10" i="6"/>
  <c r="M8" i="6"/>
  <c r="G117" i="6"/>
  <c r="P18" i="6"/>
  <c r="V87" i="6"/>
  <c r="W87" i="6"/>
  <c r="P58" i="6"/>
  <c r="Q58" i="6"/>
  <c r="W91" i="6"/>
  <c r="V91" i="6"/>
  <c r="K58" i="6"/>
  <c r="J58" i="6"/>
  <c r="P53" i="6"/>
  <c r="Q53" i="6"/>
  <c r="P47" i="6"/>
  <c r="W41" i="6"/>
  <c r="V41" i="6"/>
  <c r="S26" i="6"/>
  <c r="V27" i="6"/>
  <c r="W12" i="6"/>
  <c r="V12" i="6"/>
  <c r="S8" i="6"/>
  <c r="K91" i="6"/>
  <c r="J91" i="6"/>
  <c r="P92" i="6"/>
  <c r="M91" i="6"/>
  <c r="P73" i="6"/>
  <c r="Q73" i="6"/>
  <c r="K38" i="6"/>
  <c r="P82" i="6"/>
  <c r="Q82" i="6"/>
  <c r="J73" i="6"/>
  <c r="K73" i="6"/>
  <c r="P87" i="6"/>
  <c r="Q87" i="6"/>
  <c r="H117" i="6"/>
  <c r="V36" i="6"/>
  <c r="Q111" i="6"/>
  <c r="P96" i="6"/>
  <c r="Q96" i="6"/>
  <c r="Q92" i="6"/>
  <c r="K68" i="6"/>
  <c r="S82" i="6"/>
  <c r="Y82" i="6" s="1"/>
  <c r="V83" i="6"/>
  <c r="W63" i="6"/>
  <c r="K47" i="6"/>
  <c r="J47" i="6"/>
  <c r="Q8" i="6"/>
  <c r="L117" i="6"/>
  <c r="W67" i="6"/>
  <c r="V67" i="6"/>
  <c r="W83" i="6"/>
  <c r="K67" i="6"/>
  <c r="J67" i="6"/>
  <c r="K53" i="6"/>
  <c r="J53" i="6"/>
  <c r="W53" i="6"/>
  <c r="V53" i="6"/>
  <c r="K48" i="6"/>
  <c r="V18" i="6"/>
  <c r="Q105" i="6"/>
  <c r="P105" i="6"/>
  <c r="S18" i="6"/>
  <c r="Y18" i="6" s="1"/>
  <c r="S47" i="6"/>
  <c r="X41" i="6"/>
  <c r="P41" i="6"/>
  <c r="P11" i="6"/>
  <c r="V31" i="7"/>
  <c r="U31" i="7"/>
  <c r="H31" i="7"/>
  <c r="I31" i="7"/>
  <c r="J31" i="7"/>
  <c r="K31" i="7"/>
  <c r="E31" i="7"/>
  <c r="D31" i="7"/>
  <c r="C31" i="7"/>
  <c r="B31" i="7"/>
  <c r="T30" i="7"/>
  <c r="S30" i="7"/>
  <c r="R30" i="7"/>
  <c r="Q30" i="7"/>
  <c r="N30" i="7"/>
  <c r="M30" i="7"/>
  <c r="L30" i="7"/>
  <c r="T29" i="7"/>
  <c r="S29" i="7"/>
  <c r="R29" i="7"/>
  <c r="Q29" i="7"/>
  <c r="L29" i="7"/>
  <c r="F29" i="7"/>
  <c r="N28" i="7"/>
  <c r="L28" i="7"/>
  <c r="F28" i="7"/>
  <c r="L27" i="7"/>
  <c r="T25" i="7"/>
  <c r="S25" i="7"/>
  <c r="R25" i="7"/>
  <c r="Q25" i="7"/>
  <c r="N25" i="7"/>
  <c r="M25" i="7"/>
  <c r="L25" i="7"/>
  <c r="F25" i="7"/>
  <c r="T24" i="7"/>
  <c r="S24" i="7"/>
  <c r="R24" i="7"/>
  <c r="Q24" i="7"/>
  <c r="N24" i="7"/>
  <c r="M24" i="7"/>
  <c r="L24" i="7"/>
  <c r="T23" i="7"/>
  <c r="S23" i="7"/>
  <c r="R23" i="7"/>
  <c r="Q23" i="7"/>
  <c r="N23" i="7"/>
  <c r="M23" i="7"/>
  <c r="L23" i="7"/>
  <c r="L22" i="7"/>
  <c r="T21" i="7"/>
  <c r="S21" i="7"/>
  <c r="R21" i="7"/>
  <c r="Q21" i="7"/>
  <c r="F21" i="7"/>
  <c r="T20" i="7"/>
  <c r="S20" i="7"/>
  <c r="R20" i="7"/>
  <c r="Q20" i="7"/>
  <c r="P20" i="7"/>
  <c r="O20" i="7"/>
  <c r="N20" i="7"/>
  <c r="M20" i="7"/>
  <c r="L20" i="7"/>
  <c r="F20" i="7"/>
  <c r="M19" i="7"/>
  <c r="L19" i="7"/>
  <c r="T18" i="7"/>
  <c r="S18" i="7"/>
  <c r="R18" i="7"/>
  <c r="Q18" i="7"/>
  <c r="F18" i="7"/>
  <c r="T17" i="7"/>
  <c r="S17" i="7"/>
  <c r="R17" i="7"/>
  <c r="Q17" i="7"/>
  <c r="M17" i="7"/>
  <c r="L17" i="7"/>
  <c r="T16" i="7"/>
  <c r="S16" i="7"/>
  <c r="R16" i="7"/>
  <c r="Q16" i="7"/>
  <c r="M16" i="7"/>
  <c r="L16" i="7"/>
  <c r="T15" i="7"/>
  <c r="S15" i="7"/>
  <c r="R15" i="7"/>
  <c r="Q15" i="7"/>
  <c r="P15" i="7"/>
  <c r="O15" i="7"/>
  <c r="O31" i="7" s="1"/>
  <c r="N15" i="7"/>
  <c r="M15" i="7"/>
  <c r="L15" i="7"/>
  <c r="F15" i="7"/>
  <c r="T14" i="7"/>
  <c r="S14" i="7"/>
  <c r="R14" i="7"/>
  <c r="Q14" i="7"/>
  <c r="P14" i="7"/>
  <c r="N14" i="7"/>
  <c r="F14" i="7"/>
  <c r="T13" i="7"/>
  <c r="S13" i="7"/>
  <c r="R13" i="7"/>
  <c r="Q13" i="7"/>
  <c r="P13" i="7"/>
  <c r="M13" i="7"/>
  <c r="L13" i="7"/>
  <c r="F13" i="7"/>
  <c r="T12" i="7"/>
  <c r="S12" i="7"/>
  <c r="R12" i="7"/>
  <c r="Q12" i="7"/>
  <c r="F12" i="7"/>
  <c r="T11" i="7"/>
  <c r="S11" i="7"/>
  <c r="S31" i="7" s="1"/>
  <c r="R11" i="7"/>
  <c r="Q11" i="7"/>
  <c r="P11" i="7"/>
  <c r="N11" i="7"/>
  <c r="M11" i="7"/>
  <c r="L11" i="7"/>
  <c r="F11" i="7"/>
  <c r="T10" i="7"/>
  <c r="S10" i="7"/>
  <c r="R10" i="7"/>
  <c r="Q10" i="7"/>
  <c r="Q31" i="7" s="1"/>
  <c r="N10" i="7"/>
  <c r="N31" i="7" s="1"/>
  <c r="M10" i="7"/>
  <c r="L10" i="7"/>
  <c r="F10" i="7"/>
  <c r="M9" i="7"/>
  <c r="L9" i="7"/>
  <c r="T8" i="7"/>
  <c r="T31" i="7" s="1"/>
  <c r="S8" i="7"/>
  <c r="R8" i="7"/>
  <c r="R31" i="7" s="1"/>
  <c r="Q8" i="7"/>
  <c r="N8" i="7"/>
  <c r="M8" i="7"/>
  <c r="M31" i="7" s="1"/>
  <c r="L8" i="7"/>
  <c r="L31" i="7" s="1"/>
  <c r="K8" i="7"/>
  <c r="J8" i="7"/>
  <c r="F31" i="7" l="1"/>
  <c r="P31" i="7"/>
  <c r="J117" i="6"/>
  <c r="Y47" i="6"/>
  <c r="V47" i="6"/>
  <c r="W47" i="6"/>
  <c r="L119" i="6"/>
  <c r="X91" i="6"/>
  <c r="P91" i="6"/>
  <c r="Q91" i="6"/>
  <c r="S117" i="6"/>
  <c r="W117" i="6" s="1"/>
  <c r="Y8" i="6"/>
  <c r="Y117" i="6" s="1"/>
  <c r="Y119" i="6" s="1"/>
  <c r="V8" i="6"/>
  <c r="W8" i="6"/>
  <c r="Y26" i="6"/>
  <c r="W26" i="6"/>
  <c r="V26" i="6"/>
  <c r="M117" i="6"/>
  <c r="Q117" i="6" s="1"/>
  <c r="X8" i="6"/>
  <c r="Q110" i="6"/>
  <c r="K117" i="6"/>
  <c r="W18" i="6"/>
  <c r="P8" i="6"/>
  <c r="P110" i="6"/>
  <c r="T119" i="6"/>
  <c r="T120" i="6" s="1"/>
  <c r="T121" i="6" s="1"/>
  <c r="T122" i="6" s="1"/>
  <c r="T123" i="6" s="1"/>
  <c r="T124" i="6" s="1"/>
  <c r="T125" i="6" s="1"/>
  <c r="W82" i="6"/>
  <c r="X38" i="4"/>
  <c r="X37" i="4" s="1"/>
  <c r="T38" i="4"/>
  <c r="T37" i="4" s="1"/>
  <c r="P38" i="4"/>
  <c r="P37" i="4" s="1"/>
  <c r="L38" i="4"/>
  <c r="L37" i="4" s="1"/>
  <c r="K38" i="4"/>
  <c r="J38" i="4"/>
  <c r="I38" i="4"/>
  <c r="H38" i="4" s="1"/>
  <c r="H37" i="4" s="1"/>
  <c r="D38" i="4"/>
  <c r="AA37" i="4"/>
  <c r="Z37" i="4"/>
  <c r="Y37" i="4"/>
  <c r="W37" i="4"/>
  <c r="V37" i="4"/>
  <c r="U37" i="4"/>
  <c r="S37" i="4"/>
  <c r="R37" i="4"/>
  <c r="Q37" i="4"/>
  <c r="O37" i="4"/>
  <c r="N37" i="4"/>
  <c r="M37" i="4"/>
  <c r="K37" i="4"/>
  <c r="J37" i="4"/>
  <c r="G37" i="4"/>
  <c r="F37" i="4"/>
  <c r="E37" i="4"/>
  <c r="D37" i="4" s="1"/>
  <c r="X36" i="4"/>
  <c r="X35" i="4" s="1"/>
  <c r="T36" i="4"/>
  <c r="T35" i="4" s="1"/>
  <c r="S36" i="4"/>
  <c r="S35" i="4" s="1"/>
  <c r="R36" i="4"/>
  <c r="R35" i="4" s="1"/>
  <c r="Q36" i="4"/>
  <c r="Q35" i="4" s="1"/>
  <c r="L36" i="4"/>
  <c r="K36" i="4"/>
  <c r="J36" i="4"/>
  <c r="J35" i="4" s="1"/>
  <c r="I36" i="4"/>
  <c r="D36" i="4"/>
  <c r="AA35" i="4"/>
  <c r="Z35" i="4"/>
  <c r="Y35" i="4"/>
  <c r="W35" i="4"/>
  <c r="V35" i="4"/>
  <c r="U35" i="4"/>
  <c r="O35" i="4"/>
  <c r="N35" i="4"/>
  <c r="M35" i="4"/>
  <c r="L35" i="4"/>
  <c r="K35" i="4"/>
  <c r="G35" i="4"/>
  <c r="F35" i="4"/>
  <c r="E35" i="4"/>
  <c r="D35" i="4"/>
  <c r="X34" i="4"/>
  <c r="X33" i="4" s="1"/>
  <c r="T34" i="4"/>
  <c r="T33" i="4" s="1"/>
  <c r="S34" i="4"/>
  <c r="S33" i="4" s="1"/>
  <c r="R34" i="4"/>
  <c r="Q34" i="4"/>
  <c r="Q33" i="4" s="1"/>
  <c r="L34" i="4"/>
  <c r="L33" i="4" s="1"/>
  <c r="K34" i="4"/>
  <c r="K33" i="4" s="1"/>
  <c r="J34" i="4"/>
  <c r="I34" i="4"/>
  <c r="D34" i="4"/>
  <c r="AA33" i="4"/>
  <c r="Z33" i="4"/>
  <c r="Y33" i="4"/>
  <c r="W33" i="4"/>
  <c r="V33" i="4"/>
  <c r="U33" i="4"/>
  <c r="O33" i="4"/>
  <c r="N33" i="4"/>
  <c r="M33" i="4"/>
  <c r="J33" i="4"/>
  <c r="G33" i="4"/>
  <c r="F33" i="4"/>
  <c r="E33" i="4"/>
  <c r="X32" i="4"/>
  <c r="X31" i="4" s="1"/>
  <c r="T32" i="4"/>
  <c r="T31" i="4" s="1"/>
  <c r="S32" i="4"/>
  <c r="S31" i="4" s="1"/>
  <c r="R32" i="4"/>
  <c r="Q32" i="4"/>
  <c r="Q31" i="4" s="1"/>
  <c r="L32" i="4"/>
  <c r="L31" i="4" s="1"/>
  <c r="K32" i="4"/>
  <c r="J32" i="4"/>
  <c r="I32" i="4"/>
  <c r="D32" i="4"/>
  <c r="AA31" i="4"/>
  <c r="Z31" i="4"/>
  <c r="Y31" i="4"/>
  <c r="W31" i="4"/>
  <c r="V31" i="4"/>
  <c r="U31" i="4"/>
  <c r="O31" i="4"/>
  <c r="N31" i="4"/>
  <c r="M31" i="4"/>
  <c r="K31" i="4"/>
  <c r="J31" i="4"/>
  <c r="G31" i="4"/>
  <c r="F31" i="4"/>
  <c r="E31" i="4"/>
  <c r="D31" i="4" s="1"/>
  <c r="X30" i="4"/>
  <c r="X28" i="4" s="1"/>
  <c r="T30" i="4"/>
  <c r="S30" i="4"/>
  <c r="R30" i="4"/>
  <c r="Q30" i="4"/>
  <c r="Q28" i="4" s="1"/>
  <c r="L30" i="4"/>
  <c r="K30" i="4"/>
  <c r="K28" i="4" s="1"/>
  <c r="J30" i="4"/>
  <c r="J28" i="4" s="1"/>
  <c r="I30" i="4"/>
  <c r="I28" i="4" s="1"/>
  <c r="D30" i="4"/>
  <c r="X29" i="4"/>
  <c r="T29" i="4"/>
  <c r="R29" i="4"/>
  <c r="P29" i="4" s="1"/>
  <c r="L29" i="4"/>
  <c r="AA28" i="4"/>
  <c r="Z28" i="4"/>
  <c r="Y28" i="4"/>
  <c r="W28" i="4"/>
  <c r="V28" i="4"/>
  <c r="U28" i="4"/>
  <c r="S28" i="4"/>
  <c r="O28" i="4"/>
  <c r="N28" i="4"/>
  <c r="M28" i="4"/>
  <c r="G28" i="4"/>
  <c r="F28" i="4"/>
  <c r="E28" i="4"/>
  <c r="X27" i="4"/>
  <c r="X26" i="4" s="1"/>
  <c r="T27" i="4"/>
  <c r="T26" i="4" s="1"/>
  <c r="S27" i="4"/>
  <c r="S26" i="4" s="1"/>
  <c r="R27" i="4"/>
  <c r="R26" i="4" s="1"/>
  <c r="Q27" i="4"/>
  <c r="Q26" i="4" s="1"/>
  <c r="L27" i="4"/>
  <c r="K27" i="4"/>
  <c r="K26" i="4" s="1"/>
  <c r="J27" i="4"/>
  <c r="I27" i="4"/>
  <c r="I26" i="4" s="1"/>
  <c r="D27" i="4"/>
  <c r="AA26" i="4"/>
  <c r="Z26" i="4"/>
  <c r="Y26" i="4"/>
  <c r="W26" i="4"/>
  <c r="V26" i="4"/>
  <c r="U26" i="4"/>
  <c r="O26" i="4"/>
  <c r="N26" i="4"/>
  <c r="M26" i="4"/>
  <c r="L26" i="4"/>
  <c r="G26" i="4"/>
  <c r="F26" i="4"/>
  <c r="E26" i="4"/>
  <c r="X25" i="4"/>
  <c r="T25" i="4"/>
  <c r="S25" i="4"/>
  <c r="R25" i="4"/>
  <c r="Q25" i="4"/>
  <c r="L25" i="4"/>
  <c r="K25" i="4"/>
  <c r="J25" i="4"/>
  <c r="H25" i="4" s="1"/>
  <c r="I25" i="4"/>
  <c r="D25" i="4"/>
  <c r="X24" i="4"/>
  <c r="T24" i="4"/>
  <c r="S24" i="4"/>
  <c r="R24" i="4"/>
  <c r="Q24" i="4"/>
  <c r="P24" i="4" s="1"/>
  <c r="L24" i="4"/>
  <c r="J24" i="4"/>
  <c r="I24" i="4"/>
  <c r="H24" i="4" s="1"/>
  <c r="D24" i="4"/>
  <c r="X23" i="4"/>
  <c r="T23" i="4"/>
  <c r="S23" i="4"/>
  <c r="R23" i="4"/>
  <c r="Q23" i="4"/>
  <c r="P23" i="4" s="1"/>
  <c r="L23" i="4"/>
  <c r="K23" i="4"/>
  <c r="J23" i="4"/>
  <c r="I23" i="4"/>
  <c r="D23" i="4"/>
  <c r="X22" i="4"/>
  <c r="T22" i="4"/>
  <c r="S22" i="4"/>
  <c r="P22" i="4" s="1"/>
  <c r="R22" i="4"/>
  <c r="Q22" i="4"/>
  <c r="L22" i="4"/>
  <c r="K22" i="4"/>
  <c r="J22" i="4"/>
  <c r="I22" i="4"/>
  <c r="H22" i="4" s="1"/>
  <c r="D22" i="4"/>
  <c r="X21" i="4"/>
  <c r="T21" i="4"/>
  <c r="S21" i="4"/>
  <c r="R21" i="4"/>
  <c r="Q21" i="4"/>
  <c r="L21" i="4"/>
  <c r="K21" i="4"/>
  <c r="K19" i="4" s="1"/>
  <c r="J21" i="4"/>
  <c r="J19" i="4" s="1"/>
  <c r="I21" i="4"/>
  <c r="D21" i="4"/>
  <c r="X20" i="4"/>
  <c r="T20" i="4"/>
  <c r="S20" i="4"/>
  <c r="R20" i="4"/>
  <c r="Q20" i="4"/>
  <c r="L20" i="4"/>
  <c r="K20" i="4"/>
  <c r="J20" i="4"/>
  <c r="I20" i="4"/>
  <c r="D20" i="4"/>
  <c r="AA19" i="4"/>
  <c r="Z19" i="4"/>
  <c r="Y19" i="4"/>
  <c r="W19" i="4"/>
  <c r="V19" i="4"/>
  <c r="U19" i="4"/>
  <c r="O19" i="4"/>
  <c r="N19" i="4"/>
  <c r="M19" i="4"/>
  <c r="G19" i="4"/>
  <c r="F19" i="4"/>
  <c r="E19" i="4"/>
  <c r="X18" i="4"/>
  <c r="X17" i="4" s="1"/>
  <c r="T18" i="4"/>
  <c r="T17" i="4" s="1"/>
  <c r="S18" i="4"/>
  <c r="S17" i="4" s="1"/>
  <c r="R18" i="4"/>
  <c r="Q18" i="4"/>
  <c r="Q17" i="4" s="1"/>
  <c r="L18" i="4"/>
  <c r="L17" i="4" s="1"/>
  <c r="K18" i="4"/>
  <c r="K17" i="4" s="1"/>
  <c r="J18" i="4"/>
  <c r="I18" i="4"/>
  <c r="D18" i="4"/>
  <c r="AA17" i="4"/>
  <c r="Z17" i="4"/>
  <c r="Y17" i="4"/>
  <c r="W17" i="4"/>
  <c r="V17" i="4"/>
  <c r="U17" i="4"/>
  <c r="O17" i="4"/>
  <c r="N17" i="4"/>
  <c r="M17" i="4"/>
  <c r="J17" i="4"/>
  <c r="G17" i="4"/>
  <c r="F17" i="4"/>
  <c r="E17" i="4"/>
  <c r="X16" i="4"/>
  <c r="T16" i="4"/>
  <c r="S16" i="4"/>
  <c r="R16" i="4"/>
  <c r="Q16" i="4"/>
  <c r="L16" i="4"/>
  <c r="K16" i="4"/>
  <c r="J16" i="4"/>
  <c r="I16" i="4"/>
  <c r="D16" i="4"/>
  <c r="X15" i="4"/>
  <c r="T15" i="4"/>
  <c r="S15" i="4"/>
  <c r="R15" i="4"/>
  <c r="Q15" i="4"/>
  <c r="L15" i="4"/>
  <c r="K15" i="4"/>
  <c r="J15" i="4"/>
  <c r="I15" i="4"/>
  <c r="D15" i="4"/>
  <c r="X14" i="4"/>
  <c r="T14" i="4"/>
  <c r="S14" i="4"/>
  <c r="R14" i="4"/>
  <c r="Q14" i="4"/>
  <c r="P14" i="4"/>
  <c r="L14" i="4"/>
  <c r="K14" i="4"/>
  <c r="J14" i="4"/>
  <c r="I14" i="4"/>
  <c r="H14" i="4" s="1"/>
  <c r="D14" i="4"/>
  <c r="X13" i="4"/>
  <c r="T13" i="4"/>
  <c r="S13" i="4"/>
  <c r="P13" i="4" s="1"/>
  <c r="R13" i="4"/>
  <c r="Q13" i="4"/>
  <c r="L13" i="4"/>
  <c r="J13" i="4"/>
  <c r="H13" i="4" s="1"/>
  <c r="I13" i="4"/>
  <c r="D13" i="4"/>
  <c r="X12" i="4"/>
  <c r="T12" i="4"/>
  <c r="S12" i="4"/>
  <c r="R12" i="4"/>
  <c r="R9" i="4" s="1"/>
  <c r="Q12" i="4"/>
  <c r="L12" i="4"/>
  <c r="K12" i="4"/>
  <c r="J12" i="4"/>
  <c r="I12" i="4"/>
  <c r="D12" i="4"/>
  <c r="X11" i="4"/>
  <c r="T11" i="4"/>
  <c r="S11" i="4"/>
  <c r="R11" i="4"/>
  <c r="Q11" i="4"/>
  <c r="L11" i="4"/>
  <c r="K11" i="4"/>
  <c r="K9" i="4" s="1"/>
  <c r="J11" i="4"/>
  <c r="I11" i="4"/>
  <c r="D11" i="4"/>
  <c r="X10" i="4"/>
  <c r="T10" i="4"/>
  <c r="Q10" i="4"/>
  <c r="P10" i="4" s="1"/>
  <c r="L10" i="4"/>
  <c r="I10" i="4"/>
  <c r="H10" i="4" s="1"/>
  <c r="D10" i="4"/>
  <c r="AA9" i="4"/>
  <c r="Z9" i="4"/>
  <c r="Y9" i="4"/>
  <c r="W9" i="4"/>
  <c r="V9" i="4"/>
  <c r="U9" i="4"/>
  <c r="O9" i="4"/>
  <c r="N9" i="4"/>
  <c r="M9" i="4"/>
  <c r="M39" i="4" s="1"/>
  <c r="G9" i="4"/>
  <c r="F9" i="4"/>
  <c r="E9" i="4"/>
  <c r="V117" i="6" l="1"/>
  <c r="P117" i="6"/>
  <c r="X117" i="6"/>
  <c r="X119" i="6" s="1"/>
  <c r="K39" i="4"/>
  <c r="H12" i="4"/>
  <c r="P21" i="4"/>
  <c r="P19" i="4" s="1"/>
  <c r="R28" i="4"/>
  <c r="H11" i="4"/>
  <c r="Q9" i="4"/>
  <c r="P16" i="4"/>
  <c r="P20" i="4"/>
  <c r="L19" i="4"/>
  <c r="P32" i="4"/>
  <c r="P31" i="4" s="1"/>
  <c r="D33" i="4"/>
  <c r="G39" i="4"/>
  <c r="Y39" i="4"/>
  <c r="T9" i="4"/>
  <c r="J9" i="4"/>
  <c r="P15" i="4"/>
  <c r="P18" i="4"/>
  <c r="P17" i="4" s="1"/>
  <c r="D19" i="4"/>
  <c r="S19" i="4"/>
  <c r="H21" i="4"/>
  <c r="L28" i="4"/>
  <c r="T28" i="4"/>
  <c r="P34" i="4"/>
  <c r="P33" i="4" s="1"/>
  <c r="I9" i="4"/>
  <c r="N39" i="4"/>
  <c r="U39" i="4"/>
  <c r="Z39" i="4"/>
  <c r="P12" i="4"/>
  <c r="D17" i="4"/>
  <c r="R17" i="4"/>
  <c r="R19" i="4"/>
  <c r="D28" i="4"/>
  <c r="R31" i="4"/>
  <c r="R33" i="4"/>
  <c r="E39" i="4"/>
  <c r="O39" i="4"/>
  <c r="V39" i="4"/>
  <c r="AA39" i="4"/>
  <c r="S9" i="4"/>
  <c r="S39" i="4" s="1"/>
  <c r="X9" i="4"/>
  <c r="H16" i="4"/>
  <c r="H18" i="4"/>
  <c r="H17" i="4" s="1"/>
  <c r="H20" i="4"/>
  <c r="H19" i="4" s="1"/>
  <c r="T19" i="4"/>
  <c r="D26" i="4"/>
  <c r="P30" i="4"/>
  <c r="P28" i="4" s="1"/>
  <c r="H32" i="4"/>
  <c r="H31" i="4" s="1"/>
  <c r="H34" i="4"/>
  <c r="H33" i="4" s="1"/>
  <c r="F39" i="4"/>
  <c r="W39" i="4"/>
  <c r="L9" i="4"/>
  <c r="L39" i="4" s="1"/>
  <c r="H15" i="4"/>
  <c r="Q19" i="4"/>
  <c r="X19" i="4"/>
  <c r="H23" i="4"/>
  <c r="P25" i="4"/>
  <c r="H27" i="4"/>
  <c r="H36" i="4"/>
  <c r="H35" i="4" s="1"/>
  <c r="P36" i="4"/>
  <c r="P35" i="4" s="1"/>
  <c r="T39" i="4"/>
  <c r="P11" i="4"/>
  <c r="P9" i="4" s="1"/>
  <c r="D9" i="4"/>
  <c r="I17" i="4"/>
  <c r="I19" i="4"/>
  <c r="J26" i="4"/>
  <c r="H26" i="4" s="1"/>
  <c r="P27" i="4"/>
  <c r="P26" i="4" s="1"/>
  <c r="H30" i="4"/>
  <c r="H28" i="4" s="1"/>
  <c r="I31" i="4"/>
  <c r="I33" i="4"/>
  <c r="I35" i="4"/>
  <c r="I37" i="4"/>
  <c r="G28" i="5"/>
  <c r="G26" i="5"/>
  <c r="D26" i="5"/>
  <c r="H28" i="5"/>
  <c r="D28" i="5"/>
  <c r="C28" i="5"/>
  <c r="C29" i="5" s="1"/>
  <c r="C27" i="5"/>
  <c r="C26" i="5"/>
  <c r="D24" i="5"/>
  <c r="C24" i="5"/>
  <c r="L23" i="5"/>
  <c r="L22" i="5"/>
  <c r="M22" i="5" s="1"/>
  <c r="J22" i="5"/>
  <c r="K22" i="5" s="1"/>
  <c r="H22" i="5"/>
  <c r="I22" i="5" s="1"/>
  <c r="F22" i="5"/>
  <c r="G22" i="5" s="1"/>
  <c r="E22" i="5"/>
  <c r="M21" i="5"/>
  <c r="J21" i="5"/>
  <c r="K21" i="5" s="1"/>
  <c r="I21" i="5"/>
  <c r="H21" i="5"/>
  <c r="F21" i="5"/>
  <c r="G21" i="5" s="1"/>
  <c r="E21" i="5"/>
  <c r="L21" i="5" s="1"/>
  <c r="J20" i="5"/>
  <c r="K20" i="5" s="1"/>
  <c r="H20" i="5"/>
  <c r="F20" i="5"/>
  <c r="E20" i="5"/>
  <c r="L19" i="5"/>
  <c r="M19" i="5" s="1"/>
  <c r="K19" i="5"/>
  <c r="J19" i="5"/>
  <c r="H19" i="5"/>
  <c r="I19" i="5" s="1"/>
  <c r="G19" i="5"/>
  <c r="F19" i="5"/>
  <c r="E19" i="5"/>
  <c r="M18" i="5"/>
  <c r="N18" i="5" s="1"/>
  <c r="J18" i="5"/>
  <c r="H18" i="5"/>
  <c r="F18" i="5"/>
  <c r="G18" i="5" s="1"/>
  <c r="E18" i="5"/>
  <c r="J17" i="5"/>
  <c r="K17" i="5" s="1"/>
  <c r="I17" i="5"/>
  <c r="H17" i="5"/>
  <c r="F17" i="5"/>
  <c r="E17" i="5"/>
  <c r="J16" i="5"/>
  <c r="H16" i="5"/>
  <c r="F16" i="5"/>
  <c r="E16" i="5"/>
  <c r="L15" i="5"/>
  <c r="M15" i="5" s="1"/>
  <c r="K15" i="5"/>
  <c r="J15" i="5"/>
  <c r="H15" i="5"/>
  <c r="I15" i="5" s="1"/>
  <c r="G15" i="5"/>
  <c r="F15" i="5"/>
  <c r="E15" i="5"/>
  <c r="L14" i="5"/>
  <c r="M14" i="5" s="1"/>
  <c r="J14" i="5"/>
  <c r="K14" i="5" s="1"/>
  <c r="H14" i="5"/>
  <c r="I14" i="5" s="1"/>
  <c r="F14" i="5"/>
  <c r="G14" i="5" s="1"/>
  <c r="E14" i="5"/>
  <c r="J13" i="5"/>
  <c r="K13" i="5" s="1"/>
  <c r="I13" i="5"/>
  <c r="H13" i="5"/>
  <c r="F13" i="5"/>
  <c r="G13" i="5" s="1"/>
  <c r="E13" i="5"/>
  <c r="J12" i="5"/>
  <c r="H12" i="5"/>
  <c r="F12" i="5"/>
  <c r="E12" i="5"/>
  <c r="L11" i="5"/>
  <c r="M11" i="5" s="1"/>
  <c r="K11" i="5"/>
  <c r="J11" i="5"/>
  <c r="H11" i="5"/>
  <c r="I11" i="5" s="1"/>
  <c r="G11" i="5"/>
  <c r="F11" i="5"/>
  <c r="E11" i="5"/>
  <c r="L10" i="5"/>
  <c r="M10" i="5" s="1"/>
  <c r="J10" i="5"/>
  <c r="H10" i="5"/>
  <c r="I10" i="5" s="1"/>
  <c r="F10" i="5"/>
  <c r="G10" i="5" s="1"/>
  <c r="E10" i="5"/>
  <c r="J9" i="5"/>
  <c r="I9" i="5"/>
  <c r="H9" i="5"/>
  <c r="F9" i="5"/>
  <c r="E9" i="5"/>
  <c r="P39" i="4" l="1"/>
  <c r="R39" i="4"/>
  <c r="Q39" i="4"/>
  <c r="H9" i="4"/>
  <c r="I39" i="4"/>
  <c r="J39" i="4"/>
  <c r="X39" i="4"/>
  <c r="D39" i="4"/>
  <c r="H39" i="4"/>
  <c r="F28" i="5"/>
  <c r="L12" i="5"/>
  <c r="M12" i="5" s="1"/>
  <c r="G12" i="5"/>
  <c r="J26" i="5"/>
  <c r="K16" i="5"/>
  <c r="L20" i="5"/>
  <c r="M20" i="5" s="1"/>
  <c r="G20" i="5"/>
  <c r="L9" i="5"/>
  <c r="E24" i="5"/>
  <c r="J24" i="5"/>
  <c r="K24" i="5" s="1"/>
  <c r="I12" i="5"/>
  <c r="L17" i="5"/>
  <c r="M17" i="5" s="1"/>
  <c r="E26" i="5"/>
  <c r="E27" i="5" s="1"/>
  <c r="I18" i="5"/>
  <c r="H26" i="5"/>
  <c r="I20" i="5"/>
  <c r="H24" i="5"/>
  <c r="F24" i="5"/>
  <c r="G24" i="5" s="1"/>
  <c r="K10" i="5"/>
  <c r="J28" i="5"/>
  <c r="K12" i="5"/>
  <c r="F26" i="5"/>
  <c r="L16" i="5"/>
  <c r="M16" i="5" s="1"/>
  <c r="G16" i="5"/>
  <c r="G17" i="5"/>
  <c r="K18" i="5"/>
  <c r="D29" i="5"/>
  <c r="L13" i="5"/>
  <c r="M13" i="5" s="1"/>
  <c r="E28" i="5"/>
  <c r="E29" i="5" s="1"/>
  <c r="I16" i="5"/>
  <c r="D27" i="5"/>
  <c r="H29" i="5"/>
  <c r="G9" i="5"/>
  <c r="K9" i="5"/>
  <c r="I28" i="5"/>
  <c r="S46" i="1"/>
  <c r="R46" i="1"/>
  <c r="Q46" i="1"/>
  <c r="S41" i="1"/>
  <c r="R41" i="1"/>
  <c r="Q41" i="1"/>
  <c r="O41" i="1"/>
  <c r="N41" i="1"/>
  <c r="N42" i="1" s="1"/>
  <c r="L41" i="1"/>
  <c r="I41" i="1"/>
  <c r="H41" i="1"/>
  <c r="F41" i="1"/>
  <c r="F42" i="1" s="1"/>
  <c r="E41" i="1"/>
  <c r="D41" i="1"/>
  <c r="C41" i="1"/>
  <c r="S40" i="1"/>
  <c r="S42" i="1" s="1"/>
  <c r="R40" i="1"/>
  <c r="R42" i="1" s="1"/>
  <c r="Q40" i="1"/>
  <c r="Q42" i="1" s="1"/>
  <c r="P40" i="1"/>
  <c r="O40" i="1"/>
  <c r="O42" i="1" s="1"/>
  <c r="N40" i="1"/>
  <c r="M40" i="1"/>
  <c r="L40" i="1"/>
  <c r="L42" i="1" s="1"/>
  <c r="K40" i="1"/>
  <c r="J40" i="1"/>
  <c r="I40" i="1"/>
  <c r="H40" i="1"/>
  <c r="G40" i="1"/>
  <c r="F40" i="1"/>
  <c r="E40" i="1"/>
  <c r="D40" i="1"/>
  <c r="C40" i="1"/>
  <c r="C42" i="1" s="1"/>
  <c r="B40" i="1"/>
  <c r="S33" i="1"/>
  <c r="R33" i="1"/>
  <c r="Q33" i="1"/>
  <c r="Q34" i="1" s="1"/>
  <c r="P33" i="1"/>
  <c r="O33" i="1"/>
  <c r="N33" i="1"/>
  <c r="M33" i="1"/>
  <c r="M34" i="1" s="1"/>
  <c r="L33" i="1"/>
  <c r="K33" i="1"/>
  <c r="J33" i="1"/>
  <c r="J34" i="1" s="1"/>
  <c r="I33" i="1"/>
  <c r="H33" i="1"/>
  <c r="G33" i="1"/>
  <c r="F33" i="1"/>
  <c r="E33" i="1"/>
  <c r="D33" i="1"/>
  <c r="C33" i="1"/>
  <c r="B33" i="1"/>
  <c r="S32" i="1"/>
  <c r="S34" i="1" s="1"/>
  <c r="R32" i="1"/>
  <c r="Q32" i="1"/>
  <c r="P32" i="1"/>
  <c r="P34" i="1" s="1"/>
  <c r="O32" i="1"/>
  <c r="O34" i="1" s="1"/>
  <c r="N32" i="1"/>
  <c r="M32" i="1"/>
  <c r="L32" i="1"/>
  <c r="L34" i="1" s="1"/>
  <c r="K32" i="1"/>
  <c r="K34" i="1" s="1"/>
  <c r="J32" i="1"/>
  <c r="I32" i="1"/>
  <c r="H32" i="1"/>
  <c r="G32" i="1"/>
  <c r="G34" i="1" s="1"/>
  <c r="E32" i="1"/>
  <c r="D32" i="1"/>
  <c r="B32" i="1"/>
  <c r="B34" i="1" s="1"/>
  <c r="J29" i="5" l="1"/>
  <c r="K28" i="5"/>
  <c r="L24" i="5"/>
  <c r="M9" i="5"/>
  <c r="M24" i="5" s="1"/>
  <c r="K26" i="5"/>
  <c r="J27" i="5"/>
  <c r="H27" i="5"/>
  <c r="I26" i="5"/>
  <c r="F27" i="5"/>
  <c r="I24" i="5"/>
  <c r="F29" i="5"/>
  <c r="N34" i="1"/>
  <c r="R34" i="1"/>
  <c r="L27" i="5" l="1"/>
  <c r="L28" i="5" s="1"/>
  <c r="L25" i="5"/>
  <c r="L26" i="5" s="1"/>
</calcChain>
</file>

<file path=xl/comments1.xml><?xml version="1.0" encoding="utf-8"?>
<comments xmlns="http://schemas.openxmlformats.org/spreadsheetml/2006/main">
  <authors>
    <author>Ирина Пономарёва</author>
    <author>Сметанина Людмила Витальевна</author>
  </authors>
  <commentList>
    <comment ref="C32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368*1000/1153,7=318,9 тыс.руб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67588,4*1000/143500=470,999</t>
        </r>
      </text>
    </comment>
    <comment ref="F33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318,958/470,999=0,677</t>
        </r>
      </text>
    </comment>
    <comment ref="R41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изменились данные по РФ (прислал Бачериков 22.10.13 в 15ч30мин</t>
        </r>
      </text>
    </comment>
    <comment ref="S41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изменились данные по РФ (прислал Бачериков 22.10.13 в 15ч30мин</t>
        </r>
      </text>
    </comment>
    <comment ref="Q46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расчет суммы с учетом индексов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V1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расхождение по программе соловков</t>
        </r>
      </text>
    </comment>
    <comment ref="V1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отсутствует финансирование в программе обеспечение общественного порядка в 2018 и 2019</t>
        </r>
      </text>
    </comment>
  </commentList>
</comments>
</file>

<file path=xl/sharedStrings.xml><?xml version="1.0" encoding="utf-8"?>
<sst xmlns="http://schemas.openxmlformats.org/spreadsheetml/2006/main" count="509" uniqueCount="420">
  <si>
    <t>Наименование</t>
  </si>
  <si>
    <t>Архангельская область</t>
  </si>
  <si>
    <t>Российская Федерация</t>
  </si>
  <si>
    <t>Индекс потребительских цен (декабрь к декабрю) (в %)</t>
  </si>
  <si>
    <t>Инвестиции в основной капитал  (в % к предыдущему году)</t>
  </si>
  <si>
    <t>Оборот розничной торговли  (в % к предыдущему году)</t>
  </si>
  <si>
    <t>Реальные располагаемые доходы населения (в % к предыдущему году)</t>
  </si>
  <si>
    <t>Общая численность  населения (среднегодовая), тыс.чел.</t>
  </si>
  <si>
    <t>Численность населения  с денежными доходами ниже прожиточного минимума к общей численности населения (в %)</t>
  </si>
  <si>
    <t>ВВП (ВРП) на душу населения (тыс.руб.)</t>
  </si>
  <si>
    <t>Отношение ВРП на душу населения по Архангельской области к ВВП на душу населения</t>
  </si>
  <si>
    <t>Инфляция (ИПЦ) дек./дек. предыдущего года</t>
  </si>
  <si>
    <t>млн.руб.</t>
  </si>
  <si>
    <t>%</t>
  </si>
  <si>
    <t>2018 год</t>
  </si>
  <si>
    <t>отчет 2014 год</t>
  </si>
  <si>
    <t>оценка 2015 года</t>
  </si>
  <si>
    <t>прогноз 2016 год</t>
  </si>
  <si>
    <t>прогноз 2017 год</t>
  </si>
  <si>
    <t>прогноз 2018 год</t>
  </si>
  <si>
    <t>А</t>
  </si>
  <si>
    <t>ВРП и ВВП (млрд.руб.)</t>
  </si>
  <si>
    <t>Темпы роста ВРП Архангельской области и ВВП Российской Федерации (в % к предыдущему году)</t>
  </si>
  <si>
    <t>Номинальная начисленная среднемесячная заработная плата на одного работника, рублей</t>
  </si>
  <si>
    <t>Отношение среднемесячной заработной платы по Архангельской области к среднемесячной заработной плате по Российской Федерации</t>
  </si>
  <si>
    <t>прогноз 2019 год</t>
  </si>
  <si>
    <t>оценка 2016 год</t>
  </si>
  <si>
    <t>2019 год</t>
  </si>
  <si>
    <t>Приложение 3.1</t>
  </si>
  <si>
    <t>Раздел</t>
  </si>
  <si>
    <t>Под-раз-дел</t>
  </si>
  <si>
    <t>Всего</t>
  </si>
  <si>
    <t>в т.ч.</t>
  </si>
  <si>
    <t>выплаты персона-лу</t>
  </si>
  <si>
    <t>закупки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</si>
  <si>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</si>
  <si>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</si>
  <si>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</si>
  <si>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</si>
  <si>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</si>
  <si>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</si>
  <si>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</si>
  <si>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</si>
  <si>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</si>
  <si>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</si>
  <si>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</si>
  <si>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</si>
  <si>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</si>
  <si>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</si>
  <si>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</si>
  <si>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</si>
  <si>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</si>
  <si>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</si>
  <si>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</si>
  <si>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</si>
  <si>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</si>
  <si>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Культура, кинематография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</si>
  <si>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</si>
  <si>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</si>
  <si>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</si>
  <si>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Средства массовой информации</t>
  </si>
  <si>
    <t>Другие вопросы в области средств массовой информации</t>
  </si>
  <si>
    <t>ИТОГО</t>
  </si>
  <si>
    <t>прочие расходы</t>
  </si>
  <si>
    <t xml:space="preserve">Наименование показателя </t>
  </si>
  <si>
    <t xml:space="preserve">Отчет 2015 года </t>
  </si>
  <si>
    <t>Оценка 2016 года</t>
  </si>
  <si>
    <t>Проект бюджета</t>
  </si>
  <si>
    <t>Национальная оборона</t>
  </si>
  <si>
    <t>Охрана окружающей среды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</si>
  <si>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</si>
  <si>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</si>
  <si>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</si>
  <si>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</si>
  <si>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Условно утвержденные расходы</t>
  </si>
  <si>
    <t>Итого</t>
  </si>
  <si>
    <t>х</t>
  </si>
  <si>
    <t>Из общей суммы расходов:</t>
  </si>
  <si>
    <t>- расходы на социальную сферу</t>
  </si>
  <si>
    <t>удельный вес в общей сумме расходов, %</t>
  </si>
  <si>
    <t>- расходы на национальную экономику и ЖКХ</t>
  </si>
  <si>
    <t>% к показателям 2018 года</t>
  </si>
  <si>
    <t>Проверка</t>
  </si>
  <si>
    <t>Целевая статья</t>
  </si>
  <si>
    <t>Отчет 2014 года</t>
  </si>
  <si>
    <t>Утверждено по программе на 2018 год (за счет средств областного бюджета)</t>
  </si>
  <si>
    <t>Недостаток (-), излишек (+) ассигнований на финансовое обеспечение мероприятий программ в 2018 году согласно Законопроекту</t>
  </si>
  <si>
    <t>Утверждено по программе на 2019 год (за счет средств областного бюджета)</t>
  </si>
  <si>
    <t>Недостаток (-), излишек (+) ассигнований на финансовое обеспечение мероприятий программ в 2019 году согласно Законопроекту</t>
  </si>
  <si>
    <t>Утверждено программой обл+федер. бюджет 2018 год</t>
  </si>
  <si>
    <t>Утверждено программой обл+федер. бюджет 2019 год</t>
  </si>
  <si>
    <t>сумма</t>
  </si>
  <si>
    <t>3=1-2</t>
  </si>
  <si>
    <t>4=1/2*100</t>
  </si>
  <si>
    <t>7=5-6</t>
  </si>
  <si>
    <t>8=5/6*100-100</t>
  </si>
  <si>
    <t>11=9-10</t>
  </si>
  <si>
    <t>12=9/10*100-100</t>
  </si>
  <si>
    <t>Государственная программа Архангельской области "Развитие здравоохранения Архангельской области (2013 – 2020 годы)"</t>
  </si>
  <si>
    <t>01 0 00 00000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</si>
  <si>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</si>
  <si>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01 1 00 00000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</si>
  <si>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</si>
  <si>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01 2 00 00000</t>
  </si>
  <si>
    <t>Подпрограмма "Охрана здоровья матери и ребенка"</t>
  </si>
  <si>
    <t>01 4 00 00000</t>
  </si>
  <si>
    <t>Подпрограмма "Развитие медицинской реабилитации и санаторно-курортного лечения, в том числе детей"</t>
  </si>
  <si>
    <t>01 5 00 00000</t>
  </si>
  <si>
    <t>Подпрограмма "Оказание паллиативной помощи, в том числе детям"</t>
  </si>
  <si>
    <t>01 6 00 00000</t>
  </si>
  <si>
    <t>Подпрограмма "Кадровое обеспечение системы здравоохранения"</t>
  </si>
  <si>
    <t>01 7 00 00000</t>
  </si>
  <si>
    <t>Подпрограмма "Совершенствование системы лекарственного обеспечения, в том числе в амбулаторных условиях"</t>
  </si>
  <si>
    <t>01 8 00 00000</t>
  </si>
  <si>
    <t>Подпрограмма "Совершенствование системы территориального планирования Архангельской области"</t>
  </si>
  <si>
    <t>01 Б 00 00000</t>
  </si>
  <si>
    <t>Государственная программа Архангельской области "Развитие образования и науки Архангельской области (2013 – 2020 годы)"</t>
  </si>
  <si>
    <t>02 0 00 00000</t>
  </si>
  <si>
    <t>Подпрограмма "Развитие дошкольного, общего и дополнительного образования детей"</t>
  </si>
  <si>
    <t>02 1 00 00000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</si>
  <si>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</si>
  <si>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02 2 00 00000</t>
  </si>
  <si>
    <t>Подпрограмма "Развитие среднего профессионального образования"</t>
  </si>
  <si>
    <t>02 3 00 00000</t>
  </si>
  <si>
    <t>Подпрограмма "Совершенствование системы предоставления услуг в сфере образования"</t>
  </si>
  <si>
    <t>02 4 00 00000</t>
  </si>
  <si>
    <t>Подпрограмма "Развитие научного потенциала Архангельской области"</t>
  </si>
  <si>
    <t>02 5 00 00000</t>
  </si>
  <si>
    <t>Подпрограмма "Наследие М.В. Ломоносова в социально-экономическом и социокультурном развитии Архангельской области"</t>
  </si>
  <si>
    <t>02 6 00 00000</t>
  </si>
  <si>
    <t>Подпрограмма "Строительство и капитальный ремонт объектов инфраструктуры системы образования в Архангельской области"</t>
  </si>
  <si>
    <t>02 7 00 00000</t>
  </si>
  <si>
    <t>Государственная программа Архангельской области "Социальная поддержка граждан в Архангельской области (2013 – 2020 годы)"</t>
  </si>
  <si>
    <t>03 0 00 00000</t>
  </si>
  <si>
    <t>Подпрограмма "Организация работы по социальному обслуживанию граждан и социальной защите населения в Архангельской области"</t>
  </si>
  <si>
    <t>03 1 00 00000</t>
  </si>
  <si>
    <t>Подпрограмма "Меры социальной поддержки отдельным категориям граждан, проживающим на территории Архангельской области"</t>
  </si>
  <si>
    <t>03 2 00 00000</t>
  </si>
  <si>
    <t>Подпрограмма "Развитие системы отдыха и оздоровления детей"</t>
  </si>
  <si>
    <t>03 4 00 00000</t>
  </si>
  <si>
    <t>Подпрограмма "Семья и дети в Архангельской области"</t>
  </si>
  <si>
    <t>03 5 00 00000</t>
  </si>
  <si>
    <t>Подпрограмма "Повышение качества жизни граждан пожилого возраста и инвалидов в Архангельской области"</t>
  </si>
  <si>
    <t>03 6 00 00000</t>
  </si>
  <si>
    <t>Подпрограмма "Приоритетные социально значимые мероприятия в сфере социальной политики Архангельской области"</t>
  </si>
  <si>
    <t>03 7 00 00000</t>
  </si>
  <si>
    <t>Подпрограмма "Доступная среда"</t>
  </si>
  <si>
    <t>03 8 00 00000</t>
  </si>
  <si>
    <t>Подпрограмма "Право быть равным"</t>
  </si>
  <si>
    <t>03 9 00 00000</t>
  </si>
  <si>
    <t>Государственная программа Архангельской области "Культура Русского Севера (2013 – 2020 годы)"</t>
  </si>
  <si>
    <t>04 0 00 00000</t>
  </si>
  <si>
    <t>Государственная программа развития сельского хозяйства и регулирования рынков сельскохозяйственной продукции, сырья и продовольствия Архангельской области на 2013 – 2020 годы</t>
  </si>
  <si>
    <t>05 0 00 00000</t>
  </si>
  <si>
    <t>Подпрограмма "Развитие агропромышленного комплекса Архангельской области на 2013 – 2020 годы"</t>
  </si>
  <si>
    <t>05 1 00 00000</t>
  </si>
  <si>
    <t>Подпрограмма "Развитие рыбохозяйственного комплекса Архангельской области"</t>
  </si>
  <si>
    <t>05 2 00 00000</t>
  </si>
  <si>
    <t>Подпрограмма "Создание условий для реализации государственной программы"</t>
  </si>
  <si>
    <t>05 3 00 00000</t>
  </si>
  <si>
    <t>Подпрограмма "Развитие мелиорации земель сельскохозяйственного назначения Архангельской области"</t>
  </si>
  <si>
    <t>05 4 00 00000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</si>
  <si>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(2014 – 2020 годы)"</t>
  </si>
  <si>
    <t>06 0 00 00000</t>
  </si>
  <si>
    <t>Подпрограмма "Создание условий для обеспечения доступным и комфортным жильем жителей Архангельской области"</t>
  </si>
  <si>
    <t>06 1 00 00000</t>
  </si>
  <si>
    <t>Подпрограмма "Обеспечение жильем молодых семей"</t>
  </si>
  <si>
    <t>06 2 00 00000</t>
  </si>
  <si>
    <t>Подпрограмма "Развитие промышленности строительных материалов в Архангельской области"</t>
  </si>
  <si>
    <t>06 4 00 00000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</si>
  <si>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</si>
  <si>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07 0 00 00000</t>
  </si>
  <si>
    <t>Подпрограмма "Активная политика занятости и социальная поддержка безработных граждан (2014 – 2020 годы)"</t>
  </si>
  <si>
    <t>07 1 00 00000</t>
  </si>
  <si>
    <t>Подпрограмма "Улучшение условий и охраны труда в Архангельской области (2014 – 2020 годы)"</t>
  </si>
  <si>
    <t>07 2 00 00000</t>
  </si>
  <si>
    <t>Подпрограмма "Повышение мобильности трудовых ресурсов (2015 – 2017 годы)"</t>
  </si>
  <si>
    <t>Подпрограмма "Оказание содействия добровольному переселению в Архангельскую область соотечественников, проживающих за рубежом (2016 – 2020 годы)"</t>
  </si>
  <si>
    <t>07 6 00 00000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</si>
  <si>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2020 годы)"</t>
  </si>
  <si>
    <t>08 0 00 00000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</si>
  <si>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</si>
  <si>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08 1 00 00000</t>
  </si>
  <si>
    <t>Подпрограмма "Профилактика преступлений и иных правонарушений в Архангельской области"</t>
  </si>
  <si>
    <t>08 2 00 00000</t>
  </si>
  <si>
    <t>Подпрограмма "Профилактика экстремизма и терроризма в Архангельской области"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</si>
  <si>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2020 годы)"</t>
  </si>
  <si>
    <t>09 0 00 00000</t>
  </si>
  <si>
    <t>Подпрограмма "Пожарная безопасность в Архангельской области"</t>
  </si>
  <si>
    <t>09 1 00 00000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</si>
  <si>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</si>
  <si>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09 2 00 00000</t>
  </si>
  <si>
    <t>Подпрограмма "Обеспечение реализации государственной программы в Архангельской области"</t>
  </si>
  <si>
    <t>09 3 00 00000</t>
  </si>
  <si>
    <t>Подпрограмма "Построение (развитие), внедрение и эксплуатация аппаратно-программного комплекса "Безопасный город" в Архангельской области"</t>
  </si>
  <si>
    <t>09 4 00 00000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</si>
  <si>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</si>
  <si>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10 0 00 00000</t>
  </si>
  <si>
    <t>Подпрограмма "Охрана окружающей среды и обеспечение экологической безопасности Архангельской области"</t>
  </si>
  <si>
    <t>10 1 00 00000</t>
  </si>
  <si>
    <t>Подпрограмма "Воспроизводство и использование природных ресурсов"</t>
  </si>
  <si>
    <t>10 2 00 00000</t>
  </si>
  <si>
    <t>Подпрограмма "Развитие водохозяйственного комплекса Архангельской области"</t>
  </si>
  <si>
    <t>10 3 00 00000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</si>
  <si>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– 2020 годы)"</t>
  </si>
  <si>
    <t>11 0 00 00000</t>
  </si>
  <si>
    <t>Подпрограмма "Спорт Беломорья (2014 – 2020 годы)"</t>
  </si>
  <si>
    <t>11 1 00 00000</t>
  </si>
  <si>
    <t>Подпрограмма "Молодежь Архангельской области (2014 – 2020 годы)"</t>
  </si>
  <si>
    <t>11 2 00 00000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</si>
  <si>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(2014 – 2020 годы)"</t>
  </si>
  <si>
    <t>11 3 00 00000</t>
  </si>
  <si>
    <t>Подпрограмма "Развитие внутреннего и въездного туризма в Архангельской области (2014 – 2020 годы)"</t>
  </si>
  <si>
    <t>11 5 00 00000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</si>
  <si>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</si>
  <si>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12 0 00 00000</t>
  </si>
  <si>
    <t>Подпрограмма "Формирование благоприятной среды для развития инвестиционной деятельности"</t>
  </si>
  <si>
    <t>12 1 00 00000</t>
  </si>
  <si>
    <t>Подпрограмма "Развитие субъектов малого и среднего предпринимательства в Архангельской области"</t>
  </si>
  <si>
    <t>12 2 00 00000</t>
  </si>
  <si>
    <t>Подпрограмма "Совершенствование системы управления экономическим развитием Архангельской области"</t>
  </si>
  <si>
    <t>12 3 00 00000</t>
  </si>
  <si>
    <t>Подпрограмма "Совершенствование организации государственных закупок в Архангельской области"</t>
  </si>
  <si>
    <t>12 4 00 00000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</si>
  <si>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</si>
  <si>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>12 5 00 00000</t>
  </si>
  <si>
    <t>Подпрограмма "Развитие промышленности Архангельской области"</t>
  </si>
  <si>
    <t>12 6 00 00000</t>
  </si>
  <si>
    <t>Государственная программа Архангельской области "Развитие торговли в Архангельской области (2014 – 2020 годы)"</t>
  </si>
  <si>
    <t>14 0 00 00000</t>
  </si>
  <si>
    <t>Государственная программа Архангельской области "Развитие лесного комплекса Архангельской области (2014 – 2020 годы)"</t>
  </si>
  <si>
    <t>15 0 00 00000</t>
  </si>
  <si>
    <t>Подпрограмма "Обеспечение использования лесов"</t>
  </si>
  <si>
    <t>15 1 00 00000</t>
  </si>
  <si>
    <t>Подпрограмма "Воспроизводство лесов"</t>
  </si>
  <si>
    <t>15 2 00 00000</t>
  </si>
  <si>
    <t>Подпрограмма "Охрана и защита лесов"</t>
  </si>
  <si>
    <t>15 3 00 00000</t>
  </si>
  <si>
    <t>Подпрограмма "Обеспечение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</si>
  <si>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15 4 00 00000</t>
  </si>
  <si>
    <t>Государственная программа Архангельской области "Развитие энергетики и жилищно-коммунального хозяйства Архангельской области (2014 – 2020 годы)"</t>
  </si>
  <si>
    <t>17 0 00 00000</t>
  </si>
  <si>
    <t>Подпрограмма "Энергосбережение и повышение энергетической эффективности в Архангельской области"</t>
  </si>
  <si>
    <t>17 1 00 00000</t>
  </si>
  <si>
    <t>Подпрограмма "Формирование и реализация региональной политики в сфере энергетики и жилищно-коммунального хозяйства Архангельской области"</t>
  </si>
  <si>
    <t>17 3 00 00000</t>
  </si>
  <si>
    <t>Государственная программа Архангельской области "Развитие местного самоуправления в Архангельской области и государственная поддержка социально ориентированных некоммерческих организаций (2014 – 2020 годы)"</t>
  </si>
  <si>
    <t>18 0 00 00000</t>
  </si>
  <si>
    <t>Подпрограмма "Государственная поддержка социально ориентированных некоммерческих организаций"</t>
  </si>
  <si>
    <t>18 1 00 00000</t>
  </si>
  <si>
    <t>Подпрограмма "Развитие территориального общественного самоуправления в Архангельской области)"</t>
  </si>
  <si>
    <t>18 2 00 00000</t>
  </si>
  <si>
    <t>Подпрограмма "Обеспечение реализации государственной программы"</t>
  </si>
  <si>
    <t>18 3 00 00000</t>
  </si>
  <si>
    <t>Подпрограмма "Укрепление единства российской нации и этнокультурное развитие народов России, проживающих на территории Архангельской области"</t>
  </si>
  <si>
    <t>18 4 00 00000</t>
  </si>
  <si>
    <t>Государственная программа Архангельской области "Развитие транспортной системы Архангельской области (2014 – 2020 годы)"</t>
  </si>
  <si>
    <t>19 0 00 00000</t>
  </si>
  <si>
    <t>Подпрограмма "Проведение сбалансированной государственной тарифной политики на транспорте"</t>
  </si>
  <si>
    <t>19 1 00 00000</t>
  </si>
  <si>
    <t>Подпрограмма "Развитие общественного пассажирского транспорта и транспортной инфраструктуры Архангельской области"</t>
  </si>
  <si>
    <t>19 2 00 00000</t>
  </si>
  <si>
    <t>Подпрограмма "Развитие и совершенствование сети автомобильных дорог общего пользования регионального значения"</t>
  </si>
  <si>
    <t>19 3 00 00000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</si>
  <si>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</si>
  <si>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19 4 00 00000</t>
  </si>
  <si>
    <t>Подпрограмма "Создание условий для реализации государственной программы и осуществления иных расходов"</t>
  </si>
  <si>
    <t>19 5 00 00000</t>
  </si>
  <si>
    <t>Подпрограмма "Повышение безопасности дорожного движения в Архангельской области"</t>
  </si>
  <si>
    <t>19 6 00 00000</t>
  </si>
  <si>
    <t>Государственная программа Архангельской области "Развитие инфраструктуры Соловецкого архипелага (2014 – 2019 годы)"</t>
  </si>
  <si>
    <t>20 0 00 00000</t>
  </si>
  <si>
    <t>Государственная программа Архангельской области "Развитие имущественно-земельных отношений Архангельской области (2014 – 2020 годы)"</t>
  </si>
  <si>
    <t>21 0 00 00000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</si>
  <si>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2020 годы)"</t>
  </si>
  <si>
    <t>22 0 00 00000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</si>
  <si>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</si>
  <si>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22 1 00 00000</t>
  </si>
  <si>
    <t>Подпрограмма "Управление государственным долгом Архангельской области"</t>
  </si>
  <si>
    <t>22 2 00 00000</t>
  </si>
  <si>
    <t>Подпрограмма "Поддержание устойчивого исполнения бюджетов муниципальных образований Архангельской области"</t>
  </si>
  <si>
    <t>22 3 00 00000</t>
  </si>
  <si>
    <t>Подпрограмма "Осуществление внутреннего государственного финансового контроля и контроля в сфере закупок товаров, работ, услуг"</t>
  </si>
  <si>
    <t>22 4 00 00000</t>
  </si>
  <si>
    <t>Государственная программа Архангельской области "Эффективное государственное управление в Архангельской области (2014 – 2020 годы)"</t>
  </si>
  <si>
    <t>23 0 00 00000</t>
  </si>
  <si>
    <t>Подпрограмма "Развитие кадрового потенциала органов государственной власти,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</si>
  <si>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23 1 00 00000</t>
  </si>
  <si>
    <t>Подпрограмма "Обеспечение доступности и качества предоставления государственных и муниципальных услуг по принципу "одного окна", в том числе на базе многофункциональных центров"</t>
  </si>
  <si>
    <t>23 2 00 00000</t>
  </si>
  <si>
    <t>Подпрограмма "Создание систем электронного правительства, развитие информационного общества Архангельской области"</t>
  </si>
  <si>
    <t>23 3 00 00000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</si>
  <si>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</si>
  <si>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23 4 00 00000</t>
  </si>
  <si>
    <t>Подпрограмма "Развитие отдельных направлений системы государственного управления Архангельской области"</t>
  </si>
  <si>
    <t>23 5 00 00000</t>
  </si>
  <si>
    <t>Государственная программа Архангельской области "Устойчивое развитие сельских территорий Архангельской области (2014 – 2020 годы)"</t>
  </si>
  <si>
    <t>24 0 00 00000</t>
  </si>
  <si>
    <t>Федеральные средства</t>
  </si>
  <si>
    <t>Итого по программе (ф.б+о.б.)</t>
  </si>
  <si>
    <t>Количество бюджетных и автономных учреждений (ед.)</t>
  </si>
  <si>
    <t>Исполнено за 2013 год</t>
  </si>
  <si>
    <t>Исполнено за 2014 год</t>
  </si>
  <si>
    <t>Исполнено за 2015 год</t>
  </si>
  <si>
    <t>на 01.01.2013</t>
  </si>
  <si>
    <t>на 01.01.2014</t>
  </si>
  <si>
    <t>на 01.01.2015</t>
  </si>
  <si>
    <t>на 01.01.2016</t>
  </si>
  <si>
    <t>Министерство строительства и архитектуры АО</t>
  </si>
  <si>
    <t>Министерство топливно-энергетического комплекса и жилищно-коммунального хозяйства АО</t>
  </si>
  <si>
    <t>Министерство природных ресурсов и лесопромышленного комплекса АО</t>
  </si>
  <si>
    <t>Министерство здравоохранения АО</t>
  </si>
  <si>
    <t>Инспекция по охране объектов культурного наследия АО</t>
  </si>
  <si>
    <t>Министерство культуры АО</t>
  </si>
  <si>
    <t>Министерство связи и информационных технологий АО</t>
  </si>
  <si>
    <t>Министерство образования и науки АО</t>
  </si>
  <si>
    <t>Министерство агропромышленного комплекса и торговли АО</t>
  </si>
  <si>
    <t>Министерство транспорта АО (агентство по транспорту АО)</t>
  </si>
  <si>
    <t>Министерство экономического развития АО</t>
  </si>
  <si>
    <t>Агентство по делам архивов АО</t>
  </si>
  <si>
    <t>Министерство труда, занятости и социального развития АО</t>
  </si>
  <si>
    <t>Агентство по туризму АО</t>
  </si>
  <si>
    <t>Агентство государственной противопожарной службы и гражданской защиты АО</t>
  </si>
  <si>
    <t>Агентство по спорту АО (министерство по делам молодежи и спорту АО)</t>
  </si>
  <si>
    <t>Администрация Губернатора и Правительства АО</t>
  </si>
  <si>
    <t>Министерство по местному самоуправлению и внутренней политике АО</t>
  </si>
  <si>
    <t>Агентство по развитию Соловецкого архипелага АО</t>
  </si>
  <si>
    <t>Агентство по печати и средствам массовой информации АО</t>
  </si>
  <si>
    <t>Контрактное агентство АО</t>
  </si>
  <si>
    <t>Инспекция по ветеринарному надзору АО</t>
  </si>
  <si>
    <t>млн.рублей</t>
  </si>
  <si>
    <t>Приложение № 6.1</t>
  </si>
  <si>
    <t>Приложение № 6.3</t>
  </si>
  <si>
    <t>Приложение № 7.1</t>
  </si>
  <si>
    <t>Приложение 1.2</t>
  </si>
  <si>
    <t>(потом скрыть)_Данные прогноза социально-экономического развития Архангельской области и НАО  на 2015 год и плановый период до 2017 года  (к проекту бюджета на 2015 год и плановый период до 2017 года)</t>
  </si>
  <si>
    <t>оценка 2014 года</t>
  </si>
  <si>
    <t>оценка 2012г.</t>
  </si>
  <si>
    <t>прогноз 2011 г.**</t>
  </si>
  <si>
    <t>оценка 2011 г.*</t>
  </si>
  <si>
    <t>прогноз 2013 г.</t>
  </si>
  <si>
    <t>прогноз 2015 год</t>
  </si>
  <si>
    <t>2013 г.*</t>
  </si>
  <si>
    <t>2014 г.*</t>
  </si>
  <si>
    <t>отчет 2016 год</t>
  </si>
  <si>
    <t>оценка 2017 год</t>
  </si>
  <si>
    <t>прогноз 2020 год</t>
  </si>
  <si>
    <t>Х</t>
  </si>
  <si>
    <t>106,5-107,0</t>
  </si>
  <si>
    <t>104,5-105,5</t>
  </si>
  <si>
    <t>104,0-105,0</t>
  </si>
  <si>
    <t>6,5--7</t>
  </si>
  <si>
    <t>4,5--5,5</t>
  </si>
  <si>
    <t>4--5</t>
  </si>
  <si>
    <t>105-106</t>
  </si>
  <si>
    <t>104-105</t>
  </si>
  <si>
    <t xml:space="preserve">Отчет 2016 года </t>
  </si>
  <si>
    <t>Ожидаемое исполнение 2017 года</t>
  </si>
  <si>
    <t>% к показателям оценки 2017 года</t>
  </si>
  <si>
    <t>2020 год</t>
  </si>
  <si>
    <t>% к показателям 2019 года</t>
  </si>
  <si>
    <t>4=3/2*100</t>
  </si>
  <si>
    <t>6=5/3*100</t>
  </si>
  <si>
    <t>8=7/5*100</t>
  </si>
  <si>
    <t>Функциональная структура расходов областного бюджета в 2016 - 2020 годах</t>
  </si>
  <si>
    <t>Исполнено за 2016</t>
  </si>
  <si>
    <t>Утверждено на 2017 год (в ред. от 09.10.2017 № 553-37-ОЗ)</t>
  </si>
  <si>
    <t>Ожидаемое исполнение за 2017 год</t>
  </si>
  <si>
    <t>Проект на 2018</t>
  </si>
  <si>
    <t>Проект на 2019</t>
  </si>
  <si>
    <t>Проект на 2020</t>
  </si>
  <si>
    <t>Профессиональная подготовка, переподготовка и повышение квалификации</t>
  </si>
  <si>
    <t>Другие вопросы в области физической культуры и спорта</t>
  </si>
  <si>
    <t>Б</t>
  </si>
  <si>
    <t>В</t>
  </si>
  <si>
    <t>Сведения о финансовом обеспечении реализации государственных программ Архангельской области в 2018 - 2020 годах</t>
  </si>
  <si>
    <t>Утверждено по программе на 2020 год (за счет средств областного бюджета)</t>
  </si>
  <si>
    <t>Недостаток (-), излишек (+) ассигнований на финансовое обеспечение мероприятий программ в 2020 году согласно Законопроекту</t>
  </si>
  <si>
    <t>Подпрограмма "Развитие информатизации в здравоохранении"</t>
  </si>
  <si>
    <t xml:space="preserve">Подпрограмма "Развитие промышленности строительных материалов   Архангельской области"
</t>
  </si>
  <si>
    <t>Подпрограмма "Содействие занятости инвалидов, в том числе инвалидов молодого возраста при получении ими профессионального образования и последующем трудоустройстве, а также инвалидов, нуждающихся в сопровождаемом содействии их занятости (2018-2020 годы)"</t>
  </si>
  <si>
    <t>Подпрограмма "Противодействие коррупции в Архангельской области"</t>
  </si>
  <si>
    <t>Государственная программа Архангельской области "Формирование современной городской среды в Архангельской области (2018 – 2022 годы)"</t>
  </si>
  <si>
    <t>Подпрограмма "Газификация Архангельской области"</t>
  </si>
  <si>
    <t>Исполнено за 2016 год</t>
  </si>
  <si>
    <t>План на 2017 год (отчет на 01.10.17 по ф. 0503737)</t>
  </si>
  <si>
    <t>Проект на 2018 год</t>
  </si>
  <si>
    <t>на 01.01.2017</t>
  </si>
  <si>
    <t>2017 год                          (текущий                                      финансовый год)</t>
  </si>
  <si>
    <t>2020 год                  (2-й год                        планового периода)</t>
  </si>
  <si>
    <t xml:space="preserve">Министерство имущественных отношений Архангельской области </t>
  </si>
  <si>
    <t>Субсидии на финансовое обеспечение выполнения государственного задания на оказание государственных услуг (выполнение работ) за счет средств областного бюджета в 2016 - 2020 годах</t>
  </si>
  <si>
    <t>Проект на 2019 год</t>
  </si>
  <si>
    <t>Проект на 2020 год</t>
  </si>
  <si>
    <t>Доходы государственных бюджетных и автономных учреждениях за счет субсидии на государственное задание (в тыс.руб.)</t>
  </si>
  <si>
    <t>на 01.10.2017 (по ф. 0503161)</t>
  </si>
  <si>
    <t>Наименование главного распорядителя средств областного бюджета</t>
  </si>
  <si>
    <t>Объем финансирования на 2018 год  согласно Законопроекту</t>
  </si>
  <si>
    <t>Утверждено по программе на 2018 год (за счет средств федерального бюджета)</t>
  </si>
  <si>
    <t>Объем финансирования на 2019 год согласно законопроекту</t>
  </si>
  <si>
    <t>Утверждено по программе на 2019 год (за счет средств областного и федерального бюджета)</t>
  </si>
  <si>
    <t>Утверждено по программе на 2019 год (за счет средств федерального бюджета)</t>
  </si>
  <si>
    <t>Объем финансирования на 2020 год согласно законопроекту</t>
  </si>
  <si>
    <t>Утверждено по программе на 2020 год (за счет средств областного и федерального бюджета)</t>
  </si>
  <si>
    <t>Утверждено по программе на 2020 год (за счет средств федерального бюджета)</t>
  </si>
  <si>
    <t>а</t>
  </si>
  <si>
    <t>б</t>
  </si>
  <si>
    <t>в</t>
  </si>
  <si>
    <t>г</t>
  </si>
  <si>
    <t>д</t>
  </si>
  <si>
    <t>е</t>
  </si>
  <si>
    <t>Приложение № 6.2</t>
  </si>
  <si>
    <t>Приложение № 6.4</t>
  </si>
  <si>
    <t>2018 год                            (очередной                       финансовый год)</t>
  </si>
  <si>
    <t>2019 год                     (1-й год                        планового периода)</t>
  </si>
  <si>
    <t>Утверждено по программе на 2018 год (за счет средств областного и федерального бюджета)</t>
  </si>
  <si>
    <t>Расходы на содержание государственных органов и обеспечение их функций в 2016 - 2020 годах за счет средств областного бюджета</t>
  </si>
  <si>
    <t>Основные показатели социально-экономического развития Архангельской области и Российской Федерации на период 2016 - 2020 годов</t>
  </si>
  <si>
    <t>Данные прогноза социально-экономического развития Архангельской области на 2017 год и плановый период до 2019 года (к проекту бюджета на 2017 год и плановый период до 2019 года)</t>
  </si>
  <si>
    <t>Данные прогноза социально-экономического развития Архангельской области на 2018 год и плановый период 2019 и 2020 годов (к проекту бюджета на 2018 год и плановый период до 2020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</si>
</sst>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#,##0.0"/>
    <numFmt numFmtId="165" formatCode="0.0"/>
    <numFmt numFmtId="166" formatCode="#,##0.000"/>
    <numFmt numFmtId="167" formatCode="0.000"/>
    <numFmt numFmtId="168" formatCode="#,##0.0_ ;[Red]\-#,##0.0\ "/>
    <numFmt numFmtId="169" formatCode="00"/>
    <numFmt numFmtId="170" formatCode="0.0%"/>
    <numFmt numFmtId="171" formatCode="#,##0_ ;[Red]\-#,##0\ "/>
    <numFmt numFmtId="172" formatCode="#,##0.00_ ;[Red]\-#,##0.00\ "/>
    <numFmt numFmtId="173" formatCode="_(* #,##0.0_);_(* \(#,##0.0\);_(* &quot;-&quot;??_);_(@_)"/>
    <numFmt numFmtId="174" formatCode="_-* #,##0.0_р_._-;\-* #,##0.0_р_._-;_-* &quot;-&quot;?_р_._-;_-@_-"/>
  </numFmts>
  <fonts count="32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0070C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</borders>
  <cellStyleXfs count="8">
    <xf numFmtId="0" fontId="0" fillId="0" borderId="0"/>
    <xf numFmtId="0" fontId="9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26" fillId="0" borderId="0"/>
    <xf numFmtId="0" fontId="15" fillId="0" borderId="0"/>
    <xf numFmtId="0" fontId="15" fillId="0" borderId="0"/>
  </cellStyleXfs>
  <cellXfs count="304">
    <xf numFmtId="0" fontId="0" fillId="0" borderId="0" xfId="0"/>
    <xf numFmtId="0" fontId="9" fillId="0" borderId="3" xfId="1" applyFont="1" applyFill="1" applyBorder="1"/>
    <xf numFmtId="164" fontId="9" fillId="0" borderId="4" xfId="1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center"/>
    </xf>
    <xf numFmtId="0" fontId="16" fillId="0" borderId="0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right" vertical="center"/>
      <protection locked="0"/>
    </xf>
    <xf numFmtId="164" fontId="9" fillId="0" borderId="4" xfId="1" applyNumberFormat="1" applyFont="1" applyFill="1" applyBorder="1" applyAlignment="1">
      <alignment horizontal="right"/>
    </xf>
    <xf numFmtId="4" fontId="12" fillId="0" borderId="4" xfId="0" applyNumberFormat="1" applyFont="1" applyFill="1" applyBorder="1" applyAlignment="1" applyProtection="1">
      <alignment horizontal="right" vertical="center"/>
      <protection locked="0"/>
    </xf>
    <xf numFmtId="4" fontId="9" fillId="0" borderId="4" xfId="1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 applyProtection="1">
      <alignment vertical="center"/>
      <protection locked="0"/>
    </xf>
    <xf numFmtId="4" fontId="9" fillId="0" borderId="4" xfId="1" applyNumberFormat="1" applyFont="1" applyFill="1" applyBorder="1" applyAlignment="1">
      <alignment vertical="center"/>
    </xf>
    <xf numFmtId="0" fontId="9" fillId="0" borderId="4" xfId="1" applyFont="1" applyFill="1" applyBorder="1" applyAlignment="1">
      <alignment horizontal="center"/>
    </xf>
    <xf numFmtId="166" fontId="9" fillId="0" borderId="4" xfId="1" applyNumberFormat="1" applyFont="1" applyFill="1" applyBorder="1" applyAlignment="1"/>
    <xf numFmtId="167" fontId="9" fillId="0" borderId="4" xfId="1" applyNumberFormat="1" applyFont="1" applyFill="1" applyBorder="1" applyAlignment="1"/>
    <xf numFmtId="167" fontId="9" fillId="0" borderId="7" xfId="1" applyNumberFormat="1" applyFont="1" applyFill="1" applyBorder="1" applyAlignment="1">
      <alignment horizontal="right"/>
    </xf>
    <xf numFmtId="0" fontId="18" fillId="0" borderId="0" xfId="0" applyFont="1" applyBorder="1" applyAlignment="1">
      <alignment horizontal="center" vertical="center" wrapText="1"/>
    </xf>
    <xf numFmtId="170" fontId="18" fillId="0" borderId="0" xfId="0" applyNumberFormat="1" applyFont="1" applyBorder="1" applyAlignment="1">
      <alignment vertical="center" wrapText="1"/>
    </xf>
    <xf numFmtId="168" fontId="18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168" fontId="8" fillId="0" borderId="0" xfId="0" applyNumberFormat="1" applyFont="1" applyBorder="1" applyAlignment="1">
      <alignment vertical="center" wrapText="1"/>
    </xf>
    <xf numFmtId="170" fontId="8" fillId="0" borderId="0" xfId="0" applyNumberFormat="1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22" fillId="0" borderId="3" xfId="1" applyFont="1" applyFill="1" applyBorder="1" applyAlignment="1">
      <alignment horizontal="left" vertical="center" wrapText="1"/>
    </xf>
    <xf numFmtId="0" fontId="21" fillId="0" borderId="3" xfId="1" applyFont="1" applyFill="1" applyBorder="1" applyAlignment="1">
      <alignment horizontal="center" vertical="center" wrapText="1"/>
    </xf>
    <xf numFmtId="49" fontId="22" fillId="0" borderId="3" xfId="1" applyNumberFormat="1" applyFont="1" applyFill="1" applyBorder="1" applyAlignment="1">
      <alignment horizontal="left" vertical="center" wrapText="1"/>
    </xf>
    <xf numFmtId="0" fontId="22" fillId="0" borderId="8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/>
    </xf>
    <xf numFmtId="0" fontId="9" fillId="0" borderId="0" xfId="1" applyFont="1" applyFill="1"/>
    <xf numFmtId="0" fontId="9" fillId="0" borderId="0" xfId="1" applyFont="1" applyFill="1" applyAlignment="1">
      <alignment horizontal="center"/>
    </xf>
    <xf numFmtId="172" fontId="10" fillId="0" borderId="0" xfId="1" applyNumberFormat="1" applyFont="1" applyFill="1" applyAlignment="1">
      <alignment horizontal="center"/>
    </xf>
    <xf numFmtId="172" fontId="16" fillId="0" borderId="0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vertical="center" wrapText="1"/>
    </xf>
    <xf numFmtId="172" fontId="11" fillId="0" borderId="4" xfId="1" applyNumberFormat="1" applyFont="1" applyFill="1" applyBorder="1" applyAlignment="1">
      <alignment horizontal="center" vertical="center" wrapText="1"/>
    </xf>
    <xf numFmtId="172" fontId="11" fillId="0" borderId="5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/>
    </xf>
    <xf numFmtId="171" fontId="9" fillId="0" borderId="4" xfId="1" applyNumberFormat="1" applyFont="1" applyFill="1" applyBorder="1" applyAlignment="1">
      <alignment horizontal="center"/>
    </xf>
    <xf numFmtId="171" fontId="9" fillId="0" borderId="5" xfId="1" applyNumberFormat="1" applyFont="1" applyFill="1" applyBorder="1" applyAlignment="1">
      <alignment horizontal="center"/>
    </xf>
    <xf numFmtId="172" fontId="12" fillId="0" borderId="4" xfId="0" applyNumberFormat="1" applyFont="1" applyFill="1" applyBorder="1" applyAlignment="1" applyProtection="1">
      <alignment horizontal="right" vertical="center"/>
      <protection locked="0"/>
    </xf>
    <xf numFmtId="172" fontId="9" fillId="0" borderId="4" xfId="0" applyNumberFormat="1" applyFont="1" applyFill="1" applyBorder="1" applyAlignment="1" applyProtection="1">
      <alignment horizontal="right" vertical="center"/>
      <protection locked="0"/>
    </xf>
    <xf numFmtId="172" fontId="9" fillId="0" borderId="5" xfId="0" applyNumberFormat="1" applyFont="1" applyFill="1" applyBorder="1" applyAlignment="1" applyProtection="1">
      <alignment horizontal="right" vertical="center"/>
      <protection locked="0"/>
    </xf>
    <xf numFmtId="172" fontId="9" fillId="0" borderId="4" xfId="1" applyNumberFormat="1" applyFont="1" applyFill="1" applyBorder="1" applyAlignment="1">
      <alignment horizontal="right"/>
    </xf>
    <xf numFmtId="172" fontId="9" fillId="0" borderId="4" xfId="1" applyNumberFormat="1" applyFont="1" applyFill="1" applyBorder="1" applyAlignment="1">
      <alignment horizontal="right" vertical="center"/>
    </xf>
    <xf numFmtId="172" fontId="9" fillId="0" borderId="5" xfId="1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 applyProtection="1">
      <alignment horizontal="right" vertical="center"/>
      <protection locked="0"/>
    </xf>
    <xf numFmtId="0" fontId="9" fillId="0" borderId="4" xfId="1" applyFont="1" applyFill="1" applyBorder="1" applyAlignment="1">
      <alignment horizontal="right"/>
    </xf>
    <xf numFmtId="4" fontId="9" fillId="0" borderId="0" xfId="1" applyNumberFormat="1" applyFont="1" applyFill="1"/>
    <xf numFmtId="165" fontId="9" fillId="0" borderId="4" xfId="0" applyNumberFormat="1" applyFont="1" applyFill="1" applyBorder="1" applyAlignment="1" applyProtection="1">
      <alignment vertical="center"/>
      <protection locked="0"/>
    </xf>
    <xf numFmtId="165" fontId="9" fillId="0" borderId="4" xfId="1" applyNumberFormat="1" applyFont="1" applyFill="1" applyBorder="1" applyAlignment="1"/>
    <xf numFmtId="172" fontId="9" fillId="0" borderId="4" xfId="0" applyNumberFormat="1" applyFont="1" applyFill="1" applyBorder="1" applyAlignment="1" applyProtection="1">
      <alignment vertical="center"/>
      <protection locked="0"/>
    </xf>
    <xf numFmtId="172" fontId="9" fillId="0" borderId="5" xfId="0" applyNumberFormat="1" applyFont="1" applyFill="1" applyBorder="1" applyAlignment="1" applyProtection="1">
      <alignment vertical="center"/>
      <protection locked="0"/>
    </xf>
    <xf numFmtId="164" fontId="9" fillId="0" borderId="4" xfId="0" applyNumberFormat="1" applyFont="1" applyFill="1" applyBorder="1" applyAlignment="1" applyProtection="1">
      <alignment vertical="center"/>
      <protection locked="0"/>
    </xf>
    <xf numFmtId="0" fontId="9" fillId="0" borderId="4" xfId="1" applyFont="1" applyFill="1" applyBorder="1" applyAlignment="1"/>
    <xf numFmtId="172" fontId="9" fillId="0" borderId="4" xfId="1" applyNumberFormat="1" applyFont="1" applyFill="1" applyBorder="1" applyAlignment="1">
      <alignment vertical="center"/>
    </xf>
    <xf numFmtId="172" fontId="9" fillId="0" borderId="5" xfId="1" applyNumberFormat="1" applyFont="1" applyFill="1" applyBorder="1" applyAlignment="1">
      <alignment vertical="center"/>
    </xf>
    <xf numFmtId="165" fontId="9" fillId="0" borderId="4" xfId="1" applyNumberFormat="1" applyFont="1" applyFill="1" applyBorder="1" applyAlignment="1">
      <alignment vertical="center"/>
    </xf>
    <xf numFmtId="173" fontId="9" fillId="0" borderId="4" xfId="3" applyNumberFormat="1" applyFont="1" applyFill="1" applyBorder="1" applyAlignment="1" applyProtection="1">
      <alignment horizontal="right" vertical="center"/>
      <protection locked="0"/>
    </xf>
    <xf numFmtId="173" fontId="9" fillId="0" borderId="4" xfId="3" applyNumberFormat="1" applyFont="1" applyFill="1" applyBorder="1" applyAlignment="1">
      <alignment horizontal="right"/>
    </xf>
    <xf numFmtId="165" fontId="9" fillId="0" borderId="4" xfId="0" applyNumberFormat="1" applyFont="1" applyFill="1" applyBorder="1" applyAlignment="1" applyProtection="1">
      <alignment horizontal="right" vertical="center"/>
      <protection locked="0"/>
    </xf>
    <xf numFmtId="165" fontId="12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9" fillId="0" borderId="4" xfId="1" applyNumberFormat="1" applyFont="1" applyFill="1" applyBorder="1" applyAlignment="1">
      <alignment horizontal="right"/>
    </xf>
    <xf numFmtId="172" fontId="12" fillId="0" borderId="5" xfId="0" applyNumberFormat="1" applyFont="1" applyFill="1" applyBorder="1" applyAlignment="1" applyProtection="1">
      <alignment horizontal="right" vertical="center"/>
      <protection locked="0"/>
    </xf>
    <xf numFmtId="165" fontId="9" fillId="0" borderId="4" xfId="1" applyNumberFormat="1" applyFont="1" applyFill="1" applyBorder="1" applyAlignment="1">
      <alignment vertical="center" wrapText="1"/>
    </xf>
    <xf numFmtId="0" fontId="9" fillId="0" borderId="3" xfId="1" applyFont="1" applyFill="1" applyBorder="1" applyAlignment="1">
      <alignment wrapText="1"/>
    </xf>
    <xf numFmtId="172" fontId="9" fillId="0" borderId="4" xfId="1" applyNumberFormat="1" applyFont="1" applyFill="1" applyBorder="1" applyAlignment="1"/>
    <xf numFmtId="172" fontId="9" fillId="0" borderId="5" xfId="1" applyNumberFormat="1" applyFont="1" applyFill="1" applyBorder="1" applyAlignment="1"/>
    <xf numFmtId="16" fontId="9" fillId="0" borderId="4" xfId="1" applyNumberFormat="1" applyFont="1" applyFill="1" applyBorder="1" applyAlignment="1">
      <alignment horizontal="right"/>
    </xf>
    <xf numFmtId="4" fontId="9" fillId="0" borderId="4" xfId="1" applyNumberFormat="1" applyFont="1" applyFill="1" applyBorder="1" applyAlignment="1">
      <alignment horizontal="right" vertical="center" wrapText="1"/>
    </xf>
    <xf numFmtId="4" fontId="9" fillId="0" borderId="3" xfId="1" applyNumberFormat="1" applyFont="1" applyFill="1" applyBorder="1" applyAlignment="1">
      <alignment vertical="center"/>
    </xf>
    <xf numFmtId="0" fontId="9" fillId="0" borderId="8" xfId="1" applyFont="1" applyFill="1" applyBorder="1" applyAlignment="1">
      <alignment wrapText="1"/>
    </xf>
    <xf numFmtId="172" fontId="9" fillId="0" borderId="7" xfId="1" applyNumberFormat="1" applyFont="1" applyFill="1" applyBorder="1" applyAlignment="1">
      <alignment horizontal="right"/>
    </xf>
    <xf numFmtId="0" fontId="9" fillId="0" borderId="6" xfId="1" applyFont="1" applyFill="1" applyBorder="1"/>
    <xf numFmtId="2" fontId="9" fillId="0" borderId="4" xfId="1" applyNumberFormat="1" applyFont="1" applyFill="1" applyBorder="1" applyAlignment="1">
      <alignment horizontal="right"/>
    </xf>
    <xf numFmtId="172" fontId="11" fillId="0" borderId="4" xfId="1" applyNumberFormat="1" applyFont="1" applyFill="1" applyBorder="1" applyAlignment="1">
      <alignment horizontal="right"/>
    </xf>
    <xf numFmtId="0" fontId="9" fillId="0" borderId="6" xfId="1" applyFont="1" applyFill="1" applyBorder="1" applyAlignment="1">
      <alignment wrapText="1"/>
    </xf>
    <xf numFmtId="2" fontId="9" fillId="0" borderId="4" xfId="1" applyNumberFormat="1" applyFont="1" applyFill="1" applyBorder="1" applyAlignment="1">
      <alignment horizontal="center"/>
    </xf>
    <xf numFmtId="0" fontId="9" fillId="0" borderId="16" xfId="1" applyFont="1" applyFill="1" applyBorder="1"/>
    <xf numFmtId="0" fontId="9" fillId="0" borderId="7" xfId="1" applyFont="1" applyFill="1" applyBorder="1" applyAlignment="1">
      <alignment horizontal="right"/>
    </xf>
    <xf numFmtId="0" fontId="9" fillId="0" borderId="7" xfId="1" applyFont="1" applyFill="1" applyBorder="1" applyAlignment="1">
      <alignment horizontal="center"/>
    </xf>
    <xf numFmtId="16" fontId="9" fillId="0" borderId="7" xfId="1" applyNumberFormat="1" applyFont="1" applyFill="1" applyBorder="1" applyAlignment="1">
      <alignment horizontal="right"/>
    </xf>
    <xf numFmtId="16" fontId="9" fillId="0" borderId="7" xfId="1" applyNumberFormat="1" applyFont="1" applyFill="1" applyBorder="1" applyAlignment="1">
      <alignment horizontal="center"/>
    </xf>
    <xf numFmtId="172" fontId="9" fillId="0" borderId="17" xfId="1" applyNumberFormat="1" applyFont="1" applyFill="1" applyBorder="1" applyAlignment="1">
      <alignment horizontal="right"/>
    </xf>
    <xf numFmtId="172" fontId="9" fillId="0" borderId="0" xfId="1" applyNumberFormat="1" applyFont="1" applyFill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0" xfId="0" applyNumberFormat="1" applyFont="1"/>
    <xf numFmtId="169" fontId="6" fillId="0" borderId="4" xfId="0" applyNumberFormat="1" applyFont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4" fontId="23" fillId="0" borderId="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18" fillId="0" borderId="4" xfId="0" applyFont="1" applyBorder="1" applyAlignment="1">
      <alignment horizontal="center"/>
    </xf>
    <xf numFmtId="164" fontId="18" fillId="0" borderId="4" xfId="0" applyNumberFormat="1" applyFont="1" applyBorder="1" applyAlignment="1">
      <alignment horizontal="right" vertical="center"/>
    </xf>
    <xf numFmtId="164" fontId="18" fillId="2" borderId="4" xfId="0" applyNumberFormat="1" applyFont="1" applyFill="1" applyBorder="1" applyAlignment="1">
      <alignment horizontal="right" vertical="center" wrapText="1"/>
    </xf>
    <xf numFmtId="164" fontId="18" fillId="0" borderId="4" xfId="0" applyNumberFormat="1" applyFont="1" applyBorder="1" applyAlignment="1">
      <alignment horizontal="right" vertical="center" wrapText="1"/>
    </xf>
    <xf numFmtId="164" fontId="18" fillId="0" borderId="5" xfId="0" applyNumberFormat="1" applyFont="1" applyBorder="1" applyAlignment="1">
      <alignment horizontal="right" vertical="center" wrapText="1"/>
    </xf>
    <xf numFmtId="164" fontId="18" fillId="0" borderId="6" xfId="0" applyNumberFormat="1" applyFont="1" applyBorder="1" applyAlignment="1">
      <alignment horizontal="center"/>
    </xf>
    <xf numFmtId="164" fontId="18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5" xfId="0" applyNumberFormat="1" applyFont="1" applyBorder="1" applyAlignment="1">
      <alignment horizontal="right" vertical="center"/>
    </xf>
    <xf numFmtId="164" fontId="6" fillId="0" borderId="11" xfId="0" applyNumberFormat="1" applyFont="1" applyFill="1" applyBorder="1" applyAlignment="1">
      <alignment horizontal="center"/>
    </xf>
    <xf numFmtId="49" fontId="6" fillId="0" borderId="3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center"/>
    </xf>
    <xf numFmtId="164" fontId="6" fillId="0" borderId="7" xfId="0" applyNumberFormat="1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8" fontId="6" fillId="0" borderId="0" xfId="0" applyNumberFormat="1" applyFont="1"/>
    <xf numFmtId="170" fontId="18" fillId="0" borderId="0" xfId="0" applyNumberFormat="1" applyFont="1" applyFill="1" applyBorder="1" applyAlignment="1">
      <alignment vertical="center" wrapText="1"/>
    </xf>
    <xf numFmtId="168" fontId="18" fillId="0" borderId="0" xfId="0" applyNumberFormat="1" applyFont="1" applyFill="1" applyBorder="1" applyAlignment="1">
      <alignment vertical="center" wrapText="1"/>
    </xf>
    <xf numFmtId="0" fontId="20" fillId="0" borderId="14" xfId="4" applyFont="1" applyBorder="1" applyAlignment="1">
      <alignment horizontal="center" vertical="center" wrapText="1"/>
    </xf>
    <xf numFmtId="0" fontId="18" fillId="0" borderId="14" xfId="4" applyFont="1" applyBorder="1" applyAlignment="1">
      <alignment horizontal="center" vertical="center" wrapText="1"/>
    </xf>
    <xf numFmtId="0" fontId="18" fillId="0" borderId="22" xfId="4" applyFont="1" applyBorder="1" applyAlignment="1">
      <alignment horizontal="center" vertical="center" wrapText="1"/>
    </xf>
    <xf numFmtId="0" fontId="7" fillId="0" borderId="21" xfId="4" applyFont="1" applyBorder="1" applyAlignment="1">
      <alignment vertical="center" wrapText="1"/>
    </xf>
    <xf numFmtId="0" fontId="18" fillId="0" borderId="21" xfId="4" applyFont="1" applyFill="1" applyBorder="1" applyAlignment="1">
      <alignment vertical="center" wrapText="1"/>
    </xf>
    <xf numFmtId="169" fontId="18" fillId="2" borderId="14" xfId="4" applyNumberFormat="1" applyFont="1" applyFill="1" applyBorder="1" applyAlignment="1">
      <alignment horizontal="center" vertical="center" wrapText="1"/>
    </xf>
    <xf numFmtId="168" fontId="18" fillId="0" borderId="14" xfId="4" applyNumberFormat="1" applyFont="1" applyBorder="1" applyAlignment="1">
      <alignment vertical="center" wrapText="1"/>
    </xf>
    <xf numFmtId="168" fontId="18" fillId="0" borderId="22" xfId="4" applyNumberFormat="1" applyFont="1" applyBorder="1" applyAlignment="1">
      <alignment vertical="center" wrapText="1"/>
    </xf>
    <xf numFmtId="0" fontId="7" fillId="0" borderId="21" xfId="4" applyFont="1" applyFill="1" applyBorder="1" applyAlignment="1">
      <alignment vertical="center" wrapText="1"/>
    </xf>
    <xf numFmtId="169" fontId="7" fillId="2" borderId="14" xfId="4" applyNumberFormat="1" applyFont="1" applyFill="1" applyBorder="1" applyAlignment="1">
      <alignment horizontal="center" vertical="center" wrapText="1"/>
    </xf>
    <xf numFmtId="168" fontId="7" fillId="0" borderId="14" xfId="4" applyNumberFormat="1" applyFont="1" applyBorder="1" applyAlignment="1">
      <alignment vertical="center" wrapText="1"/>
    </xf>
    <xf numFmtId="168" fontId="7" fillId="0" borderId="22" xfId="4" applyNumberFormat="1" applyFont="1" applyBorder="1" applyAlignment="1">
      <alignment vertical="center" wrapText="1"/>
    </xf>
    <xf numFmtId="4" fontId="7" fillId="0" borderId="14" xfId="4" applyNumberFormat="1" applyFont="1" applyBorder="1" applyAlignment="1">
      <alignment vertical="center"/>
    </xf>
    <xf numFmtId="0" fontId="21" fillId="0" borderId="21" xfId="4" applyFont="1" applyBorder="1" applyAlignment="1">
      <alignment vertical="center" wrapText="1"/>
    </xf>
    <xf numFmtId="0" fontId="18" fillId="0" borderId="21" xfId="4" applyFont="1" applyBorder="1" applyAlignment="1">
      <alignment vertical="center" wrapText="1"/>
    </xf>
    <xf numFmtId="0" fontId="5" fillId="0" borderId="21" xfId="4" applyFont="1" applyFill="1" applyBorder="1" applyAlignment="1">
      <alignment vertical="center" wrapText="1"/>
    </xf>
    <xf numFmtId="169" fontId="5" fillId="2" borderId="14" xfId="4" applyNumberFormat="1" applyFont="1" applyFill="1" applyBorder="1" applyAlignment="1">
      <alignment horizontal="center" vertical="center" wrapText="1"/>
    </xf>
    <xf numFmtId="168" fontId="5" fillId="0" borderId="14" xfId="4" applyNumberFormat="1" applyFont="1" applyBorder="1" applyAlignment="1">
      <alignment vertical="center" wrapText="1"/>
    </xf>
    <xf numFmtId="168" fontId="5" fillId="0" borderId="22" xfId="4" applyNumberFormat="1" applyFont="1" applyBorder="1" applyAlignment="1">
      <alignment vertical="center" wrapText="1"/>
    </xf>
    <xf numFmtId="0" fontId="22" fillId="0" borderId="21" xfId="4" applyFont="1" applyBorder="1" applyAlignment="1">
      <alignment vertical="center" wrapText="1"/>
    </xf>
    <xf numFmtId="4" fontId="5" fillId="0" borderId="14" xfId="4" applyNumberFormat="1" applyFont="1" applyBorder="1" applyAlignment="1">
      <alignment vertical="center"/>
    </xf>
    <xf numFmtId="0" fontId="18" fillId="3" borderId="23" xfId="4" applyFont="1" applyFill="1" applyBorder="1" applyAlignment="1">
      <alignment vertical="center" wrapText="1"/>
    </xf>
    <xf numFmtId="169" fontId="18" fillId="3" borderId="24" xfId="4" applyNumberFormat="1" applyFont="1" applyFill="1" applyBorder="1" applyAlignment="1">
      <alignment vertical="center" wrapText="1"/>
    </xf>
    <xf numFmtId="168" fontId="18" fillId="3" borderId="24" xfId="4" applyNumberFormat="1" applyFont="1" applyFill="1" applyBorder="1" applyAlignment="1">
      <alignment vertical="center" wrapText="1"/>
    </xf>
    <xf numFmtId="172" fontId="18" fillId="3" borderId="24" xfId="4" applyNumberFormat="1" applyFont="1" applyFill="1" applyBorder="1" applyAlignment="1">
      <alignment vertical="center" wrapText="1"/>
    </xf>
    <xf numFmtId="168" fontId="18" fillId="3" borderId="25" xfId="4" applyNumberFormat="1" applyFont="1" applyFill="1" applyBorder="1" applyAlignment="1">
      <alignment vertical="center" wrapText="1"/>
    </xf>
    <xf numFmtId="0" fontId="7" fillId="0" borderId="21" xfId="4" applyFont="1" applyBorder="1" applyAlignment="1">
      <alignment horizontal="center" vertical="center" wrapText="1"/>
    </xf>
    <xf numFmtId="0" fontId="7" fillId="2" borderId="14" xfId="4" applyFont="1" applyFill="1" applyBorder="1" applyAlignment="1">
      <alignment horizontal="center" vertical="center" wrapText="1"/>
    </xf>
    <xf numFmtId="0" fontId="7" fillId="0" borderId="14" xfId="4" applyFont="1" applyBorder="1" applyAlignment="1">
      <alignment horizontal="center" vertical="center" wrapText="1"/>
    </xf>
    <xf numFmtId="0" fontId="7" fillId="0" borderId="22" xfId="4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14" fontId="18" fillId="0" borderId="14" xfId="0" applyNumberFormat="1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9" borderId="1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vertical="center" wrapText="1"/>
    </xf>
    <xf numFmtId="168" fontId="4" fillId="0" borderId="14" xfId="0" applyNumberFormat="1" applyFont="1" applyBorder="1" applyAlignment="1">
      <alignment vertical="center" wrapText="1"/>
    </xf>
    <xf numFmtId="171" fontId="4" fillId="0" borderId="14" xfId="0" applyNumberFormat="1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18" fillId="3" borderId="23" xfId="0" applyFont="1" applyFill="1" applyBorder="1" applyAlignment="1">
      <alignment vertical="center" wrapText="1"/>
    </xf>
    <xf numFmtId="168" fontId="18" fillId="3" borderId="24" xfId="0" applyNumberFormat="1" applyFont="1" applyFill="1" applyBorder="1" applyAlignment="1">
      <alignment vertical="center" wrapText="1"/>
    </xf>
    <xf numFmtId="171" fontId="18" fillId="3" borderId="24" xfId="0" applyNumberFormat="1" applyFont="1" applyFill="1" applyBorder="1" applyAlignment="1">
      <alignment vertical="center" wrapText="1"/>
    </xf>
    <xf numFmtId="171" fontId="18" fillId="3" borderId="25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8" fontId="4" fillId="0" borderId="0" xfId="0" applyNumberFormat="1" applyFont="1" applyAlignment="1">
      <alignment vertical="center" wrapText="1"/>
    </xf>
    <xf numFmtId="168" fontId="4" fillId="0" borderId="0" xfId="0" applyNumberFormat="1" applyFont="1" applyFill="1" applyAlignment="1">
      <alignment vertical="center" wrapText="1"/>
    </xf>
    <xf numFmtId="0" fontId="9" fillId="9" borderId="14" xfId="5" applyNumberFormat="1" applyFont="1" applyFill="1" applyBorder="1" applyAlignment="1" applyProtection="1">
      <alignment horizontal="center" vertical="center" wrapText="1"/>
      <protection locked="0"/>
    </xf>
    <xf numFmtId="168" fontId="4" fillId="0" borderId="14" xfId="0" applyNumberFormat="1" applyFont="1" applyFill="1" applyBorder="1" applyAlignment="1">
      <alignment vertical="center" wrapText="1"/>
    </xf>
    <xf numFmtId="174" fontId="9" fillId="9" borderId="14" xfId="5" applyNumberFormat="1" applyFont="1" applyFill="1" applyBorder="1" applyAlignment="1" applyProtection="1">
      <alignment vertical="center"/>
      <protection locked="0"/>
    </xf>
    <xf numFmtId="168" fontId="4" fillId="9" borderId="14" xfId="0" applyNumberFormat="1" applyFont="1" applyFill="1" applyBorder="1" applyAlignment="1">
      <alignment vertical="center" wrapText="1"/>
    </xf>
    <xf numFmtId="174" fontId="27" fillId="9" borderId="14" xfId="5" applyNumberFormat="1" applyFont="1" applyFill="1" applyBorder="1" applyAlignment="1" applyProtection="1">
      <alignment vertical="center"/>
      <protection locked="0"/>
    </xf>
    <xf numFmtId="171" fontId="4" fillId="0" borderId="0" xfId="0" applyNumberFormat="1" applyFont="1" applyAlignment="1">
      <alignment vertical="center" wrapText="1"/>
    </xf>
    <xf numFmtId="171" fontId="4" fillId="0" borderId="14" xfId="0" applyNumberFormat="1" applyFont="1" applyFill="1" applyBorder="1" applyAlignment="1">
      <alignment vertical="center" wrapText="1"/>
    </xf>
    <xf numFmtId="171" fontId="4" fillId="0" borderId="22" xfId="0" applyNumberFormat="1" applyFont="1" applyBorder="1" applyAlignment="1">
      <alignment vertical="center" wrapText="1"/>
    </xf>
    <xf numFmtId="171" fontId="9" fillId="0" borderId="14" xfId="0" applyNumberFormat="1" applyFont="1" applyFill="1" applyBorder="1" applyAlignment="1">
      <alignment vertical="center" wrapText="1"/>
    </xf>
    <xf numFmtId="171" fontId="9" fillId="0" borderId="22" xfId="0" applyNumberFormat="1" applyFont="1" applyFill="1" applyBorder="1" applyAlignment="1">
      <alignment vertical="center" wrapText="1"/>
    </xf>
    <xf numFmtId="168" fontId="3" fillId="0" borderId="0" xfId="0" applyNumberFormat="1" applyFont="1" applyAlignment="1">
      <alignment vertical="center" wrapText="1"/>
    </xf>
    <xf numFmtId="171" fontId="4" fillId="0" borderId="22" xfId="0" applyNumberFormat="1" applyFont="1" applyFill="1" applyBorder="1" applyAlignment="1">
      <alignment vertical="center" wrapText="1"/>
    </xf>
    <xf numFmtId="0" fontId="2" fillId="0" borderId="0" xfId="6" applyFont="1"/>
    <xf numFmtId="0" fontId="2" fillId="0" borderId="0" xfId="6" applyFont="1" applyAlignment="1">
      <alignment horizontal="center"/>
    </xf>
    <xf numFmtId="0" fontId="2" fillId="9" borderId="0" xfId="6" applyFont="1" applyFill="1" applyAlignment="1">
      <alignment horizontal="center"/>
    </xf>
    <xf numFmtId="0" fontId="2" fillId="9" borderId="0" xfId="6" applyFont="1" applyFill="1"/>
    <xf numFmtId="0" fontId="2" fillId="0" borderId="0" xfId="6" applyFont="1" applyAlignment="1">
      <alignment horizontal="right"/>
    </xf>
    <xf numFmtId="0" fontId="11" fillId="0" borderId="0" xfId="7" applyFont="1" applyFill="1" applyBorder="1" applyAlignment="1">
      <alignment vertical="center" wrapText="1"/>
    </xf>
    <xf numFmtId="0" fontId="2" fillId="4" borderId="13" xfId="6" applyFont="1" applyFill="1" applyBorder="1"/>
    <xf numFmtId="164" fontId="2" fillId="4" borderId="13" xfId="6" applyNumberFormat="1" applyFont="1" applyFill="1" applyBorder="1"/>
    <xf numFmtId="0" fontId="22" fillId="0" borderId="14" xfId="6" applyFont="1" applyBorder="1" applyAlignment="1">
      <alignment horizontal="center" wrapText="1"/>
    </xf>
    <xf numFmtId="164" fontId="22" fillId="0" borderId="14" xfId="6" applyNumberFormat="1" applyFont="1" applyBorder="1" applyAlignment="1">
      <alignment horizontal="center" wrapText="1"/>
    </xf>
    <xf numFmtId="164" fontId="22" fillId="0" borderId="14" xfId="6" applyNumberFormat="1" applyFont="1" applyBorder="1" applyAlignment="1">
      <alignment horizontal="right" wrapText="1"/>
    </xf>
    <xf numFmtId="164" fontId="2" fillId="9" borderId="14" xfId="6" applyNumberFormat="1" applyFont="1" applyFill="1" applyBorder="1" applyAlignment="1">
      <alignment horizontal="right"/>
    </xf>
    <xf numFmtId="164" fontId="24" fillId="0" borderId="14" xfId="6" applyNumberFormat="1" applyFont="1" applyBorder="1" applyAlignment="1">
      <alignment horizontal="right"/>
    </xf>
    <xf numFmtId="164" fontId="2" fillId="0" borderId="14" xfId="6" applyNumberFormat="1" applyFont="1" applyBorder="1" applyAlignment="1">
      <alignment horizontal="right"/>
    </xf>
    <xf numFmtId="164" fontId="24" fillId="2" borderId="14" xfId="6" applyNumberFormat="1" applyFont="1" applyFill="1" applyBorder="1" applyAlignment="1">
      <alignment horizontal="right" wrapText="1"/>
    </xf>
    <xf numFmtId="4" fontId="2" fillId="9" borderId="14" xfId="6" applyNumberFormat="1" applyFont="1" applyFill="1" applyBorder="1"/>
    <xf numFmtId="4" fontId="2" fillId="0" borderId="14" xfId="6" applyNumberFormat="1" applyFont="1" applyBorder="1"/>
    <xf numFmtId="164" fontId="22" fillId="5" borderId="14" xfId="6" applyNumberFormat="1" applyFont="1" applyFill="1" applyBorder="1" applyAlignment="1">
      <alignment horizontal="right" wrapText="1"/>
    </xf>
    <xf numFmtId="164" fontId="24" fillId="5" borderId="14" xfId="6" applyNumberFormat="1" applyFont="1" applyFill="1" applyBorder="1" applyAlignment="1">
      <alignment horizontal="right"/>
    </xf>
    <xf numFmtId="164" fontId="22" fillId="0" borderId="14" xfId="6" applyNumberFormat="1" applyFont="1" applyBorder="1"/>
    <xf numFmtId="164" fontId="22" fillId="9" borderId="14" xfId="6" applyNumberFormat="1" applyFont="1" applyFill="1" applyBorder="1"/>
    <xf numFmtId="4" fontId="22" fillId="9" borderId="14" xfId="6" applyNumberFormat="1" applyFont="1" applyFill="1" applyBorder="1"/>
    <xf numFmtId="164" fontId="18" fillId="4" borderId="13" xfId="6" applyNumberFormat="1" applyFont="1" applyFill="1" applyBorder="1"/>
    <xf numFmtId="0" fontId="18" fillId="0" borderId="0" xfId="6" applyFont="1"/>
    <xf numFmtId="0" fontId="2" fillId="6" borderId="13" xfId="6" applyFont="1" applyFill="1" applyBorder="1"/>
    <xf numFmtId="0" fontId="2" fillId="2" borderId="0" xfId="6" applyFont="1" applyFill="1"/>
    <xf numFmtId="164" fontId="22" fillId="2" borderId="14" xfId="6" applyNumberFormat="1" applyFont="1" applyFill="1" applyBorder="1" applyAlignment="1">
      <alignment horizontal="center" wrapText="1"/>
    </xf>
    <xf numFmtId="164" fontId="18" fillId="2" borderId="4" xfId="6" applyNumberFormat="1" applyFont="1" applyFill="1" applyBorder="1" applyAlignment="1">
      <alignment horizontal="center"/>
    </xf>
    <xf numFmtId="164" fontId="18" fillId="9" borderId="4" xfId="6" applyNumberFormat="1" applyFont="1" applyFill="1" applyBorder="1" applyAlignment="1">
      <alignment horizontal="right"/>
    </xf>
    <xf numFmtId="165" fontId="2" fillId="0" borderId="0" xfId="6" applyNumberFormat="1" applyFont="1" applyAlignment="1">
      <alignment horizontal="center"/>
    </xf>
    <xf numFmtId="164" fontId="2" fillId="0" borderId="0" xfId="6" applyNumberFormat="1" applyFont="1" applyAlignment="1">
      <alignment horizontal="center"/>
    </xf>
    <xf numFmtId="164" fontId="2" fillId="0" borderId="0" xfId="6" applyNumberFormat="1" applyFont="1"/>
    <xf numFmtId="0" fontId="2" fillId="8" borderId="0" xfId="6" applyFont="1" applyFill="1"/>
    <xf numFmtId="0" fontId="2" fillId="6" borderId="0" xfId="6" applyFont="1" applyFill="1"/>
    <xf numFmtId="164" fontId="2" fillId="9" borderId="0" xfId="6" applyNumberFormat="1" applyFont="1" applyFill="1" applyAlignment="1">
      <alignment horizontal="center"/>
    </xf>
    <xf numFmtId="164" fontId="2" fillId="9" borderId="0" xfId="6" applyNumberFormat="1" applyFont="1" applyFill="1"/>
    <xf numFmtId="165" fontId="2" fillId="9" borderId="0" xfId="6" applyNumberFormat="1" applyFont="1" applyFill="1" applyAlignment="1">
      <alignment horizontal="center"/>
    </xf>
    <xf numFmtId="0" fontId="2" fillId="4" borderId="26" xfId="6" applyFont="1" applyFill="1" applyBorder="1"/>
    <xf numFmtId="164" fontId="2" fillId="4" borderId="26" xfId="6" applyNumberFormat="1" applyFont="1" applyFill="1" applyBorder="1"/>
    <xf numFmtId="164" fontId="18" fillId="4" borderId="26" xfId="6" applyNumberFormat="1" applyFont="1" applyFill="1" applyBorder="1"/>
    <xf numFmtId="0" fontId="2" fillId="6" borderId="26" xfId="6" applyFont="1" applyFill="1" applyBorder="1"/>
    <xf numFmtId="164" fontId="2" fillId="7" borderId="26" xfId="6" applyNumberFormat="1" applyFont="1" applyFill="1" applyBorder="1"/>
    <xf numFmtId="164" fontId="18" fillId="2" borderId="6" xfId="6" applyNumberFormat="1" applyFont="1" applyFill="1" applyBorder="1" applyAlignment="1">
      <alignment horizontal="center"/>
    </xf>
    <xf numFmtId="164" fontId="18" fillId="9" borderId="12" xfId="6" applyNumberFormat="1" applyFont="1" applyFill="1" applyBorder="1" applyAlignment="1">
      <alignment horizontal="right"/>
    </xf>
    <xf numFmtId="0" fontId="9" fillId="0" borderId="14" xfId="7" applyNumberFormat="1" applyFont="1" applyFill="1" applyBorder="1" applyAlignment="1">
      <alignment horizontal="center" vertical="top" wrapText="1"/>
    </xf>
    <xf numFmtId="0" fontId="9" fillId="0" borderId="22" xfId="7" applyNumberFormat="1" applyFont="1" applyFill="1" applyBorder="1" applyAlignment="1">
      <alignment horizontal="center" vertical="top" wrapText="1"/>
    </xf>
    <xf numFmtId="0" fontId="30" fillId="0" borderId="21" xfId="6" applyFont="1" applyBorder="1" applyAlignment="1">
      <alignment horizontal="center" vertical="center" wrapText="1"/>
    </xf>
    <xf numFmtId="0" fontId="30" fillId="0" borderId="14" xfId="6" applyFont="1" applyBorder="1" applyAlignment="1">
      <alignment horizontal="center" vertical="center" wrapText="1"/>
    </xf>
    <xf numFmtId="0" fontId="29" fillId="0" borderId="14" xfId="6" applyFont="1" applyBorder="1" applyAlignment="1">
      <alignment horizontal="center" vertical="center" wrapText="1"/>
    </xf>
    <xf numFmtId="0" fontId="31" fillId="9" borderId="14" xfId="7" applyNumberFormat="1" applyFont="1" applyFill="1" applyBorder="1" applyAlignment="1">
      <alignment horizontal="center" vertical="center" wrapText="1"/>
    </xf>
    <xf numFmtId="0" fontId="31" fillId="0" borderId="14" xfId="7" applyNumberFormat="1" applyFont="1" applyFill="1" applyBorder="1" applyAlignment="1">
      <alignment horizontal="center" vertical="center" wrapText="1"/>
    </xf>
    <xf numFmtId="0" fontId="31" fillId="0" borderId="22" xfId="7" applyNumberFormat="1" applyFont="1" applyFill="1" applyBorder="1" applyAlignment="1">
      <alignment horizontal="center" vertical="center" wrapText="1"/>
    </xf>
    <xf numFmtId="0" fontId="21" fillId="5" borderId="21" xfId="6" applyFont="1" applyFill="1" applyBorder="1" applyAlignment="1">
      <alignment vertical="center" wrapText="1"/>
    </xf>
    <xf numFmtId="0" fontId="21" fillId="5" borderId="14" xfId="6" applyFont="1" applyFill="1" applyBorder="1" applyAlignment="1">
      <alignment horizontal="center" wrapText="1"/>
    </xf>
    <xf numFmtId="164" fontId="21" fillId="5" borderId="14" xfId="6" applyNumberFormat="1" applyFont="1" applyFill="1" applyBorder="1" applyAlignment="1">
      <alignment horizontal="center" wrapText="1"/>
    </xf>
    <xf numFmtId="164" fontId="21" fillId="5" borderId="14" xfId="6" applyNumberFormat="1" applyFont="1" applyFill="1" applyBorder="1" applyAlignment="1">
      <alignment horizontal="right" wrapText="1"/>
    </xf>
    <xf numFmtId="164" fontId="21" fillId="9" borderId="14" xfId="6" applyNumberFormat="1" applyFont="1" applyFill="1" applyBorder="1" applyAlignment="1">
      <alignment horizontal="right" wrapText="1"/>
    </xf>
    <xf numFmtId="164" fontId="25" fillId="5" borderId="14" xfId="6" applyNumberFormat="1" applyFont="1" applyFill="1" applyBorder="1" applyAlignment="1">
      <alignment horizontal="right"/>
    </xf>
    <xf numFmtId="164" fontId="25" fillId="5" borderId="14" xfId="6" applyNumberFormat="1" applyFont="1" applyFill="1" applyBorder="1" applyAlignment="1">
      <alignment horizontal="right" wrapText="1"/>
    </xf>
    <xf numFmtId="164" fontId="25" fillId="5" borderId="22" xfId="6" applyNumberFormat="1" applyFont="1" applyFill="1" applyBorder="1" applyAlignment="1">
      <alignment horizontal="right" wrapText="1"/>
    </xf>
    <xf numFmtId="0" fontId="22" fillId="0" borderId="21" xfId="6" applyFont="1" applyBorder="1" applyAlignment="1">
      <alignment vertical="center" wrapText="1"/>
    </xf>
    <xf numFmtId="164" fontId="24" fillId="2" borderId="22" xfId="6" applyNumberFormat="1" applyFont="1" applyFill="1" applyBorder="1" applyAlignment="1">
      <alignment horizontal="right" wrapText="1"/>
    </xf>
    <xf numFmtId="0" fontId="22" fillId="2" borderId="21" xfId="6" applyFont="1" applyFill="1" applyBorder="1" applyAlignment="1">
      <alignment vertical="center" wrapText="1"/>
    </xf>
    <xf numFmtId="165" fontId="2" fillId="0" borderId="14" xfId="0" applyNumberFormat="1" applyFont="1" applyBorder="1"/>
    <xf numFmtId="0" fontId="21" fillId="2" borderId="23" xfId="6" applyFont="1" applyFill="1" applyBorder="1" applyAlignment="1">
      <alignment vertical="center" wrapText="1"/>
    </xf>
    <xf numFmtId="0" fontId="18" fillId="2" borderId="24" xfId="6" applyFont="1" applyFill="1" applyBorder="1" applyAlignment="1">
      <alignment horizontal="center"/>
    </xf>
    <xf numFmtId="164" fontId="18" fillId="2" borderId="24" xfId="6" applyNumberFormat="1" applyFont="1" applyFill="1" applyBorder="1" applyAlignment="1">
      <alignment horizontal="center"/>
    </xf>
    <xf numFmtId="164" fontId="18" fillId="2" borderId="24" xfId="6" applyNumberFormat="1" applyFont="1" applyFill="1" applyBorder="1" applyAlignment="1">
      <alignment horizontal="right"/>
    </xf>
    <xf numFmtId="164" fontId="18" fillId="9" borderId="24" xfId="6" applyNumberFormat="1" applyFont="1" applyFill="1" applyBorder="1" applyAlignment="1">
      <alignment horizontal="right"/>
    </xf>
    <xf numFmtId="164" fontId="25" fillId="2" borderId="24" xfId="6" applyNumberFormat="1" applyFont="1" applyFill="1" applyBorder="1" applyAlignment="1">
      <alignment horizontal="right"/>
    </xf>
    <xf numFmtId="164" fontId="25" fillId="2" borderId="25" xfId="6" applyNumberFormat="1" applyFont="1" applyFill="1" applyBorder="1" applyAlignment="1">
      <alignment horizontal="right" wrapText="1"/>
    </xf>
    <xf numFmtId="168" fontId="18" fillId="2" borderId="24" xfId="6" applyNumberFormat="1" applyFont="1" applyFill="1" applyBorder="1" applyAlignment="1">
      <alignment horizontal="right"/>
    </xf>
    <xf numFmtId="168" fontId="1" fillId="0" borderId="0" xfId="0" applyNumberFormat="1" applyFont="1" applyBorder="1" applyAlignment="1">
      <alignment horizontal="right" vertical="center"/>
    </xf>
    <xf numFmtId="168" fontId="1" fillId="0" borderId="0" xfId="0" applyNumberFormat="1" applyFont="1" applyAlignment="1">
      <alignment horizontal="right" vertical="center"/>
    </xf>
    <xf numFmtId="0" fontId="11" fillId="0" borderId="3" xfId="1" applyFont="1" applyFill="1" applyBorder="1" applyAlignment="1">
      <alignment horizontal="center"/>
    </xf>
    <xf numFmtId="0" fontId="11" fillId="0" borderId="4" xfId="1" applyFont="1" applyFill="1" applyBorder="1" applyAlignment="1">
      <alignment horizontal="center"/>
    </xf>
    <xf numFmtId="0" fontId="11" fillId="0" borderId="5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 wrapText="1"/>
    </xf>
    <xf numFmtId="0" fontId="11" fillId="0" borderId="4" xfId="1" applyFont="1" applyFill="1" applyBorder="1" applyAlignment="1">
      <alignment horizontal="center" wrapText="1"/>
    </xf>
    <xf numFmtId="0" fontId="11" fillId="0" borderId="5" xfId="1" applyFont="1" applyFill="1" applyBorder="1" applyAlignment="1">
      <alignment horizontal="center" wrapText="1"/>
    </xf>
    <xf numFmtId="4" fontId="11" fillId="0" borderId="3" xfId="1" applyNumberFormat="1" applyFont="1" applyFill="1" applyBorder="1" applyAlignment="1">
      <alignment horizontal="center" vertical="center" wrapText="1"/>
    </xf>
    <xf numFmtId="4" fontId="11" fillId="0" borderId="4" xfId="1" applyNumberFormat="1" applyFont="1" applyFill="1" applyBorder="1" applyAlignment="1">
      <alignment horizontal="center" vertical="center" wrapText="1"/>
    </xf>
    <xf numFmtId="4" fontId="11" fillId="0" borderId="5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/>
    </xf>
    <xf numFmtId="0" fontId="11" fillId="0" borderId="6" xfId="1" applyFont="1" applyFill="1" applyBorder="1" applyAlignment="1">
      <alignment horizontal="center"/>
    </xf>
    <xf numFmtId="0" fontId="11" fillId="0" borderId="15" xfId="1" applyFont="1" applyFill="1" applyBorder="1" applyAlignment="1">
      <alignment horizontal="center"/>
    </xf>
    <xf numFmtId="172" fontId="9" fillId="0" borderId="0" xfId="1" applyNumberFormat="1" applyFont="1" applyFill="1" applyAlignment="1">
      <alignment horizontal="right"/>
    </xf>
    <xf numFmtId="0" fontId="16" fillId="0" borderId="0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8" fillId="2" borderId="19" xfId="4" applyFont="1" applyFill="1" applyBorder="1" applyAlignment="1">
      <alignment horizontal="center" vertical="center" wrapText="1"/>
    </xf>
    <xf numFmtId="0" fontId="18" fillId="2" borderId="14" xfId="4" applyFont="1" applyFill="1" applyBorder="1" applyAlignment="1">
      <alignment horizontal="center" vertical="center" wrapText="1"/>
    </xf>
    <xf numFmtId="0" fontId="18" fillId="0" borderId="19" xfId="4" applyFont="1" applyBorder="1" applyAlignment="1">
      <alignment horizontal="center" vertical="center" wrapText="1"/>
    </xf>
    <xf numFmtId="0" fontId="18" fillId="0" borderId="14" xfId="4" applyFont="1" applyBorder="1" applyAlignment="1">
      <alignment horizontal="center" vertical="center" wrapText="1"/>
    </xf>
    <xf numFmtId="0" fontId="18" fillId="0" borderId="22" xfId="4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8" fillId="0" borderId="20" xfId="4" applyFont="1" applyBorder="1" applyAlignment="1">
      <alignment horizontal="center" vertical="center" wrapText="1"/>
    </xf>
    <xf numFmtId="0" fontId="18" fillId="0" borderId="18" xfId="4" applyFont="1" applyBorder="1" applyAlignment="1">
      <alignment horizontal="center" vertical="center" wrapText="1"/>
    </xf>
    <xf numFmtId="0" fontId="18" fillId="0" borderId="21" xfId="4" applyFont="1" applyBorder="1" applyAlignment="1">
      <alignment horizontal="center" vertical="center" wrapText="1"/>
    </xf>
    <xf numFmtId="0" fontId="2" fillId="0" borderId="0" xfId="6" applyFont="1" applyAlignment="1">
      <alignment horizontal="center"/>
    </xf>
    <xf numFmtId="0" fontId="9" fillId="9" borderId="19" xfId="7" applyNumberFormat="1" applyFont="1" applyFill="1" applyBorder="1" applyAlignment="1">
      <alignment horizontal="center" vertical="center" wrapText="1"/>
    </xf>
    <xf numFmtId="0" fontId="9" fillId="9" borderId="14" xfId="7" applyNumberFormat="1" applyFont="1" applyFill="1" applyBorder="1" applyAlignment="1">
      <alignment horizontal="center" vertical="center" wrapText="1"/>
    </xf>
    <xf numFmtId="0" fontId="9" fillId="0" borderId="19" xfId="7" applyNumberFormat="1" applyFont="1" applyFill="1" applyBorder="1" applyAlignment="1">
      <alignment horizontal="center" vertical="top" wrapText="1"/>
    </xf>
    <xf numFmtId="0" fontId="9" fillId="0" borderId="19" xfId="7" applyNumberFormat="1" applyFont="1" applyFill="1" applyBorder="1" applyAlignment="1">
      <alignment horizontal="center" vertical="center" wrapText="1"/>
    </xf>
    <xf numFmtId="0" fontId="9" fillId="0" borderId="14" xfId="7" applyNumberFormat="1" applyFont="1" applyFill="1" applyBorder="1" applyAlignment="1">
      <alignment horizontal="center" vertical="center" wrapText="1"/>
    </xf>
    <xf numFmtId="0" fontId="9" fillId="0" borderId="20" xfId="7" applyNumberFormat="1" applyFont="1" applyFill="1" applyBorder="1" applyAlignment="1">
      <alignment horizontal="center" vertical="top" wrapText="1"/>
    </xf>
    <xf numFmtId="0" fontId="2" fillId="4" borderId="26" xfId="6" applyFont="1" applyFill="1" applyBorder="1" applyAlignment="1">
      <alignment horizontal="center" wrapText="1"/>
    </xf>
    <xf numFmtId="0" fontId="2" fillId="4" borderId="13" xfId="6" applyFont="1" applyFill="1" applyBorder="1" applyAlignment="1">
      <alignment horizontal="center" wrapText="1"/>
    </xf>
    <xf numFmtId="0" fontId="28" fillId="0" borderId="0" xfId="7" applyFont="1" applyFill="1" applyBorder="1" applyAlignment="1">
      <alignment horizontal="center" vertical="center" wrapText="1"/>
    </xf>
    <xf numFmtId="0" fontId="2" fillId="0" borderId="0" xfId="6" applyFont="1" applyBorder="1" applyAlignment="1">
      <alignment horizontal="right"/>
    </xf>
    <xf numFmtId="0" fontId="21" fillId="0" borderId="18" xfId="6" applyFont="1" applyBorder="1" applyAlignment="1">
      <alignment horizontal="center" vertical="center" wrapText="1"/>
    </xf>
    <xf numFmtId="0" fontId="21" fillId="0" borderId="21" xfId="6" applyFont="1" applyBorder="1" applyAlignment="1">
      <alignment horizontal="center" vertical="center" wrapText="1"/>
    </xf>
    <xf numFmtId="0" fontId="21" fillId="0" borderId="19" xfId="6" applyFont="1" applyBorder="1" applyAlignment="1">
      <alignment horizontal="center" vertical="center" wrapText="1"/>
    </xf>
    <xf numFmtId="0" fontId="21" fillId="0" borderId="14" xfId="6" applyFont="1" applyBorder="1" applyAlignment="1">
      <alignment horizontal="center" vertical="center" wrapText="1"/>
    </xf>
    <xf numFmtId="0" fontId="18" fillId="0" borderId="19" xfId="6" applyFont="1" applyBorder="1" applyAlignment="1">
      <alignment horizontal="center" vertical="center" wrapText="1"/>
    </xf>
    <xf numFmtId="0" fontId="18" fillId="0" borderId="14" xfId="6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3 2" xfId="7"/>
    <cellStyle name="Обычный 5" xfId="4"/>
    <cellStyle name="Обычный 7" xfId="6"/>
    <cellStyle name="Финансовый" xfId="3" builtinId="3"/>
    <cellStyle name="Финансовый [0]_Копия CAU83JUD" xfId="5"/>
  </cellStyles>
  <dxfs count="0"/>
  <tableStyles count="0" defaultTableStyle="TableStyleMedium2" defaultPivotStyle="PivotStyleLight16"/>
  <colors>
    <mruColors>
      <color rgb="FF99FFCC"/>
      <color rgb="FFFFCCFF"/>
      <color rgb="FFFFFFCC"/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6"/>
  <sheetViews>
    <sheetView tabSelected="1" zoomScaleNormal="100" zoomScaleSheetLayoutView="100" workbookViewId="0">
      <pane xSplit="1" ySplit="5" topLeftCell="J21" activePane="bottomRight" state="frozen"/>
      <selection activeCell="E9" sqref="E9"/>
      <selection pane="topRight" activeCell="E9" sqref="E9"/>
      <selection pane="bottomLeft" activeCell="E9" sqref="E9"/>
      <selection pane="bottomRight" activeCell="L4" sqref="L4:S4"/>
    </sheetView>
  </sheetViews>
  <sheetFormatPr defaultColWidth="9.109375" defaultRowHeight="13.2" x14ac:dyDescent="0.25"/>
  <cols>
    <col min="1" max="1" width="23.6640625" style="28" customWidth="1"/>
    <col min="2" max="2" width="13.44140625" style="28" hidden="1" customWidth="1"/>
    <col min="3" max="3" width="13.6640625" style="29" hidden="1" customWidth="1"/>
    <col min="4" max="4" width="13.109375" style="29" hidden="1" customWidth="1"/>
    <col min="5" max="5" width="15" style="29" hidden="1" customWidth="1"/>
    <col min="6" max="7" width="13.109375" style="29" hidden="1" customWidth="1"/>
    <col min="8" max="9" width="11.44140625" style="29" hidden="1" customWidth="1"/>
    <col min="10" max="10" width="15.44140625" style="29" customWidth="1"/>
    <col min="11" max="11" width="15.33203125" style="29" customWidth="1"/>
    <col min="12" max="12" width="10.88671875" style="3" hidden="1" customWidth="1"/>
    <col min="13" max="13" width="11.6640625" style="30" customWidth="1"/>
    <col min="14" max="14" width="12.33203125" style="30" hidden="1" customWidth="1"/>
    <col min="15" max="15" width="13.109375" style="30" hidden="1" customWidth="1"/>
    <col min="16" max="16" width="13.109375" style="30" customWidth="1"/>
    <col min="17" max="17" width="13.109375" style="30" bestFit="1" customWidth="1"/>
    <col min="18" max="19" width="13.33203125" style="30" customWidth="1"/>
    <col min="20" max="16384" width="9.109375" style="28"/>
  </cols>
  <sheetData>
    <row r="1" spans="1:20" x14ac:dyDescent="0.25">
      <c r="H1" s="258" t="s">
        <v>334</v>
      </c>
      <c r="I1" s="258"/>
      <c r="J1" s="27"/>
      <c r="K1" s="27"/>
      <c r="Q1" s="261" t="s">
        <v>28</v>
      </c>
      <c r="R1" s="261"/>
      <c r="S1" s="261"/>
    </row>
    <row r="2" spans="1:20" ht="35.25" customHeight="1" x14ac:dyDescent="0.25">
      <c r="A2" s="262" t="s">
        <v>417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</row>
    <row r="3" spans="1:20" ht="15" customHeight="1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31"/>
      <c r="N3" s="31"/>
      <c r="O3" s="31"/>
      <c r="P3" s="31"/>
      <c r="Q3" s="31"/>
      <c r="R3" s="31"/>
      <c r="S3" s="31"/>
    </row>
    <row r="4" spans="1:20" s="32" customFormat="1" ht="93.6" customHeight="1" thickTop="1" x14ac:dyDescent="0.3">
      <c r="A4" s="256" t="s">
        <v>0</v>
      </c>
      <c r="B4" s="263" t="s">
        <v>335</v>
      </c>
      <c r="C4" s="263"/>
      <c r="D4" s="263"/>
      <c r="E4" s="263"/>
      <c r="F4" s="263"/>
      <c r="G4" s="263"/>
      <c r="H4" s="263"/>
      <c r="I4" s="263"/>
      <c r="J4" s="263" t="s">
        <v>418</v>
      </c>
      <c r="K4" s="263"/>
      <c r="L4" s="263" t="s">
        <v>419</v>
      </c>
      <c r="M4" s="263"/>
      <c r="N4" s="263"/>
      <c r="O4" s="263"/>
      <c r="P4" s="263"/>
      <c r="Q4" s="263"/>
      <c r="R4" s="263"/>
      <c r="S4" s="264"/>
    </row>
    <row r="5" spans="1:20" s="32" customFormat="1" ht="31.5" customHeight="1" x14ac:dyDescent="0.3">
      <c r="A5" s="257"/>
      <c r="B5" s="5" t="s">
        <v>336</v>
      </c>
      <c r="C5" s="5" t="s">
        <v>337</v>
      </c>
      <c r="D5" s="5" t="s">
        <v>338</v>
      </c>
      <c r="E5" s="5" t="s">
        <v>339</v>
      </c>
      <c r="F5" s="5" t="s">
        <v>340</v>
      </c>
      <c r="G5" s="5" t="s">
        <v>341</v>
      </c>
      <c r="H5" s="5" t="s">
        <v>342</v>
      </c>
      <c r="I5" s="5" t="s">
        <v>343</v>
      </c>
      <c r="J5" s="5" t="s">
        <v>26</v>
      </c>
      <c r="K5" s="5" t="s">
        <v>18</v>
      </c>
      <c r="L5" s="5" t="s">
        <v>15</v>
      </c>
      <c r="M5" s="33" t="s">
        <v>344</v>
      </c>
      <c r="N5" s="33" t="s">
        <v>16</v>
      </c>
      <c r="O5" s="33" t="s">
        <v>17</v>
      </c>
      <c r="P5" s="33" t="s">
        <v>345</v>
      </c>
      <c r="Q5" s="33" t="s">
        <v>19</v>
      </c>
      <c r="R5" s="33" t="s">
        <v>25</v>
      </c>
      <c r="S5" s="34" t="s">
        <v>346</v>
      </c>
    </row>
    <row r="6" spans="1:20" x14ac:dyDescent="0.25">
      <c r="A6" s="35" t="s">
        <v>20</v>
      </c>
      <c r="B6" s="12" t="s">
        <v>347</v>
      </c>
      <c r="C6" s="12">
        <v>2</v>
      </c>
      <c r="D6" s="12">
        <v>3</v>
      </c>
      <c r="E6" s="12">
        <v>4</v>
      </c>
      <c r="F6" s="12">
        <v>3</v>
      </c>
      <c r="G6" s="12" t="s">
        <v>347</v>
      </c>
      <c r="H6" s="12">
        <v>6</v>
      </c>
      <c r="I6" s="12">
        <v>7</v>
      </c>
      <c r="J6" s="12">
        <v>1</v>
      </c>
      <c r="K6" s="12">
        <v>2</v>
      </c>
      <c r="L6" s="12">
        <v>3</v>
      </c>
      <c r="M6" s="36">
        <v>3</v>
      </c>
      <c r="N6" s="36">
        <v>4</v>
      </c>
      <c r="O6" s="36">
        <v>5</v>
      </c>
      <c r="P6" s="36">
        <v>4</v>
      </c>
      <c r="Q6" s="36">
        <v>5</v>
      </c>
      <c r="R6" s="36">
        <v>6</v>
      </c>
      <c r="S6" s="37">
        <v>7</v>
      </c>
    </row>
    <row r="7" spans="1:20" x14ac:dyDescent="0.25">
      <c r="A7" s="247" t="s">
        <v>21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9"/>
    </row>
    <row r="8" spans="1:20" x14ac:dyDescent="0.25">
      <c r="A8" s="1" t="s">
        <v>1</v>
      </c>
      <c r="B8" s="6">
        <v>361.03476999999998</v>
      </c>
      <c r="C8" s="7">
        <v>367.98869000000002</v>
      </c>
      <c r="D8" s="7">
        <v>261660.6</v>
      </c>
      <c r="E8" s="7">
        <v>266682.43</v>
      </c>
      <c r="F8" s="7">
        <v>392.18227999999999</v>
      </c>
      <c r="G8" s="6">
        <v>366.39341999999999</v>
      </c>
      <c r="H8" s="7">
        <v>343031.48</v>
      </c>
      <c r="I8" s="7">
        <v>381682.47</v>
      </c>
      <c r="J8" s="6">
        <v>442.76</v>
      </c>
      <c r="K8" s="6">
        <v>480.32</v>
      </c>
      <c r="L8" s="8">
        <v>342.35899999999998</v>
      </c>
      <c r="M8" s="38">
        <v>436.6</v>
      </c>
      <c r="N8" s="39">
        <v>401.07400000000001</v>
      </c>
      <c r="O8" s="39">
        <v>431.84500000000003</v>
      </c>
      <c r="P8" s="39">
        <v>482.8</v>
      </c>
      <c r="Q8" s="39">
        <v>518.97</v>
      </c>
      <c r="R8" s="39">
        <v>563.1</v>
      </c>
      <c r="S8" s="40">
        <v>604.1</v>
      </c>
    </row>
    <row r="9" spans="1:20" x14ac:dyDescent="0.25">
      <c r="A9" s="1" t="s">
        <v>2</v>
      </c>
      <c r="B9" s="7">
        <v>71493</v>
      </c>
      <c r="C9" s="7">
        <v>67588.414728926189</v>
      </c>
      <c r="D9" s="7">
        <v>53274</v>
      </c>
      <c r="E9" s="7"/>
      <c r="F9" s="2">
        <v>73315</v>
      </c>
      <c r="G9" s="2">
        <v>76077</v>
      </c>
      <c r="H9" s="7">
        <v>63436</v>
      </c>
      <c r="I9" s="7">
        <v>70409</v>
      </c>
      <c r="J9" s="2">
        <v>84346</v>
      </c>
      <c r="K9" s="2">
        <v>89487</v>
      </c>
      <c r="L9" s="7">
        <v>71406</v>
      </c>
      <c r="M9" s="41">
        <v>86044</v>
      </c>
      <c r="N9" s="41">
        <v>73515</v>
      </c>
      <c r="O9" s="42">
        <v>78673</v>
      </c>
      <c r="P9" s="42">
        <v>92224</v>
      </c>
      <c r="Q9" s="42">
        <v>97462</v>
      </c>
      <c r="R9" s="42">
        <v>103228</v>
      </c>
      <c r="S9" s="43">
        <v>110237</v>
      </c>
    </row>
    <row r="10" spans="1:20" x14ac:dyDescent="0.25">
      <c r="A10" s="250" t="s">
        <v>22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2"/>
    </row>
    <row r="11" spans="1:20" x14ac:dyDescent="0.25">
      <c r="A11" s="1" t="s">
        <v>1</v>
      </c>
      <c r="B11" s="6">
        <v>99.64</v>
      </c>
      <c r="C11" s="44">
        <v>106.57</v>
      </c>
      <c r="D11" s="45"/>
      <c r="E11" s="45">
        <v>106.08</v>
      </c>
      <c r="F11" s="44">
        <v>101.16</v>
      </c>
      <c r="G11" s="6">
        <v>100.05</v>
      </c>
      <c r="H11" s="45">
        <v>104.4</v>
      </c>
      <c r="I11" s="45">
        <v>105.57</v>
      </c>
      <c r="J11" s="6">
        <v>101.74</v>
      </c>
      <c r="K11" s="6">
        <v>103.46</v>
      </c>
      <c r="L11" s="8">
        <v>94.04</v>
      </c>
      <c r="M11" s="38">
        <v>102.2</v>
      </c>
      <c r="N11" s="39">
        <v>98.63</v>
      </c>
      <c r="O11" s="39">
        <v>101.14</v>
      </c>
      <c r="P11" s="39">
        <v>104.6</v>
      </c>
      <c r="Q11" s="39">
        <v>101.79</v>
      </c>
      <c r="R11" s="39">
        <v>103.44</v>
      </c>
      <c r="S11" s="40">
        <v>102.67</v>
      </c>
    </row>
    <row r="12" spans="1:20" x14ac:dyDescent="0.25">
      <c r="A12" s="1" t="s">
        <v>2</v>
      </c>
      <c r="B12" s="9">
        <v>100.5</v>
      </c>
      <c r="C12" s="2">
        <v>101.84247767924923</v>
      </c>
      <c r="D12" s="2"/>
      <c r="E12" s="2">
        <v>103.7</v>
      </c>
      <c r="F12" s="2">
        <v>102.95177670670436</v>
      </c>
      <c r="G12" s="9">
        <v>102</v>
      </c>
      <c r="H12" s="45">
        <v>104</v>
      </c>
      <c r="I12" s="45">
        <v>104.6</v>
      </c>
      <c r="J12" s="9">
        <v>99.8</v>
      </c>
      <c r="K12" s="9">
        <v>100.8</v>
      </c>
      <c r="L12" s="9">
        <v>100.6</v>
      </c>
      <c r="M12" s="42">
        <v>99.8</v>
      </c>
      <c r="N12" s="42">
        <v>96.1</v>
      </c>
      <c r="O12" s="42">
        <v>100.7</v>
      </c>
      <c r="P12" s="42">
        <v>102.1</v>
      </c>
      <c r="Q12" s="42">
        <v>102.1</v>
      </c>
      <c r="R12" s="42">
        <v>102.2</v>
      </c>
      <c r="S12" s="43">
        <v>102.3</v>
      </c>
      <c r="T12" s="46"/>
    </row>
    <row r="13" spans="1:20" x14ac:dyDescent="0.25">
      <c r="A13" s="247" t="s">
        <v>3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9"/>
    </row>
    <row r="14" spans="1:20" x14ac:dyDescent="0.25">
      <c r="A14" s="1" t="s">
        <v>1</v>
      </c>
      <c r="B14" s="10">
        <v>106</v>
      </c>
      <c r="C14" s="47">
        <v>105.91</v>
      </c>
      <c r="D14" s="48"/>
      <c r="E14" s="48">
        <v>108.11</v>
      </c>
      <c r="F14" s="47">
        <v>105.41</v>
      </c>
      <c r="G14" s="10">
        <v>105</v>
      </c>
      <c r="H14" s="48">
        <v>106.1</v>
      </c>
      <c r="I14" s="48">
        <v>105.2</v>
      </c>
      <c r="J14" s="10">
        <v>106.39</v>
      </c>
      <c r="K14" s="47">
        <v>104.85</v>
      </c>
      <c r="L14" s="10">
        <v>113</v>
      </c>
      <c r="M14" s="49">
        <v>104.77</v>
      </c>
      <c r="N14" s="49">
        <v>110.88</v>
      </c>
      <c r="O14" s="49">
        <v>106.92</v>
      </c>
      <c r="P14" s="49">
        <v>104.1</v>
      </c>
      <c r="Q14" s="49">
        <v>104.03</v>
      </c>
      <c r="R14" s="49">
        <v>103.97</v>
      </c>
      <c r="S14" s="50">
        <v>103.97</v>
      </c>
    </row>
    <row r="15" spans="1:20" x14ac:dyDescent="0.25">
      <c r="A15" s="1" t="s">
        <v>2</v>
      </c>
      <c r="B15" s="11">
        <v>106</v>
      </c>
      <c r="C15" s="51">
        <v>106</v>
      </c>
      <c r="D15" s="52"/>
      <c r="E15" s="52" t="s">
        <v>348</v>
      </c>
      <c r="F15" s="10" t="s">
        <v>349</v>
      </c>
      <c r="G15" s="11">
        <v>105</v>
      </c>
      <c r="H15" s="52" t="s">
        <v>349</v>
      </c>
      <c r="I15" s="52" t="s">
        <v>350</v>
      </c>
      <c r="J15" s="11">
        <v>106.5</v>
      </c>
      <c r="K15" s="11">
        <v>104.9</v>
      </c>
      <c r="L15" s="11">
        <v>111.4</v>
      </c>
      <c r="M15" s="53">
        <v>105.4</v>
      </c>
      <c r="N15" s="53">
        <v>112.2</v>
      </c>
      <c r="O15" s="53">
        <v>106.4</v>
      </c>
      <c r="P15" s="53">
        <v>103.2</v>
      </c>
      <c r="Q15" s="53">
        <v>104</v>
      </c>
      <c r="R15" s="53">
        <v>104</v>
      </c>
      <c r="S15" s="54">
        <v>104</v>
      </c>
    </row>
    <row r="16" spans="1:20" x14ac:dyDescent="0.25">
      <c r="A16" s="247" t="s">
        <v>4</v>
      </c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9"/>
    </row>
    <row r="17" spans="1:19" x14ac:dyDescent="0.25">
      <c r="A17" s="1" t="s">
        <v>1</v>
      </c>
      <c r="B17" s="10">
        <v>66.19684374793043</v>
      </c>
      <c r="C17" s="47">
        <v>65.97</v>
      </c>
      <c r="D17" s="48"/>
      <c r="E17" s="48">
        <v>119</v>
      </c>
      <c r="F17" s="47">
        <v>103.97</v>
      </c>
      <c r="G17" s="10">
        <v>85.711015670935396</v>
      </c>
      <c r="H17" s="48">
        <v>106.3</v>
      </c>
      <c r="I17" s="48">
        <v>106.9</v>
      </c>
      <c r="J17" s="10">
        <v>100.5</v>
      </c>
      <c r="K17" s="10">
        <v>104.88</v>
      </c>
      <c r="L17" s="10">
        <v>64.36</v>
      </c>
      <c r="M17" s="49">
        <v>140.69999999999999</v>
      </c>
      <c r="N17" s="49">
        <v>67.39</v>
      </c>
      <c r="O17" s="49">
        <v>87.39</v>
      </c>
      <c r="P17" s="49">
        <v>83.63</v>
      </c>
      <c r="Q17" s="49">
        <v>108.85</v>
      </c>
      <c r="R17" s="49">
        <v>110.63</v>
      </c>
      <c r="S17" s="50">
        <v>108.41</v>
      </c>
    </row>
    <row r="18" spans="1:19" x14ac:dyDescent="0.25">
      <c r="A18" s="1" t="s">
        <v>2</v>
      </c>
      <c r="B18" s="11">
        <v>97.6</v>
      </c>
      <c r="C18" s="55">
        <v>102.5</v>
      </c>
      <c r="D18" s="48"/>
      <c r="E18" s="48">
        <v>106</v>
      </c>
      <c r="F18" s="55">
        <v>103.9</v>
      </c>
      <c r="G18" s="11">
        <v>102.4</v>
      </c>
      <c r="H18" s="48">
        <v>107.1</v>
      </c>
      <c r="I18" s="48">
        <v>107.2</v>
      </c>
      <c r="J18" s="11">
        <v>96.9</v>
      </c>
      <c r="K18" s="11">
        <v>100.8</v>
      </c>
      <c r="L18" s="11">
        <v>97.3</v>
      </c>
      <c r="M18" s="53">
        <v>99.1</v>
      </c>
      <c r="N18" s="53">
        <v>90.1</v>
      </c>
      <c r="O18" s="53">
        <v>98.4</v>
      </c>
      <c r="P18" s="53">
        <v>104.1</v>
      </c>
      <c r="Q18" s="53">
        <v>104.7</v>
      </c>
      <c r="R18" s="53">
        <v>105.6</v>
      </c>
      <c r="S18" s="54">
        <v>105.7</v>
      </c>
    </row>
    <row r="19" spans="1:19" x14ac:dyDescent="0.25">
      <c r="A19" s="247" t="s">
        <v>5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9"/>
    </row>
    <row r="20" spans="1:19" x14ac:dyDescent="0.25">
      <c r="A20" s="1" t="s">
        <v>1</v>
      </c>
      <c r="B20" s="6">
        <v>103.73</v>
      </c>
      <c r="C20" s="56">
        <v>105.93397497290046</v>
      </c>
      <c r="D20" s="57">
        <v>104</v>
      </c>
      <c r="E20" s="57">
        <v>103.1</v>
      </c>
      <c r="F20" s="56">
        <v>104.57</v>
      </c>
      <c r="G20" s="6">
        <v>103.43</v>
      </c>
      <c r="H20" s="57">
        <v>103.8</v>
      </c>
      <c r="I20" s="57">
        <v>104.6</v>
      </c>
      <c r="J20" s="6">
        <v>97.85</v>
      </c>
      <c r="K20" s="6">
        <v>100.75</v>
      </c>
      <c r="L20" s="6">
        <v>103.9</v>
      </c>
      <c r="M20" s="39">
        <v>96.6</v>
      </c>
      <c r="N20" s="39">
        <v>92.14</v>
      </c>
      <c r="O20" s="39">
        <v>101.53</v>
      </c>
      <c r="P20" s="39">
        <v>100.78</v>
      </c>
      <c r="Q20" s="39">
        <v>101.78</v>
      </c>
      <c r="R20" s="39">
        <v>101.88</v>
      </c>
      <c r="S20" s="40">
        <v>102.22</v>
      </c>
    </row>
    <row r="21" spans="1:19" x14ac:dyDescent="0.25">
      <c r="A21" s="1" t="s">
        <v>2</v>
      </c>
      <c r="B21" s="9">
        <v>101.9</v>
      </c>
      <c r="C21" s="56">
        <v>104.2</v>
      </c>
      <c r="D21" s="57"/>
      <c r="E21" s="57">
        <v>105.3</v>
      </c>
      <c r="F21" s="56">
        <v>104</v>
      </c>
      <c r="G21" s="9">
        <v>102.1</v>
      </c>
      <c r="H21" s="57">
        <v>105.3</v>
      </c>
      <c r="I21" s="57">
        <v>105.5</v>
      </c>
      <c r="J21" s="9">
        <v>97.34</v>
      </c>
      <c r="K21" s="9">
        <v>101.1</v>
      </c>
      <c r="L21" s="9">
        <v>102.7</v>
      </c>
      <c r="M21" s="42">
        <v>95.4</v>
      </c>
      <c r="N21" s="42">
        <v>91.5</v>
      </c>
      <c r="O21" s="42">
        <v>100.4</v>
      </c>
      <c r="P21" s="42">
        <v>101.2</v>
      </c>
      <c r="Q21" s="42">
        <v>102.9</v>
      </c>
      <c r="R21" s="42">
        <v>102.7</v>
      </c>
      <c r="S21" s="43">
        <v>102.5</v>
      </c>
    </row>
    <row r="22" spans="1:19" x14ac:dyDescent="0.25">
      <c r="A22" s="247" t="s">
        <v>6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9"/>
    </row>
    <row r="23" spans="1:19" x14ac:dyDescent="0.25">
      <c r="A23" s="1" t="s">
        <v>1</v>
      </c>
      <c r="B23" s="6">
        <v>102.5</v>
      </c>
      <c r="C23" s="58">
        <v>103.79375760266245</v>
      </c>
      <c r="D23" s="59">
        <v>101.2</v>
      </c>
      <c r="E23" s="59">
        <v>102.1</v>
      </c>
      <c r="F23" s="58">
        <v>104.00531872316314</v>
      </c>
      <c r="G23" s="6">
        <v>101.9</v>
      </c>
      <c r="H23" s="60">
        <v>102.3</v>
      </c>
      <c r="I23" s="60">
        <v>102.3</v>
      </c>
      <c r="J23" s="6">
        <v>97.39</v>
      </c>
      <c r="K23" s="6">
        <v>100.35</v>
      </c>
      <c r="L23" s="6">
        <v>104.7</v>
      </c>
      <c r="M23" s="39">
        <v>92.1</v>
      </c>
      <c r="N23" s="39">
        <v>92.95</v>
      </c>
      <c r="O23" s="39">
        <v>100.89</v>
      </c>
      <c r="P23" s="39">
        <v>100</v>
      </c>
      <c r="Q23" s="39">
        <v>101.5</v>
      </c>
      <c r="R23" s="39">
        <v>101.2</v>
      </c>
      <c r="S23" s="40">
        <v>101.2</v>
      </c>
    </row>
    <row r="24" spans="1:19" x14ac:dyDescent="0.25">
      <c r="A24" s="1" t="s">
        <v>2</v>
      </c>
      <c r="B24" s="9">
        <v>100.5</v>
      </c>
      <c r="C24" s="59">
        <v>103.4</v>
      </c>
      <c r="D24" s="59"/>
      <c r="E24" s="59">
        <v>101.5</v>
      </c>
      <c r="F24" s="59">
        <v>103.3</v>
      </c>
      <c r="G24" s="9">
        <v>101.3</v>
      </c>
      <c r="H24" s="60">
        <v>104.8</v>
      </c>
      <c r="I24" s="60">
        <v>105.3</v>
      </c>
      <c r="J24" s="9">
        <v>97.2</v>
      </c>
      <c r="K24" s="9">
        <v>100.7</v>
      </c>
      <c r="L24" s="9">
        <v>99.3</v>
      </c>
      <c r="M24" s="42">
        <v>94.9</v>
      </c>
      <c r="N24" s="42">
        <v>96</v>
      </c>
      <c r="O24" s="42">
        <v>99.3</v>
      </c>
      <c r="P24" s="42">
        <v>101.3</v>
      </c>
      <c r="Q24" s="42">
        <v>102.3</v>
      </c>
      <c r="R24" s="42">
        <v>101.1</v>
      </c>
      <c r="S24" s="43">
        <v>101.2</v>
      </c>
    </row>
    <row r="25" spans="1:19" x14ac:dyDescent="0.25">
      <c r="A25" s="247" t="s">
        <v>7</v>
      </c>
      <c r="B25" s="248"/>
      <c r="C25" s="248"/>
      <c r="D25" s="248"/>
      <c r="E25" s="248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9"/>
    </row>
    <row r="26" spans="1:19" x14ac:dyDescent="0.25">
      <c r="A26" s="1" t="s">
        <v>1</v>
      </c>
      <c r="B26" s="8">
        <v>1143.9000000000001</v>
      </c>
      <c r="C26" s="44">
        <v>1153.7200000000003</v>
      </c>
      <c r="D26" s="7">
        <v>1178.0999999999999</v>
      </c>
      <c r="E26" s="7">
        <v>1177.45</v>
      </c>
      <c r="F26" s="44">
        <v>1142.9000000000001</v>
      </c>
      <c r="G26" s="8">
        <v>1134.3000000000002</v>
      </c>
      <c r="H26" s="7">
        <v>1158</v>
      </c>
      <c r="I26" s="7">
        <v>1148.96</v>
      </c>
      <c r="J26" s="8">
        <v>1125.8499999999999</v>
      </c>
      <c r="K26" s="8">
        <v>1117.3499999999999</v>
      </c>
      <c r="L26" s="8">
        <v>1144.3599999999999</v>
      </c>
      <c r="M26" s="38">
        <v>1126.03</v>
      </c>
      <c r="N26" s="38">
        <v>1135.1600000000001</v>
      </c>
      <c r="O26" s="38">
        <v>1125.8</v>
      </c>
      <c r="P26" s="38">
        <v>1117.83</v>
      </c>
      <c r="Q26" s="38">
        <v>1109.51</v>
      </c>
      <c r="R26" s="38">
        <v>1101.6199999999999</v>
      </c>
      <c r="S26" s="61">
        <v>1093.78</v>
      </c>
    </row>
    <row r="27" spans="1:19" x14ac:dyDescent="0.25">
      <c r="A27" s="1" t="s">
        <v>2</v>
      </c>
      <c r="B27" s="9">
        <v>143700</v>
      </c>
      <c r="C27" s="7">
        <v>143500</v>
      </c>
      <c r="D27" s="7">
        <v>143.1</v>
      </c>
      <c r="E27" s="7">
        <v>143.1</v>
      </c>
      <c r="F27" s="7">
        <v>143700</v>
      </c>
      <c r="G27" s="9">
        <v>143900</v>
      </c>
      <c r="H27" s="7"/>
      <c r="I27" s="7"/>
      <c r="J27" s="9">
        <v>146700</v>
      </c>
      <c r="K27" s="9">
        <v>147000</v>
      </c>
      <c r="L27" s="9">
        <v>143800</v>
      </c>
      <c r="M27" s="42">
        <v>146700</v>
      </c>
      <c r="N27" s="42">
        <v>146500</v>
      </c>
      <c r="O27" s="42">
        <v>146900</v>
      </c>
      <c r="P27" s="42">
        <v>147000</v>
      </c>
      <c r="Q27" s="42">
        <v>147300</v>
      </c>
      <c r="R27" s="42">
        <v>147600</v>
      </c>
      <c r="S27" s="43">
        <v>147800</v>
      </c>
    </row>
    <row r="28" spans="1:19" x14ac:dyDescent="0.25">
      <c r="A28" s="250" t="s">
        <v>8</v>
      </c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1"/>
      <c r="P28" s="251"/>
      <c r="Q28" s="251"/>
      <c r="R28" s="251"/>
      <c r="S28" s="252"/>
    </row>
    <row r="29" spans="1:19" x14ac:dyDescent="0.25">
      <c r="A29" s="1" t="s">
        <v>1</v>
      </c>
      <c r="B29" s="10">
        <v>13.8</v>
      </c>
      <c r="C29" s="47">
        <v>13</v>
      </c>
      <c r="D29" s="62"/>
      <c r="E29" s="62">
        <v>14</v>
      </c>
      <c r="F29" s="47">
        <v>12.9</v>
      </c>
      <c r="G29" s="10">
        <v>13.5</v>
      </c>
      <c r="H29" s="62">
        <v>14</v>
      </c>
      <c r="I29" s="62">
        <v>14</v>
      </c>
      <c r="J29" s="10">
        <v>14.8</v>
      </c>
      <c r="K29" s="10">
        <v>13.9</v>
      </c>
      <c r="L29" s="10">
        <v>13.8</v>
      </c>
      <c r="M29" s="49">
        <v>14.3</v>
      </c>
      <c r="N29" s="49">
        <v>13.9</v>
      </c>
      <c r="O29" s="49">
        <v>13.9</v>
      </c>
      <c r="P29" s="49">
        <v>14.2</v>
      </c>
      <c r="Q29" s="49">
        <v>14.1</v>
      </c>
      <c r="R29" s="49">
        <v>14</v>
      </c>
      <c r="S29" s="50">
        <v>13.9</v>
      </c>
    </row>
    <row r="30" spans="1:19" x14ac:dyDescent="0.25">
      <c r="A30" s="1" t="s">
        <v>2</v>
      </c>
      <c r="B30" s="11">
        <v>11</v>
      </c>
      <c r="C30" s="55">
        <v>11</v>
      </c>
      <c r="D30" s="62"/>
      <c r="E30" s="62"/>
      <c r="F30" s="55">
        <v>10.8</v>
      </c>
      <c r="G30" s="11">
        <v>10.7</v>
      </c>
      <c r="H30" s="48"/>
      <c r="I30" s="48"/>
      <c r="J30" s="11">
        <v>13.7</v>
      </c>
      <c r="K30" s="11">
        <v>13.5</v>
      </c>
      <c r="L30" s="11">
        <v>11.2</v>
      </c>
      <c r="M30" s="53">
        <v>13.5</v>
      </c>
      <c r="N30" s="53">
        <v>13.2</v>
      </c>
      <c r="O30" s="53">
        <v>13.1</v>
      </c>
      <c r="P30" s="53">
        <v>12.8</v>
      </c>
      <c r="Q30" s="53">
        <v>12.3</v>
      </c>
      <c r="R30" s="53">
        <v>11.8</v>
      </c>
      <c r="S30" s="54">
        <v>11.2</v>
      </c>
    </row>
    <row r="31" spans="1:19" x14ac:dyDescent="0.25">
      <c r="A31" s="247" t="s">
        <v>9</v>
      </c>
      <c r="B31" s="248"/>
      <c r="C31" s="248"/>
      <c r="D31" s="248"/>
      <c r="E31" s="248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9"/>
    </row>
    <row r="32" spans="1:19" x14ac:dyDescent="0.25">
      <c r="A32" s="1" t="s">
        <v>1</v>
      </c>
      <c r="B32" s="13">
        <f>B8*1000/B26</f>
        <v>315.6174228516478</v>
      </c>
      <c r="C32" s="13">
        <v>318.95840411885001</v>
      </c>
      <c r="D32" s="13">
        <f>D8/D26</f>
        <v>222.10389610389612</v>
      </c>
      <c r="E32" s="13">
        <f>E8/E26</f>
        <v>226.49151131682873</v>
      </c>
      <c r="F32" s="13">
        <v>343.14662700148739</v>
      </c>
      <c r="G32" s="13">
        <f t="shared" ref="G32:S32" si="0">G8*1000/G26</f>
        <v>323.01280084633686</v>
      </c>
      <c r="H32" s="13">
        <f t="shared" si="0"/>
        <v>296227.53022452502</v>
      </c>
      <c r="I32" s="13">
        <f t="shared" si="0"/>
        <v>332198.22274056537</v>
      </c>
      <c r="J32" s="13">
        <f t="shared" si="0"/>
        <v>393.26730914420222</v>
      </c>
      <c r="K32" s="13">
        <f t="shared" si="0"/>
        <v>429.87425605226656</v>
      </c>
      <c r="L32" s="13">
        <f t="shared" si="0"/>
        <v>299.17071550910555</v>
      </c>
      <c r="M32" s="64">
        <f t="shared" si="0"/>
        <v>387.73389696544496</v>
      </c>
      <c r="N32" s="64">
        <f t="shared" si="0"/>
        <v>353.3193558617287</v>
      </c>
      <c r="O32" s="64">
        <f t="shared" si="0"/>
        <v>383.58944750399718</v>
      </c>
      <c r="P32" s="64">
        <f t="shared" si="0"/>
        <v>431.90825080736789</v>
      </c>
      <c r="Q32" s="64">
        <f t="shared" si="0"/>
        <v>467.74702346080704</v>
      </c>
      <c r="R32" s="64">
        <f t="shared" si="0"/>
        <v>511.15629708974063</v>
      </c>
      <c r="S32" s="65">
        <f t="shared" si="0"/>
        <v>552.30485106694221</v>
      </c>
    </row>
    <row r="33" spans="1:19" x14ac:dyDescent="0.25">
      <c r="A33" s="1" t="s">
        <v>2</v>
      </c>
      <c r="B33" s="13">
        <f>B9*1000/B27</f>
        <v>497.51565762004174</v>
      </c>
      <c r="C33" s="13">
        <f>C9*1000/C27</f>
        <v>470.99940577648908</v>
      </c>
      <c r="D33" s="13">
        <f>D9*1000/D27</f>
        <v>372285.11530398327</v>
      </c>
      <c r="E33" s="13">
        <f>E9*1000/E27</f>
        <v>0</v>
      </c>
      <c r="F33" s="13">
        <f>F9*1000/F27</f>
        <v>510.19485038274183</v>
      </c>
      <c r="G33" s="13">
        <f t="shared" ref="G33:S33" si="1">G9*1000/G27</f>
        <v>528.67963863794307</v>
      </c>
      <c r="H33" s="13" t="e">
        <f t="shared" si="1"/>
        <v>#DIV/0!</v>
      </c>
      <c r="I33" s="13" t="e">
        <f t="shared" si="1"/>
        <v>#DIV/0!</v>
      </c>
      <c r="J33" s="13">
        <f t="shared" si="1"/>
        <v>574.95569188820718</v>
      </c>
      <c r="K33" s="13">
        <f t="shared" si="1"/>
        <v>608.75510204081638</v>
      </c>
      <c r="L33" s="13">
        <f t="shared" si="1"/>
        <v>496.5646731571627</v>
      </c>
      <c r="M33" s="64">
        <f t="shared" si="1"/>
        <v>586.53033401499658</v>
      </c>
      <c r="N33" s="64">
        <f t="shared" si="1"/>
        <v>501.80887372013655</v>
      </c>
      <c r="O33" s="64">
        <f t="shared" si="1"/>
        <v>535.55479918311778</v>
      </c>
      <c r="P33" s="64">
        <f t="shared" si="1"/>
        <v>627.37414965986397</v>
      </c>
      <c r="Q33" s="64">
        <f t="shared" si="1"/>
        <v>661.6564833672777</v>
      </c>
      <c r="R33" s="64">
        <f t="shared" si="1"/>
        <v>699.37669376693771</v>
      </c>
      <c r="S33" s="65">
        <f t="shared" si="1"/>
        <v>745.85250338294998</v>
      </c>
    </row>
    <row r="34" spans="1:19" ht="52.8" x14ac:dyDescent="0.25">
      <c r="A34" s="63" t="s">
        <v>10</v>
      </c>
      <c r="B34" s="14">
        <f>B32/B33</f>
        <v>0.63438691429624983</v>
      </c>
      <c r="C34" s="14">
        <v>0.67719491830996215</v>
      </c>
      <c r="D34" s="14"/>
      <c r="E34" s="14"/>
      <c r="F34" s="14">
        <v>0.67257955807288738</v>
      </c>
      <c r="G34" s="14">
        <f>G32/G33</f>
        <v>0.61098021796059088</v>
      </c>
      <c r="H34" s="14"/>
      <c r="I34" s="14"/>
      <c r="J34" s="14">
        <f>+J32/J33</f>
        <v>0.68399585340685354</v>
      </c>
      <c r="K34" s="14">
        <f>+K32/K33</f>
        <v>0.70615302378762479</v>
      </c>
      <c r="L34" s="14">
        <f>+L32/L33</f>
        <v>0.60248086841735116</v>
      </c>
      <c r="M34" s="64">
        <f>+M32/M33</f>
        <v>0.66106367306065239</v>
      </c>
      <c r="N34" s="64">
        <f t="shared" ref="N34:P34" si="2">+N32/N33</f>
        <v>0.70409148655027209</v>
      </c>
      <c r="O34" s="64">
        <f t="shared" si="2"/>
        <v>0.71624686790051462</v>
      </c>
      <c r="P34" s="64">
        <f t="shared" si="2"/>
        <v>0.68843807326382589</v>
      </c>
      <c r="Q34" s="64">
        <f>+Q32/Q33</f>
        <v>0.70693333356361321</v>
      </c>
      <c r="R34" s="64">
        <f>+R32/R33</f>
        <v>0.73087407922700931</v>
      </c>
      <c r="S34" s="65">
        <f>+S32/S33</f>
        <v>0.74050143769962951</v>
      </c>
    </row>
    <row r="35" spans="1:19" x14ac:dyDescent="0.25">
      <c r="A35" s="247" t="s">
        <v>11</v>
      </c>
      <c r="B35" s="248"/>
      <c r="C35" s="248"/>
      <c r="D35" s="24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9"/>
    </row>
    <row r="36" spans="1:19" x14ac:dyDescent="0.25">
      <c r="A36" s="1" t="s">
        <v>2</v>
      </c>
      <c r="B36" s="9">
        <v>106</v>
      </c>
      <c r="C36" s="2">
        <v>106</v>
      </c>
      <c r="D36" s="45"/>
      <c r="E36" s="45" t="s">
        <v>351</v>
      </c>
      <c r="F36" s="2" t="s">
        <v>349</v>
      </c>
      <c r="G36" s="9">
        <v>105</v>
      </c>
      <c r="H36" s="45" t="s">
        <v>352</v>
      </c>
      <c r="I36" s="66" t="s">
        <v>353</v>
      </c>
      <c r="J36" s="9">
        <v>106.5</v>
      </c>
      <c r="K36" s="9">
        <v>104.9</v>
      </c>
      <c r="L36" s="9">
        <v>111.4</v>
      </c>
      <c r="M36" s="42">
        <v>105.4</v>
      </c>
      <c r="N36" s="42">
        <v>112.2</v>
      </c>
      <c r="O36" s="42">
        <v>106.4</v>
      </c>
      <c r="P36" s="42">
        <v>103.2</v>
      </c>
      <c r="Q36" s="42">
        <v>104</v>
      </c>
      <c r="R36" s="42">
        <v>104</v>
      </c>
      <c r="S36" s="43">
        <v>104</v>
      </c>
    </row>
    <row r="37" spans="1:19" x14ac:dyDescent="0.25">
      <c r="A37" s="253" t="s">
        <v>23</v>
      </c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5"/>
    </row>
    <row r="38" spans="1:19" x14ac:dyDescent="0.25">
      <c r="A38" s="1" t="s">
        <v>1</v>
      </c>
      <c r="B38" s="9">
        <v>33519.300000000003</v>
      </c>
      <c r="C38" s="67">
        <v>29500.47</v>
      </c>
      <c r="D38" s="67"/>
      <c r="E38" s="9"/>
      <c r="F38" s="9">
        <v>32744.98</v>
      </c>
      <c r="G38" s="9">
        <v>36870.22</v>
      </c>
      <c r="H38" s="9"/>
      <c r="I38" s="9"/>
      <c r="J38" s="9">
        <v>37845.94</v>
      </c>
      <c r="K38" s="9">
        <v>39520.19</v>
      </c>
      <c r="L38" s="9">
        <v>33124.800000000003</v>
      </c>
      <c r="M38" s="42">
        <v>38117.96</v>
      </c>
      <c r="N38" s="42">
        <v>35127.129999999997</v>
      </c>
      <c r="O38" s="42">
        <v>36539.26</v>
      </c>
      <c r="P38" s="42">
        <v>40155.82</v>
      </c>
      <c r="Q38" s="42">
        <v>42369.69</v>
      </c>
      <c r="R38" s="42">
        <v>44690.22</v>
      </c>
      <c r="S38" s="43">
        <v>47219.67</v>
      </c>
    </row>
    <row r="39" spans="1:19" x14ac:dyDescent="0.25">
      <c r="A39" s="68" t="s">
        <v>2</v>
      </c>
      <c r="B39" s="9">
        <v>32416</v>
      </c>
      <c r="C39" s="9">
        <v>30162</v>
      </c>
      <c r="D39" s="9"/>
      <c r="E39" s="9"/>
      <c r="F39" s="9">
        <v>33104</v>
      </c>
      <c r="G39" s="9">
        <v>34730</v>
      </c>
      <c r="H39" s="9"/>
      <c r="I39" s="9"/>
      <c r="J39" s="9">
        <v>35987</v>
      </c>
      <c r="K39" s="9">
        <v>38442</v>
      </c>
      <c r="L39" s="9">
        <v>32495</v>
      </c>
      <c r="M39" s="42">
        <v>36709</v>
      </c>
      <c r="N39" s="42">
        <v>34352</v>
      </c>
      <c r="O39" s="42">
        <v>36838</v>
      </c>
      <c r="P39" s="42">
        <v>39360</v>
      </c>
      <c r="Q39" s="42">
        <v>42522</v>
      </c>
      <c r="R39" s="42">
        <v>44783</v>
      </c>
      <c r="S39" s="43">
        <v>47279</v>
      </c>
    </row>
    <row r="40" spans="1:19" ht="93" thickBot="1" x14ac:dyDescent="0.3">
      <c r="A40" s="69" t="s">
        <v>24</v>
      </c>
      <c r="B40" s="15">
        <f>B38/B39</f>
        <v>1.0340356614017769</v>
      </c>
      <c r="C40" s="15">
        <f>+C38/C39</f>
        <v>0.9780674358464293</v>
      </c>
      <c r="D40" s="15" t="e">
        <f t="shared" ref="D40:S40" si="3">+D38/D39</f>
        <v>#DIV/0!</v>
      </c>
      <c r="E40" s="15" t="e">
        <f t="shared" si="3"/>
        <v>#DIV/0!</v>
      </c>
      <c r="F40" s="15">
        <f t="shared" si="3"/>
        <v>0.98915478492025133</v>
      </c>
      <c r="G40" s="15">
        <f>G38/G39</f>
        <v>1.0616245321048086</v>
      </c>
      <c r="H40" s="15" t="e">
        <f t="shared" si="3"/>
        <v>#DIV/0!</v>
      </c>
      <c r="I40" s="15" t="e">
        <f t="shared" si="3"/>
        <v>#DIV/0!</v>
      </c>
      <c r="J40" s="15">
        <f t="shared" si="3"/>
        <v>1.0516558757329035</v>
      </c>
      <c r="K40" s="15">
        <f t="shared" si="3"/>
        <v>1.0280471879714896</v>
      </c>
      <c r="L40" s="15">
        <f t="shared" si="3"/>
        <v>1.0193814432989692</v>
      </c>
      <c r="M40" s="70">
        <f>+M38/M39</f>
        <v>1.0383818682067067</v>
      </c>
      <c r="N40" s="70">
        <f t="shared" si="3"/>
        <v>1.0225643339543549</v>
      </c>
      <c r="O40" s="70">
        <f t="shared" si="3"/>
        <v>0.99189043922037035</v>
      </c>
      <c r="P40" s="70">
        <f>+P38/P39</f>
        <v>1.0202190040650407</v>
      </c>
      <c r="Q40" s="70">
        <f t="shared" si="3"/>
        <v>0.99641808945957389</v>
      </c>
      <c r="R40" s="70">
        <f t="shared" si="3"/>
        <v>0.99792823169506284</v>
      </c>
      <c r="S40" s="70">
        <f t="shared" si="3"/>
        <v>0.99874510882209855</v>
      </c>
    </row>
    <row r="41" spans="1:19" ht="13.8" hidden="1" thickTop="1" x14ac:dyDescent="0.25">
      <c r="A41" s="1" t="s">
        <v>2</v>
      </c>
      <c r="B41" s="71"/>
      <c r="C41" s="72" t="e">
        <f>C9/#REF!</f>
        <v>#REF!</v>
      </c>
      <c r="D41" s="72" t="e">
        <f>D9/#REF!</f>
        <v>#REF!</v>
      </c>
      <c r="E41" s="72" t="e">
        <f>E9/#REF!</f>
        <v>#REF!</v>
      </c>
      <c r="F41" s="72" t="e">
        <f>F9/#REF!</f>
        <v>#REF!</v>
      </c>
      <c r="G41" s="72"/>
      <c r="H41" s="72" t="e">
        <f>H9/#REF!</f>
        <v>#REF!</v>
      </c>
      <c r="I41" s="72" t="e">
        <f>I9/#REF!</f>
        <v>#REF!</v>
      </c>
      <c r="J41" s="72"/>
      <c r="K41" s="72"/>
      <c r="L41" s="72" t="e">
        <f>L9/#REF!</f>
        <v>#REF!</v>
      </c>
      <c r="M41" s="41"/>
      <c r="N41" s="41" t="e">
        <f>N9/#REF!</f>
        <v>#REF!</v>
      </c>
      <c r="O41" s="73" t="e">
        <f>O9/#REF!</f>
        <v>#REF!</v>
      </c>
      <c r="P41" s="73"/>
      <c r="Q41" s="73" t="e">
        <f>Q9/#REF!</f>
        <v>#REF!</v>
      </c>
      <c r="R41" s="73" t="e">
        <f>R9/#REF!</f>
        <v>#REF!</v>
      </c>
      <c r="S41" s="73" t="e">
        <f>S9/#REF!</f>
        <v>#REF!</v>
      </c>
    </row>
    <row r="42" spans="1:19" ht="53.4" hidden="1" thickTop="1" x14ac:dyDescent="0.25">
      <c r="A42" s="63" t="s">
        <v>10</v>
      </c>
      <c r="B42" s="74"/>
      <c r="C42" s="72" t="e">
        <f t="shared" ref="C42" si="4">+C40/C41</f>
        <v>#REF!</v>
      </c>
      <c r="D42" s="75"/>
      <c r="E42" s="12"/>
      <c r="F42" s="72" t="e">
        <f t="shared" ref="F42" si="5">+F40/F41</f>
        <v>#REF!</v>
      </c>
      <c r="G42" s="72"/>
      <c r="H42" s="75"/>
      <c r="I42" s="75"/>
      <c r="J42" s="75"/>
      <c r="K42" s="75"/>
      <c r="L42" s="72" t="e">
        <f t="shared" ref="L42:S42" si="6">+L40/L41</f>
        <v>#REF!</v>
      </c>
      <c r="M42" s="41"/>
      <c r="N42" s="41" t="e">
        <f t="shared" si="6"/>
        <v>#REF!</v>
      </c>
      <c r="O42" s="41" t="e">
        <f t="shared" si="6"/>
        <v>#REF!</v>
      </c>
      <c r="P42" s="41"/>
      <c r="Q42" s="41" t="e">
        <f t="shared" si="6"/>
        <v>#REF!</v>
      </c>
      <c r="R42" s="41" t="e">
        <f t="shared" si="6"/>
        <v>#REF!</v>
      </c>
      <c r="S42" s="41" t="e">
        <f t="shared" si="6"/>
        <v>#REF!</v>
      </c>
    </row>
    <row r="43" spans="1:19" ht="13.8" hidden="1" thickTop="1" x14ac:dyDescent="0.25">
      <c r="A43" s="247" t="s">
        <v>11</v>
      </c>
      <c r="B43" s="259"/>
      <c r="C43" s="248"/>
      <c r="D43" s="248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48"/>
      <c r="P43" s="248"/>
      <c r="Q43" s="248"/>
      <c r="R43" s="260"/>
      <c r="S43" s="249"/>
    </row>
    <row r="44" spans="1:19" ht="14.4" hidden="1" thickTop="1" thickBot="1" x14ac:dyDescent="0.3">
      <c r="A44" s="1" t="s">
        <v>2</v>
      </c>
      <c r="B44" s="76"/>
      <c r="C44" s="77">
        <v>107</v>
      </c>
      <c r="D44" s="78"/>
      <c r="E44" s="78" t="s">
        <v>351</v>
      </c>
      <c r="F44" s="79" t="s">
        <v>354</v>
      </c>
      <c r="G44" s="79"/>
      <c r="H44" s="78" t="s">
        <v>352</v>
      </c>
      <c r="I44" s="80" t="s">
        <v>353</v>
      </c>
      <c r="J44" s="80"/>
      <c r="K44" s="80"/>
      <c r="L44" s="77">
        <v>106.6</v>
      </c>
      <c r="M44" s="81"/>
      <c r="N44" s="42">
        <v>106</v>
      </c>
      <c r="O44" s="42" t="s">
        <v>349</v>
      </c>
      <c r="P44" s="42"/>
      <c r="Q44" s="42" t="s">
        <v>355</v>
      </c>
      <c r="R44" s="43" t="s">
        <v>355</v>
      </c>
      <c r="S44" s="43" t="s">
        <v>355</v>
      </c>
    </row>
    <row r="45" spans="1:19" ht="13.8" thickTop="1" x14ac:dyDescent="0.25"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82"/>
      <c r="N45" s="82"/>
      <c r="O45" s="82"/>
      <c r="P45" s="82"/>
      <c r="Q45" s="82"/>
      <c r="R45" s="82"/>
      <c r="S45" s="82"/>
    </row>
    <row r="46" spans="1:19" hidden="1" x14ac:dyDescent="0.25">
      <c r="Q46" s="30">
        <f>P39*108/100</f>
        <v>42508.800000000003</v>
      </c>
      <c r="R46" s="30">
        <f>Q39*105.3/100</f>
        <v>44775.665999999997</v>
      </c>
      <c r="S46" s="30">
        <f>R39*105.6/100</f>
        <v>47290.847999999998</v>
      </c>
    </row>
  </sheetData>
  <mergeCells count="19">
    <mergeCell ref="A4:A5"/>
    <mergeCell ref="H1:I1"/>
    <mergeCell ref="A43:S43"/>
    <mergeCell ref="Q1:S1"/>
    <mergeCell ref="A2:S2"/>
    <mergeCell ref="B4:I4"/>
    <mergeCell ref="J4:K4"/>
    <mergeCell ref="L4:S4"/>
    <mergeCell ref="A7:S7"/>
    <mergeCell ref="A10:S10"/>
    <mergeCell ref="A13:S13"/>
    <mergeCell ref="A16:S16"/>
    <mergeCell ref="A19:S19"/>
    <mergeCell ref="A22:S22"/>
    <mergeCell ref="A25:S25"/>
    <mergeCell ref="A28:S28"/>
    <mergeCell ref="A31:S31"/>
    <mergeCell ref="A35:S35"/>
    <mergeCell ref="A37:S37"/>
  </mergeCells>
  <dataValidations count="1">
    <dataValidation type="decimal" allowBlank="1" showInputMessage="1" showErrorMessage="1" errorTitle="Вводить можно только числа!" error="Ошибка ввода данных, см. методические рекомендации Раздел 1." sqref="L27:M27 L31:M31">
      <formula1>0</formula1>
      <formula2>9.99999999999999E+132</formula2>
    </dataValidation>
  </dataValidations>
  <pageMargins left="0.51181102362204722" right="0.15748031496062992" top="0.59055118110236227" bottom="0.59055118110236227" header="0.51181102362204722" footer="0.31496062992125984"/>
  <pageSetup paperSize="9" scale="81" fitToHeight="2" orientation="portrait" r:id="rId1"/>
  <headerFooter alignWithMargins="0"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workbookViewId="0">
      <selection activeCell="L4" sqref="L4:S4"/>
    </sheetView>
  </sheetViews>
  <sheetFormatPr defaultColWidth="8.88671875" defaultRowHeight="13.2" x14ac:dyDescent="0.25"/>
  <cols>
    <col min="1" max="1" width="48.33203125" style="83" customWidth="1"/>
    <col min="2" max="2" width="3.33203125" style="83" hidden="1" customWidth="1"/>
    <col min="3" max="3" width="12.33203125" style="83" hidden="1" customWidth="1"/>
    <col min="4" max="5" width="12.33203125" style="83" customWidth="1"/>
    <col min="6" max="6" width="9.109375" style="83" bestFit="1" customWidth="1"/>
    <col min="7" max="7" width="13.5546875" style="83" customWidth="1"/>
    <col min="8" max="8" width="9.109375" style="83" bestFit="1" customWidth="1"/>
    <col min="9" max="9" width="10.109375" style="83" customWidth="1"/>
    <col min="10" max="10" width="9.109375" style="83" bestFit="1" customWidth="1"/>
    <col min="11" max="11" width="11.33203125" style="83" customWidth="1"/>
    <col min="12" max="14" width="0" style="83" hidden="1" customWidth="1"/>
    <col min="15" max="16384" width="8.88671875" style="83"/>
  </cols>
  <sheetData>
    <row r="1" spans="1:15" x14ac:dyDescent="0.25">
      <c r="K1" s="84" t="s">
        <v>331</v>
      </c>
    </row>
    <row r="2" spans="1:15" x14ac:dyDescent="0.25">
      <c r="K2" s="84"/>
    </row>
    <row r="3" spans="1:15" x14ac:dyDescent="0.25">
      <c r="A3" s="267" t="s">
        <v>364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</row>
    <row r="5" spans="1:15" ht="13.8" thickBot="1" x14ac:dyDescent="0.3">
      <c r="K5" s="84" t="s">
        <v>330</v>
      </c>
    </row>
    <row r="6" spans="1:15" ht="14.4" customHeight="1" thickTop="1" x14ac:dyDescent="0.25">
      <c r="A6" s="271" t="s">
        <v>64</v>
      </c>
      <c r="B6" s="269" t="s">
        <v>29</v>
      </c>
      <c r="C6" s="269" t="s">
        <v>65</v>
      </c>
      <c r="D6" s="269" t="s">
        <v>356</v>
      </c>
      <c r="E6" s="269" t="s">
        <v>357</v>
      </c>
      <c r="F6" s="265" t="s">
        <v>67</v>
      </c>
      <c r="G6" s="265"/>
      <c r="H6" s="265" t="s">
        <v>67</v>
      </c>
      <c r="I6" s="265"/>
      <c r="J6" s="265" t="s">
        <v>67</v>
      </c>
      <c r="K6" s="266"/>
    </row>
    <row r="7" spans="1:15" ht="60" customHeight="1" x14ac:dyDescent="0.25">
      <c r="A7" s="272"/>
      <c r="B7" s="270"/>
      <c r="C7" s="270"/>
      <c r="D7" s="270"/>
      <c r="E7" s="270"/>
      <c r="F7" s="85" t="s">
        <v>14</v>
      </c>
      <c r="G7" s="85" t="s">
        <v>358</v>
      </c>
      <c r="H7" s="85" t="s">
        <v>27</v>
      </c>
      <c r="I7" s="85" t="s">
        <v>81</v>
      </c>
      <c r="J7" s="85" t="s">
        <v>359</v>
      </c>
      <c r="K7" s="86" t="s">
        <v>360</v>
      </c>
    </row>
    <row r="8" spans="1:15" ht="9.6" customHeight="1" x14ac:dyDescent="0.25">
      <c r="A8" s="87" t="s">
        <v>20</v>
      </c>
      <c r="B8" s="85">
        <v>1</v>
      </c>
      <c r="C8" s="85">
        <v>1</v>
      </c>
      <c r="D8" s="85">
        <v>1</v>
      </c>
      <c r="E8" s="85">
        <v>2</v>
      </c>
      <c r="F8" s="85">
        <v>3</v>
      </c>
      <c r="G8" s="85" t="s">
        <v>361</v>
      </c>
      <c r="H8" s="85">
        <v>5</v>
      </c>
      <c r="I8" s="85" t="s">
        <v>362</v>
      </c>
      <c r="J8" s="85">
        <v>7</v>
      </c>
      <c r="K8" s="86" t="s">
        <v>363</v>
      </c>
      <c r="L8" s="88"/>
    </row>
    <row r="9" spans="1:15" x14ac:dyDescent="0.25">
      <c r="A9" s="23" t="s">
        <v>35</v>
      </c>
      <c r="B9" s="89">
        <v>1</v>
      </c>
      <c r="C9" s="90">
        <v>2341.7323000000001</v>
      </c>
      <c r="D9" s="90">
        <v>2137.2476999999999</v>
      </c>
      <c r="E9" s="90">
        <f>2341919.8/1000</f>
        <v>2341.9197999999997</v>
      </c>
      <c r="F9" s="90">
        <f>2835877.4/1000</f>
        <v>2835.8773999999999</v>
      </c>
      <c r="G9" s="90">
        <f>F9/E9*100</f>
        <v>121.09199469597552</v>
      </c>
      <c r="H9" s="91">
        <f>2345438.1/1000</f>
        <v>2345.4381000000003</v>
      </c>
      <c r="I9" s="91">
        <f t="shared" ref="I9:I22" si="0">H9/F9*100</f>
        <v>82.705906115687526</v>
      </c>
      <c r="J9" s="91">
        <f>2461431.6/1000</f>
        <v>2461.4315999999999</v>
      </c>
      <c r="K9" s="92">
        <f>J9/H9*100</f>
        <v>104.94549397828916</v>
      </c>
      <c r="L9" s="88">
        <f t="shared" ref="L9:L17" si="1">E9-F9</f>
        <v>-493.95760000000018</v>
      </c>
      <c r="M9" s="83">
        <f t="shared" ref="M9:M17" si="2">L9/E9*100</f>
        <v>-21.091994695975512</v>
      </c>
      <c r="O9" s="110"/>
    </row>
    <row r="10" spans="1:15" ht="13.8" x14ac:dyDescent="0.25">
      <c r="A10" s="23" t="s">
        <v>68</v>
      </c>
      <c r="B10" s="89">
        <v>2</v>
      </c>
      <c r="C10" s="91">
        <v>30.8843</v>
      </c>
      <c r="D10" s="91">
        <v>31.210899999999999</v>
      </c>
      <c r="E10" s="91">
        <f>30413.3/1000</f>
        <v>30.4133</v>
      </c>
      <c r="F10" s="91">
        <f>30631.3/1000</f>
        <v>30.6313</v>
      </c>
      <c r="G10" s="90">
        <f t="shared" ref="G10:G21" si="3">F10/E10*100</f>
        <v>100.71679166680367</v>
      </c>
      <c r="H10" s="91">
        <f>30964.3/1000</f>
        <v>30.964299999999998</v>
      </c>
      <c r="I10" s="91">
        <f t="shared" si="0"/>
        <v>101.08712330198195</v>
      </c>
      <c r="J10" s="93">
        <f>32105.3/1000</f>
        <v>32.1053</v>
      </c>
      <c r="K10" s="92">
        <f t="shared" ref="K10:K21" si="4">J10/H10*100</f>
        <v>103.68488872669495</v>
      </c>
      <c r="L10" s="88">
        <f t="shared" si="1"/>
        <v>-0.21799999999999997</v>
      </c>
      <c r="M10" s="83">
        <f t="shared" si="2"/>
        <v>-0.71679166680366802</v>
      </c>
      <c r="O10" s="110"/>
    </row>
    <row r="11" spans="1:15" ht="26.4" x14ac:dyDescent="0.25">
      <c r="A11" s="23" t="s">
        <v>43</v>
      </c>
      <c r="B11" s="89">
        <v>3</v>
      </c>
      <c r="C11" s="91">
        <v>1133.9268</v>
      </c>
      <c r="D11" s="91">
        <v>1078.6225999999999</v>
      </c>
      <c r="E11" s="91">
        <f>1093671.1/1000</f>
        <v>1093.6711</v>
      </c>
      <c r="F11" s="91">
        <f>1310893.7/1000</f>
        <v>1310.8936999999999</v>
      </c>
      <c r="G11" s="90">
        <f t="shared" si="3"/>
        <v>119.8617847724055</v>
      </c>
      <c r="H11" s="91">
        <f>1160107.9/1000</f>
        <v>1160.1079</v>
      </c>
      <c r="I11" s="91">
        <f t="shared" si="0"/>
        <v>88.497480764458629</v>
      </c>
      <c r="J11" s="94">
        <f>1205277.1/1000</f>
        <v>1205.2771</v>
      </c>
      <c r="K11" s="92">
        <f t="shared" si="4"/>
        <v>103.89353438589634</v>
      </c>
      <c r="L11" s="88">
        <f t="shared" si="1"/>
        <v>-217.22259999999983</v>
      </c>
      <c r="M11" s="83">
        <f t="shared" si="2"/>
        <v>-19.861784772405507</v>
      </c>
      <c r="O11" s="110"/>
    </row>
    <row r="12" spans="1:15" x14ac:dyDescent="0.25">
      <c r="A12" s="23" t="s">
        <v>45</v>
      </c>
      <c r="B12" s="89">
        <v>4</v>
      </c>
      <c r="C12" s="91">
        <v>8445.9069</v>
      </c>
      <c r="D12" s="91">
        <v>9731.9328000000005</v>
      </c>
      <c r="E12" s="91">
        <f>9080342.7/1000</f>
        <v>9080.3426999999992</v>
      </c>
      <c r="F12" s="91">
        <f>7778676.3/1000</f>
        <v>7778.6763000000001</v>
      </c>
      <c r="G12" s="90">
        <f t="shared" si="3"/>
        <v>85.665007995788528</v>
      </c>
      <c r="H12" s="91">
        <f>7433042.1/1000</f>
        <v>7433.0420999999997</v>
      </c>
      <c r="I12" s="91">
        <f t="shared" si="0"/>
        <v>95.556645029694835</v>
      </c>
      <c r="J12" s="91">
        <f>8237055.1/1000</f>
        <v>8237.0550999999996</v>
      </c>
      <c r="K12" s="92">
        <f t="shared" si="4"/>
        <v>110.816742178818</v>
      </c>
      <c r="L12" s="88">
        <f t="shared" si="1"/>
        <v>1301.6663999999992</v>
      </c>
      <c r="M12" s="83">
        <f t="shared" si="2"/>
        <v>14.334992004211463</v>
      </c>
      <c r="O12" s="110"/>
    </row>
    <row r="13" spans="1:15" x14ac:dyDescent="0.25">
      <c r="A13" s="23" t="s">
        <v>52</v>
      </c>
      <c r="B13" s="89">
        <v>5</v>
      </c>
      <c r="C13" s="91">
        <v>5737.9233999999997</v>
      </c>
      <c r="D13" s="91">
        <v>6296.0578999999998</v>
      </c>
      <c r="E13" s="91">
        <f>7694305/1000</f>
        <v>7694.3050000000003</v>
      </c>
      <c r="F13" s="91">
        <f>3620153.1/1000</f>
        <v>3620.1531</v>
      </c>
      <c r="G13" s="90">
        <f t="shared" si="3"/>
        <v>47.049773826226023</v>
      </c>
      <c r="H13" s="91">
        <f>2501896.7/1000</f>
        <v>2501.8967000000002</v>
      </c>
      <c r="I13" s="91">
        <f t="shared" si="0"/>
        <v>69.110245641268605</v>
      </c>
      <c r="J13" s="91">
        <f>4038660.2/1000</f>
        <v>4038.6602000000003</v>
      </c>
      <c r="K13" s="92">
        <f t="shared" si="4"/>
        <v>161.42393888604593</v>
      </c>
      <c r="L13" s="88">
        <f t="shared" si="1"/>
        <v>4074.1519000000003</v>
      </c>
      <c r="M13" s="83">
        <f t="shared" si="2"/>
        <v>52.950226173773984</v>
      </c>
      <c r="O13" s="110"/>
    </row>
    <row r="14" spans="1:15" x14ac:dyDescent="0.25">
      <c r="A14" s="23" t="s">
        <v>69</v>
      </c>
      <c r="B14" s="89">
        <v>6</v>
      </c>
      <c r="C14" s="91">
        <v>56.484699999999997</v>
      </c>
      <c r="D14" s="91">
        <v>65.928700000000006</v>
      </c>
      <c r="E14" s="91">
        <f>76004.5/1000</f>
        <v>76.004499999999993</v>
      </c>
      <c r="F14" s="91">
        <f>59045.9/1000</f>
        <v>59.045900000000003</v>
      </c>
      <c r="G14" s="90">
        <f t="shared" si="3"/>
        <v>77.687373773921294</v>
      </c>
      <c r="H14" s="91">
        <f>65252.3/1000</f>
        <v>65.252300000000005</v>
      </c>
      <c r="I14" s="91">
        <f t="shared" si="0"/>
        <v>110.51114471961642</v>
      </c>
      <c r="J14" s="91">
        <f>70445.7/1000</f>
        <v>70.445700000000002</v>
      </c>
      <c r="K14" s="92">
        <f t="shared" si="4"/>
        <v>107.95895317099932</v>
      </c>
      <c r="L14" s="88">
        <f t="shared" si="1"/>
        <v>16.95859999999999</v>
      </c>
      <c r="M14" s="83">
        <f t="shared" si="2"/>
        <v>22.312626226078709</v>
      </c>
      <c r="O14" s="110"/>
    </row>
    <row r="15" spans="1:15" x14ac:dyDescent="0.25">
      <c r="A15" s="23" t="s">
        <v>54</v>
      </c>
      <c r="B15" s="89">
        <v>7</v>
      </c>
      <c r="C15" s="91">
        <v>18091.386900000001</v>
      </c>
      <c r="D15" s="91">
        <v>17570.276000000002</v>
      </c>
      <c r="E15" s="91">
        <f>17296347.4/1000</f>
        <v>17296.347399999999</v>
      </c>
      <c r="F15" s="91">
        <f>18652924.2/1000</f>
        <v>18652.924199999998</v>
      </c>
      <c r="G15" s="90">
        <f t="shared" si="3"/>
        <v>107.84314033840462</v>
      </c>
      <c r="H15" s="91">
        <f>18434590/1000</f>
        <v>18434.59</v>
      </c>
      <c r="I15" s="91">
        <f t="shared" si="0"/>
        <v>98.829490766922234</v>
      </c>
      <c r="J15" s="91">
        <f>19113944/1000</f>
        <v>19113.944</v>
      </c>
      <c r="K15" s="92">
        <f t="shared" si="4"/>
        <v>103.68521350352789</v>
      </c>
      <c r="L15" s="88">
        <f t="shared" si="1"/>
        <v>-1356.5767999999989</v>
      </c>
      <c r="M15" s="83">
        <f t="shared" si="2"/>
        <v>-7.8431403384046225</v>
      </c>
      <c r="O15" s="110"/>
    </row>
    <row r="16" spans="1:15" x14ac:dyDescent="0.25">
      <c r="A16" s="23" t="s">
        <v>56</v>
      </c>
      <c r="B16" s="89">
        <v>8</v>
      </c>
      <c r="C16" s="91">
        <v>754.65089999999998</v>
      </c>
      <c r="D16" s="91">
        <v>840.17380000000003</v>
      </c>
      <c r="E16" s="91">
        <f>1360821.5/1000</f>
        <v>1360.8215</v>
      </c>
      <c r="F16" s="91">
        <f>1587806.3/1000</f>
        <v>1587.8063</v>
      </c>
      <c r="G16" s="90">
        <f t="shared" si="3"/>
        <v>116.67998337768766</v>
      </c>
      <c r="H16" s="91">
        <f>916018.3/1000</f>
        <v>916.01830000000007</v>
      </c>
      <c r="I16" s="91">
        <f t="shared" si="0"/>
        <v>57.690809011149533</v>
      </c>
      <c r="J16" s="91">
        <f>959072.9/1000</f>
        <v>959.0729</v>
      </c>
      <c r="K16" s="92">
        <f t="shared" si="4"/>
        <v>104.70018994162015</v>
      </c>
      <c r="L16" s="88">
        <f t="shared" si="1"/>
        <v>-226.98479999999995</v>
      </c>
      <c r="M16" s="83">
        <f t="shared" si="2"/>
        <v>-16.679983377687666</v>
      </c>
      <c r="O16" s="110"/>
    </row>
    <row r="17" spans="1:15" ht="13.8" x14ac:dyDescent="0.25">
      <c r="A17" s="23" t="s">
        <v>58</v>
      </c>
      <c r="B17" s="89">
        <v>9</v>
      </c>
      <c r="C17" s="91">
        <v>13968.587</v>
      </c>
      <c r="D17" s="91">
        <v>12541.335499999999</v>
      </c>
      <c r="E17" s="91">
        <f>4510951.4/1000</f>
        <v>4510.9513999999999</v>
      </c>
      <c r="F17" s="94">
        <f>5299337.3/1000</f>
        <v>5299.3373000000001</v>
      </c>
      <c r="G17" s="90">
        <f t="shared" si="3"/>
        <v>117.47715348917305</v>
      </c>
      <c r="H17" s="91">
        <f>5037707.8/1000</f>
        <v>5037.7078000000001</v>
      </c>
      <c r="I17" s="91">
        <f t="shared" si="0"/>
        <v>95.062977025448063</v>
      </c>
      <c r="J17" s="91">
        <f>5355915.7/1000</f>
        <v>5355.9157000000005</v>
      </c>
      <c r="K17" s="92">
        <f t="shared" si="4"/>
        <v>106.3165215735617</v>
      </c>
      <c r="L17" s="88">
        <f t="shared" si="1"/>
        <v>-788.38590000000022</v>
      </c>
      <c r="M17" s="83">
        <f t="shared" si="2"/>
        <v>-17.477153489173041</v>
      </c>
      <c r="O17" s="110"/>
    </row>
    <row r="18" spans="1:15" x14ac:dyDescent="0.25">
      <c r="A18" s="23" t="s">
        <v>70</v>
      </c>
      <c r="B18" s="89">
        <v>10</v>
      </c>
      <c r="C18" s="91">
        <v>12078.5124</v>
      </c>
      <c r="D18" s="91">
        <v>12574.2366</v>
      </c>
      <c r="E18" s="91">
        <f>20291134.2/1000</f>
        <v>20291.1342</v>
      </c>
      <c r="F18" s="91">
        <f>21326587.8/1000</f>
        <v>21326.587800000001</v>
      </c>
      <c r="G18" s="90">
        <f t="shared" si="3"/>
        <v>105.10298532252574</v>
      </c>
      <c r="H18" s="91">
        <f>21594861.1/1000</f>
        <v>21594.861100000002</v>
      </c>
      <c r="I18" s="91">
        <f t="shared" si="0"/>
        <v>101.25792884692038</v>
      </c>
      <c r="J18" s="91">
        <f>22276050.3/1000</f>
        <v>22276.050299999999</v>
      </c>
      <c r="K18" s="92">
        <f t="shared" si="4"/>
        <v>103.15440417442647</v>
      </c>
      <c r="L18" s="88"/>
      <c r="M18" s="88">
        <f>F18-E18</f>
        <v>1035.4536000000007</v>
      </c>
      <c r="N18" s="88">
        <f>M18/E18*100</f>
        <v>5.1029853225257398</v>
      </c>
      <c r="O18" s="110"/>
    </row>
    <row r="19" spans="1:15" x14ac:dyDescent="0.25">
      <c r="A19" s="23" t="s">
        <v>71</v>
      </c>
      <c r="B19" s="89">
        <v>11</v>
      </c>
      <c r="C19" s="91">
        <v>609.928</v>
      </c>
      <c r="D19" s="91">
        <v>590.62360000000001</v>
      </c>
      <c r="E19" s="91">
        <f>390636.4/1000</f>
        <v>390.63640000000004</v>
      </c>
      <c r="F19" s="91">
        <f>590344.1/1000</f>
        <v>590.34410000000003</v>
      </c>
      <c r="G19" s="90">
        <f t="shared" si="3"/>
        <v>151.12367920654603</v>
      </c>
      <c r="H19" s="91">
        <f>435052.9/1000</f>
        <v>435.05290000000002</v>
      </c>
      <c r="I19" s="91">
        <f t="shared" si="0"/>
        <v>73.694799355155752</v>
      </c>
      <c r="J19" s="91">
        <f>434710.8/1000</f>
        <v>434.71080000000001</v>
      </c>
      <c r="K19" s="92">
        <f t="shared" si="4"/>
        <v>99.921365884470589</v>
      </c>
      <c r="L19" s="88">
        <f>E19-F19</f>
        <v>-199.70769999999999</v>
      </c>
      <c r="M19" s="83">
        <f>L19/E19*100</f>
        <v>-51.123679206546022</v>
      </c>
      <c r="O19" s="110"/>
    </row>
    <row r="20" spans="1:15" x14ac:dyDescent="0.25">
      <c r="A20" s="23" t="s">
        <v>60</v>
      </c>
      <c r="B20" s="89">
        <v>12</v>
      </c>
      <c r="C20" s="91">
        <v>89.654899999999998</v>
      </c>
      <c r="D20" s="91">
        <v>91.73</v>
      </c>
      <c r="E20" s="91">
        <f>81331.9/1000</f>
        <v>81.33189999999999</v>
      </c>
      <c r="F20" s="91">
        <f>64962.3/1000</f>
        <v>64.962299999999999</v>
      </c>
      <c r="G20" s="90">
        <f t="shared" si="3"/>
        <v>79.873087927369227</v>
      </c>
      <c r="H20" s="91">
        <f>53660.7/1000</f>
        <v>53.660699999999999</v>
      </c>
      <c r="I20" s="91">
        <f t="shared" si="0"/>
        <v>82.602832719900618</v>
      </c>
      <c r="J20" s="91">
        <f>54294/1000</f>
        <v>54.293999999999997</v>
      </c>
      <c r="K20" s="92">
        <f t="shared" si="4"/>
        <v>101.1801933258418</v>
      </c>
      <c r="L20" s="88">
        <f>E20-F20</f>
        <v>16.369599999999991</v>
      </c>
      <c r="M20" s="83">
        <f>L20/E20*100</f>
        <v>20.12691207263078</v>
      </c>
      <c r="O20" s="110"/>
    </row>
    <row r="21" spans="1:15" ht="26.4" x14ac:dyDescent="0.25">
      <c r="A21" s="23" t="s">
        <v>72</v>
      </c>
      <c r="B21" s="89">
        <v>13</v>
      </c>
      <c r="C21" s="91">
        <v>1413.9712999999999</v>
      </c>
      <c r="D21" s="91">
        <v>1119.8806999999999</v>
      </c>
      <c r="E21" s="91">
        <f>1824406.1/1000</f>
        <v>1824.4061000000002</v>
      </c>
      <c r="F21" s="91">
        <f>2039451.9/1000</f>
        <v>2039.4518999999998</v>
      </c>
      <c r="G21" s="90">
        <f t="shared" si="3"/>
        <v>111.78716734174479</v>
      </c>
      <c r="H21" s="91">
        <f>1996635.4/1000</f>
        <v>1996.6353999999999</v>
      </c>
      <c r="I21" s="91">
        <f t="shared" si="0"/>
        <v>97.900587898150476</v>
      </c>
      <c r="J21" s="91">
        <f>1820392.3/1000</f>
        <v>1820.3923</v>
      </c>
      <c r="K21" s="92">
        <f t="shared" si="4"/>
        <v>91.172995330043733</v>
      </c>
      <c r="L21" s="88">
        <f>E21-F21</f>
        <v>-215.04579999999964</v>
      </c>
      <c r="M21" s="83">
        <f>L21/E21*100</f>
        <v>-11.78716734174478</v>
      </c>
      <c r="O21" s="110"/>
    </row>
    <row r="22" spans="1:15" ht="39.6" x14ac:dyDescent="0.25">
      <c r="A22" s="23" t="s">
        <v>73</v>
      </c>
      <c r="B22" s="89">
        <v>14</v>
      </c>
      <c r="C22" s="91">
        <v>3201.8793000000001</v>
      </c>
      <c r="D22" s="91">
        <v>3389.8838000000001</v>
      </c>
      <c r="E22" s="91">
        <f>3106976.8/1000</f>
        <v>3106.9767999999999</v>
      </c>
      <c r="F22" s="91">
        <f>3682966.6/1000</f>
        <v>3682.9666000000002</v>
      </c>
      <c r="G22" s="90">
        <f>F22/E22*100</f>
        <v>118.53859352924682</v>
      </c>
      <c r="H22" s="91">
        <f>3254130.1/1000</f>
        <v>3254.1301000000003</v>
      </c>
      <c r="I22" s="91">
        <f t="shared" si="0"/>
        <v>88.356220770506042</v>
      </c>
      <c r="J22" s="91">
        <f>2901707.8/1000</f>
        <v>2901.7077999999997</v>
      </c>
      <c r="K22" s="92">
        <f>J22/H22*100</f>
        <v>89.169999687474061</v>
      </c>
      <c r="L22" s="88">
        <f>E22-F22</f>
        <v>-575.98980000000029</v>
      </c>
      <c r="M22" s="83">
        <f>L22/E22*100</f>
        <v>-18.538593529246832</v>
      </c>
      <c r="O22" s="110"/>
    </row>
    <row r="23" spans="1:15" x14ac:dyDescent="0.25">
      <c r="A23" s="23" t="s">
        <v>74</v>
      </c>
      <c r="B23" s="89"/>
      <c r="C23" s="91"/>
      <c r="D23" s="91"/>
      <c r="E23" s="91"/>
      <c r="F23" s="91"/>
      <c r="G23" s="91"/>
      <c r="H23" s="91">
        <v>1902.1</v>
      </c>
      <c r="I23" s="91"/>
      <c r="J23" s="91">
        <v>3388.4</v>
      </c>
      <c r="K23" s="92"/>
      <c r="L23" s="88">
        <f>E23-F23</f>
        <v>0</v>
      </c>
      <c r="O23" s="110"/>
    </row>
    <row r="24" spans="1:15" x14ac:dyDescent="0.25">
      <c r="A24" s="24" t="s">
        <v>75</v>
      </c>
      <c r="B24" s="95" t="s">
        <v>76</v>
      </c>
      <c r="C24" s="96">
        <f>SUM(C9:C22)</f>
        <v>67955.429099999994</v>
      </c>
      <c r="D24" s="96">
        <f>SUM(D9:D22)</f>
        <v>68059.140599999999</v>
      </c>
      <c r="E24" s="96">
        <f>SUM(E9:E22)</f>
        <v>69179.262099999993</v>
      </c>
      <c r="F24" s="96">
        <f>SUM(F9:F22)</f>
        <v>68879.658200000005</v>
      </c>
      <c r="G24" s="97">
        <f>F24/E24*100</f>
        <v>99.566916600574743</v>
      </c>
      <c r="H24" s="96">
        <f>SUM(H9:H23)</f>
        <v>67161.457700000014</v>
      </c>
      <c r="I24" s="98">
        <f>H24/F24*100</f>
        <v>97.505503736660543</v>
      </c>
      <c r="J24" s="96">
        <f>SUM(J9:J23)</f>
        <v>72349.462799999994</v>
      </c>
      <c r="K24" s="99">
        <f>J24/H24*100</f>
        <v>107.72467614263826</v>
      </c>
      <c r="L24" s="100">
        <f>SUM(L9:L23)</f>
        <v>1335.0575000000001</v>
      </c>
      <c r="M24" s="101">
        <f>SUM(M9:M23)</f>
        <v>980.05806805870805</v>
      </c>
    </row>
    <row r="25" spans="1:15" x14ac:dyDescent="0.25">
      <c r="A25" s="23" t="s">
        <v>77</v>
      </c>
      <c r="B25" s="102"/>
      <c r="C25" s="103"/>
      <c r="D25" s="103"/>
      <c r="E25" s="103"/>
      <c r="F25" s="103"/>
      <c r="G25" s="103"/>
      <c r="H25" s="103"/>
      <c r="I25" s="103"/>
      <c r="J25" s="103"/>
      <c r="K25" s="104"/>
      <c r="L25" s="88">
        <f>L24+M24</f>
        <v>2315.115568058708</v>
      </c>
    </row>
    <row r="26" spans="1:15" x14ac:dyDescent="0.25">
      <c r="A26" s="25" t="s">
        <v>78</v>
      </c>
      <c r="B26" s="102"/>
      <c r="C26" s="103">
        <f>C15+C16+C17+C18+C19</f>
        <v>45503.065200000005</v>
      </c>
      <c r="D26" s="103">
        <f>D15+D16+D17+D18+D19</f>
        <v>44116.645500000006</v>
      </c>
      <c r="E26" s="103">
        <f t="shared" ref="E26:J26" si="5">E15+E16+E17+E18+E19</f>
        <v>43849.890899999999</v>
      </c>
      <c r="F26" s="103">
        <f t="shared" si="5"/>
        <v>47456.9997</v>
      </c>
      <c r="G26" s="90">
        <f>F26/E26*100</f>
        <v>108.22603825452164</v>
      </c>
      <c r="H26" s="103">
        <f t="shared" si="5"/>
        <v>46418.230100000008</v>
      </c>
      <c r="I26" s="91">
        <f>H26/F26*100</f>
        <v>97.811135119020193</v>
      </c>
      <c r="J26" s="103">
        <f t="shared" si="5"/>
        <v>48139.693700000003</v>
      </c>
      <c r="K26" s="92">
        <f>J26/H26*100</f>
        <v>103.70859379233417</v>
      </c>
      <c r="L26" s="105">
        <f>L25/E24*100</f>
        <v>3.3465456233287982</v>
      </c>
    </row>
    <row r="27" spans="1:15" x14ac:dyDescent="0.25">
      <c r="A27" s="23" t="s">
        <v>79</v>
      </c>
      <c r="B27" s="102"/>
      <c r="C27" s="103">
        <f>C26/C24*100</f>
        <v>66.960161686330977</v>
      </c>
      <c r="D27" s="103">
        <f>D26/D24*100</f>
        <v>64.821044037690953</v>
      </c>
      <c r="E27" s="103">
        <f t="shared" ref="E27:J27" si="6">E26/E24*100</f>
        <v>63.385889887946647</v>
      </c>
      <c r="F27" s="103">
        <f t="shared" si="6"/>
        <v>68.89842507958322</v>
      </c>
      <c r="G27" s="103"/>
      <c r="H27" s="103">
        <f t="shared" si="6"/>
        <v>69.114387462141096</v>
      </c>
      <c r="I27" s="103"/>
      <c r="J27" s="103">
        <f t="shared" si="6"/>
        <v>66.537734817845816</v>
      </c>
      <c r="K27" s="104"/>
      <c r="L27" s="105">
        <f>L24/E24*100</f>
        <v>1.9298521832599891</v>
      </c>
    </row>
    <row r="28" spans="1:15" x14ac:dyDescent="0.25">
      <c r="A28" s="106" t="s">
        <v>80</v>
      </c>
      <c r="B28" s="102"/>
      <c r="C28" s="103">
        <f>C12+C13</f>
        <v>14183.8303</v>
      </c>
      <c r="D28" s="103">
        <f>D12+D13</f>
        <v>16027.9907</v>
      </c>
      <c r="E28" s="103">
        <f t="shared" ref="E28:J28" si="7">E12+E13</f>
        <v>16774.647700000001</v>
      </c>
      <c r="F28" s="103">
        <f t="shared" si="7"/>
        <v>11398.829400000001</v>
      </c>
      <c r="G28" s="103">
        <f>F28/E28*100</f>
        <v>67.952720103922061</v>
      </c>
      <c r="H28" s="103">
        <f t="shared" si="7"/>
        <v>9934.9387999999999</v>
      </c>
      <c r="I28" s="103">
        <f>H28/F28*100</f>
        <v>87.157535667653733</v>
      </c>
      <c r="J28" s="103">
        <f t="shared" si="7"/>
        <v>12275.7153</v>
      </c>
      <c r="K28" s="104">
        <f>J28/H28*100</f>
        <v>123.56105605804034</v>
      </c>
      <c r="L28" s="88">
        <f>L27+N18</f>
        <v>7.0328375057857286</v>
      </c>
    </row>
    <row r="29" spans="1:15" ht="13.8" thickBot="1" x14ac:dyDescent="0.3">
      <c r="A29" s="26" t="s">
        <v>79</v>
      </c>
      <c r="B29" s="107"/>
      <c r="C29" s="108">
        <f>C28/C24*100</f>
        <v>20.87225478206862</v>
      </c>
      <c r="D29" s="108">
        <f>D28/D24*100</f>
        <v>23.550092696880164</v>
      </c>
      <c r="E29" s="108">
        <f t="shared" ref="E29:J29" si="8">E28/E24*100</f>
        <v>24.24808705786991</v>
      </c>
      <c r="F29" s="108">
        <f t="shared" si="8"/>
        <v>16.54890529058984</v>
      </c>
      <c r="G29" s="108"/>
      <c r="H29" s="108">
        <f t="shared" si="8"/>
        <v>14.79261936865316</v>
      </c>
      <c r="I29" s="108"/>
      <c r="J29" s="108">
        <f t="shared" si="8"/>
        <v>16.967251483172035</v>
      </c>
      <c r="K29" s="109"/>
    </row>
    <row r="30" spans="1:15" ht="13.8" thickTop="1" x14ac:dyDescent="0.25">
      <c r="F30" s="88"/>
      <c r="H30" s="88"/>
      <c r="J30" s="88"/>
    </row>
    <row r="31" spans="1:15" x14ac:dyDescent="0.25">
      <c r="D31" s="88"/>
      <c r="E31" s="88"/>
      <c r="F31" s="88"/>
      <c r="G31" s="88"/>
    </row>
    <row r="32" spans="1:15" x14ac:dyDescent="0.25">
      <c r="D32" s="88"/>
      <c r="E32" s="88"/>
      <c r="F32" s="88"/>
      <c r="G32" s="88"/>
    </row>
    <row r="33" spans="7:7" x14ac:dyDescent="0.25">
      <c r="G33" s="88"/>
    </row>
  </sheetData>
  <mergeCells count="9">
    <mergeCell ref="H6:I6"/>
    <mergeCell ref="J6:K6"/>
    <mergeCell ref="A3:K3"/>
    <mergeCell ref="B6:B7"/>
    <mergeCell ref="A6:A7"/>
    <mergeCell ref="C6:C7"/>
    <mergeCell ref="D6:D7"/>
    <mergeCell ref="E6:E7"/>
    <mergeCell ref="F6:G6"/>
  </mergeCell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0"/>
  <sheetViews>
    <sheetView tabSelected="1" zoomScaleNormal="100" workbookViewId="0">
      <selection activeCell="L4" sqref="L4:S4"/>
    </sheetView>
  </sheetViews>
  <sheetFormatPr defaultColWidth="9.109375" defaultRowHeight="13.8" x14ac:dyDescent="0.3"/>
  <cols>
    <col min="1" max="1" width="48.44140625" style="19" customWidth="1"/>
    <col min="2" max="2" width="4.109375" style="19" customWidth="1"/>
    <col min="3" max="3" width="4.88671875" style="19" customWidth="1"/>
    <col min="4" max="4" width="7.6640625" style="20" bestFit="1" customWidth="1"/>
    <col min="5" max="7" width="9.109375" style="20" customWidth="1"/>
    <col min="8" max="8" width="7.6640625" style="20" hidden="1" customWidth="1"/>
    <col min="9" max="11" width="9.109375" style="20" hidden="1" customWidth="1"/>
    <col min="12" max="12" width="7.6640625" style="20" bestFit="1" customWidth="1"/>
    <col min="13" max="15" width="9.109375" style="20" customWidth="1"/>
    <col min="16" max="16" width="7.6640625" style="20" bestFit="1" customWidth="1"/>
    <col min="17" max="19" width="9.109375" style="20"/>
    <col min="20" max="20" width="7.6640625" style="20" bestFit="1" customWidth="1"/>
    <col min="21" max="23" width="9.109375" style="20"/>
    <col min="24" max="24" width="7.6640625" style="20" bestFit="1" customWidth="1"/>
    <col min="25" max="27" width="9.109375" style="20" customWidth="1"/>
    <col min="28" max="16384" width="9.109375" style="20"/>
  </cols>
  <sheetData>
    <row r="1" spans="1:44" ht="13.8" customHeight="1" x14ac:dyDescent="0.3">
      <c r="AA1" s="245" t="s">
        <v>411</v>
      </c>
    </row>
    <row r="3" spans="1:44" s="19" customFormat="1" ht="15.6" customHeight="1" x14ac:dyDescent="0.3">
      <c r="A3" s="278" t="s">
        <v>416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</row>
    <row r="4" spans="1:44" s="19" customFormat="1" ht="14.4" customHeight="1" thickBot="1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44" s="16" customFormat="1" ht="38.25" customHeight="1" thickTop="1" x14ac:dyDescent="0.3">
      <c r="A5" s="280" t="s">
        <v>0</v>
      </c>
      <c r="B5" s="273" t="s">
        <v>29</v>
      </c>
      <c r="C5" s="273" t="s">
        <v>30</v>
      </c>
      <c r="D5" s="275" t="s">
        <v>365</v>
      </c>
      <c r="E5" s="275"/>
      <c r="F5" s="275"/>
      <c r="G5" s="275"/>
      <c r="H5" s="275" t="s">
        <v>366</v>
      </c>
      <c r="I5" s="275"/>
      <c r="J5" s="275"/>
      <c r="K5" s="275"/>
      <c r="L5" s="275" t="s">
        <v>367</v>
      </c>
      <c r="M5" s="275"/>
      <c r="N5" s="275"/>
      <c r="O5" s="275"/>
      <c r="P5" s="275" t="s">
        <v>368</v>
      </c>
      <c r="Q5" s="275"/>
      <c r="R5" s="275"/>
      <c r="S5" s="275"/>
      <c r="T5" s="275" t="s">
        <v>369</v>
      </c>
      <c r="U5" s="275"/>
      <c r="V5" s="275"/>
      <c r="W5" s="275"/>
      <c r="X5" s="275" t="s">
        <v>370</v>
      </c>
      <c r="Y5" s="275"/>
      <c r="Z5" s="275"/>
      <c r="AA5" s="279"/>
    </row>
    <row r="6" spans="1:44" s="16" customFormat="1" ht="13.2" x14ac:dyDescent="0.3">
      <c r="A6" s="281"/>
      <c r="B6" s="274"/>
      <c r="C6" s="274"/>
      <c r="D6" s="276" t="s">
        <v>31</v>
      </c>
      <c r="E6" s="276" t="s">
        <v>32</v>
      </c>
      <c r="F6" s="276"/>
      <c r="G6" s="276"/>
      <c r="H6" s="276" t="s">
        <v>31</v>
      </c>
      <c r="I6" s="276" t="s">
        <v>32</v>
      </c>
      <c r="J6" s="276"/>
      <c r="K6" s="276"/>
      <c r="L6" s="276" t="s">
        <v>31</v>
      </c>
      <c r="M6" s="276" t="s">
        <v>32</v>
      </c>
      <c r="N6" s="276"/>
      <c r="O6" s="276"/>
      <c r="P6" s="276" t="s">
        <v>31</v>
      </c>
      <c r="Q6" s="276" t="s">
        <v>32</v>
      </c>
      <c r="R6" s="276"/>
      <c r="S6" s="276"/>
      <c r="T6" s="276" t="s">
        <v>31</v>
      </c>
      <c r="U6" s="276" t="s">
        <v>32</v>
      </c>
      <c r="V6" s="276"/>
      <c r="W6" s="276"/>
      <c r="X6" s="276" t="s">
        <v>31</v>
      </c>
      <c r="Y6" s="276" t="s">
        <v>32</v>
      </c>
      <c r="Z6" s="276"/>
      <c r="AA6" s="277"/>
    </row>
    <row r="7" spans="1:44" s="16" customFormat="1" ht="36" x14ac:dyDescent="0.3">
      <c r="A7" s="281"/>
      <c r="B7" s="274"/>
      <c r="C7" s="274"/>
      <c r="D7" s="276"/>
      <c r="E7" s="113" t="s">
        <v>33</v>
      </c>
      <c r="F7" s="114" t="s">
        <v>34</v>
      </c>
      <c r="G7" s="114" t="s">
        <v>63</v>
      </c>
      <c r="H7" s="276"/>
      <c r="I7" s="113" t="s">
        <v>33</v>
      </c>
      <c r="J7" s="114" t="s">
        <v>34</v>
      </c>
      <c r="K7" s="114" t="s">
        <v>63</v>
      </c>
      <c r="L7" s="276"/>
      <c r="M7" s="113" t="s">
        <v>33</v>
      </c>
      <c r="N7" s="114" t="s">
        <v>34</v>
      </c>
      <c r="O7" s="114" t="s">
        <v>63</v>
      </c>
      <c r="P7" s="276"/>
      <c r="Q7" s="113" t="s">
        <v>33</v>
      </c>
      <c r="R7" s="114" t="s">
        <v>34</v>
      </c>
      <c r="S7" s="114" t="s">
        <v>63</v>
      </c>
      <c r="T7" s="276"/>
      <c r="U7" s="113" t="s">
        <v>33</v>
      </c>
      <c r="V7" s="114" t="s">
        <v>34</v>
      </c>
      <c r="W7" s="114" t="s">
        <v>63</v>
      </c>
      <c r="X7" s="276"/>
      <c r="Y7" s="113" t="s">
        <v>33</v>
      </c>
      <c r="Z7" s="114" t="s">
        <v>34</v>
      </c>
      <c r="AA7" s="115" t="s">
        <v>63</v>
      </c>
    </row>
    <row r="8" spans="1:44" s="19" customFormat="1" x14ac:dyDescent="0.3">
      <c r="A8" s="139" t="s">
        <v>20</v>
      </c>
      <c r="B8" s="140" t="s">
        <v>373</v>
      </c>
      <c r="C8" s="140" t="s">
        <v>374</v>
      </c>
      <c r="D8" s="141">
        <v>1</v>
      </c>
      <c r="E8" s="141">
        <v>2</v>
      </c>
      <c r="F8" s="141">
        <v>3</v>
      </c>
      <c r="G8" s="141">
        <v>4</v>
      </c>
      <c r="H8" s="141"/>
      <c r="I8" s="141"/>
      <c r="J8" s="141"/>
      <c r="K8" s="141"/>
      <c r="L8" s="141">
        <v>5</v>
      </c>
      <c r="M8" s="141">
        <v>6</v>
      </c>
      <c r="N8" s="141">
        <v>7</v>
      </c>
      <c r="O8" s="141">
        <v>8</v>
      </c>
      <c r="P8" s="141">
        <v>9</v>
      </c>
      <c r="Q8" s="141">
        <v>10</v>
      </c>
      <c r="R8" s="141">
        <v>11</v>
      </c>
      <c r="S8" s="141">
        <v>12</v>
      </c>
      <c r="T8" s="141">
        <v>13</v>
      </c>
      <c r="U8" s="141">
        <v>14</v>
      </c>
      <c r="V8" s="141">
        <v>15</v>
      </c>
      <c r="W8" s="141">
        <v>16</v>
      </c>
      <c r="X8" s="141">
        <v>17</v>
      </c>
      <c r="Y8" s="141">
        <v>18</v>
      </c>
      <c r="Z8" s="141">
        <v>19</v>
      </c>
      <c r="AA8" s="142">
        <v>20</v>
      </c>
    </row>
    <row r="9" spans="1:44" s="18" customFormat="1" ht="13.2" x14ac:dyDescent="0.3">
      <c r="A9" s="117" t="s">
        <v>35</v>
      </c>
      <c r="B9" s="118">
        <v>1</v>
      </c>
      <c r="C9" s="118"/>
      <c r="D9" s="119">
        <f>E9+F9+G9</f>
        <v>1007.5734543400001</v>
      </c>
      <c r="E9" s="119">
        <f>E10+E11+E12+E13+E14+E15+E16</f>
        <v>872.75605872000006</v>
      </c>
      <c r="F9" s="119">
        <f>F10+F11+F12+F13+F14+F15+F16</f>
        <v>132.34220626999999</v>
      </c>
      <c r="G9" s="119">
        <f>G10+G11+G12+G13+G14+G15+G16</f>
        <v>2.47518935</v>
      </c>
      <c r="H9" s="119">
        <f>H10+H11+H12+H13+H14+H15+H16</f>
        <v>942.76640000000009</v>
      </c>
      <c r="I9" s="119">
        <f>I10+I11+I12+I13+I14+I15+I16</f>
        <v>845.19190000000003</v>
      </c>
      <c r="J9" s="119">
        <f t="shared" ref="J9:S9" si="0">J10+J11+J12+J13+J14+J15+J16</f>
        <v>96.79249999999999</v>
      </c>
      <c r="K9" s="119">
        <f t="shared" si="0"/>
        <v>0.78200000000000003</v>
      </c>
      <c r="L9" s="119">
        <f t="shared" si="0"/>
        <v>941.00939999999991</v>
      </c>
      <c r="M9" s="119">
        <f t="shared" si="0"/>
        <v>843.42189999999994</v>
      </c>
      <c r="N9" s="119">
        <f t="shared" si="0"/>
        <v>96.79249999999999</v>
      </c>
      <c r="O9" s="119">
        <f t="shared" si="0"/>
        <v>0.79500000000000004</v>
      </c>
      <c r="P9" s="119">
        <f>P10+P11+P12+P13+P14+P15+P16</f>
        <v>1078.8911000000001</v>
      </c>
      <c r="Q9" s="119">
        <f>Q10+Q11+Q12+Q13+Q14+Q15+Q16</f>
        <v>947.83029999999997</v>
      </c>
      <c r="R9" s="119">
        <f t="shared" si="0"/>
        <v>130.02499999999998</v>
      </c>
      <c r="S9" s="119">
        <f t="shared" si="0"/>
        <v>1.0358000000000001</v>
      </c>
      <c r="T9" s="119">
        <f>T10+T11+T12+T13+T14+T15+T16</f>
        <v>1042.5991000000001</v>
      </c>
      <c r="U9" s="119">
        <f>U10+U11+U12+U13+U14+U15+U16</f>
        <v>925.22370000000001</v>
      </c>
      <c r="V9" s="119">
        <f t="shared" ref="V9:W9" si="1">V10+V11+V12+V13+V14+V15+V16</f>
        <v>116.3595</v>
      </c>
      <c r="W9" s="119">
        <f t="shared" si="1"/>
        <v>1.0159</v>
      </c>
      <c r="X9" s="119">
        <f>X10+X11+X12+X13+X14+X15+X16</f>
        <v>1033.4943000000001</v>
      </c>
      <c r="Y9" s="119">
        <f>Y10+Y11+Y12+Y13+Y14+Y15+Y16</f>
        <v>925.2731</v>
      </c>
      <c r="Z9" s="119">
        <f t="shared" ref="Z9:AA9" si="2">Z10+Z11+Z12+Z13+Z14+Z15+Z16</f>
        <v>107.2089</v>
      </c>
      <c r="AA9" s="120">
        <f t="shared" si="2"/>
        <v>1.0123</v>
      </c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</row>
    <row r="10" spans="1:44" ht="41.4" x14ac:dyDescent="0.3">
      <c r="A10" s="121" t="s">
        <v>36</v>
      </c>
      <c r="B10" s="122">
        <v>1</v>
      </c>
      <c r="C10" s="122">
        <v>2</v>
      </c>
      <c r="D10" s="123">
        <f>E10+F10+G10</f>
        <v>4.3103015500000001</v>
      </c>
      <c r="E10" s="123">
        <v>4.3103015500000001</v>
      </c>
      <c r="F10" s="123">
        <v>0</v>
      </c>
      <c r="G10" s="123">
        <v>0</v>
      </c>
      <c r="H10" s="123">
        <f>I10+J10+K10</f>
        <v>5.4971000000000005</v>
      </c>
      <c r="I10" s="123">
        <f>5497.1/1000</f>
        <v>5.4971000000000005</v>
      </c>
      <c r="J10" s="123">
        <v>0</v>
      </c>
      <c r="K10" s="123">
        <v>0</v>
      </c>
      <c r="L10" s="123">
        <f>SUM(M10:O10)</f>
        <v>5.4970999999999997</v>
      </c>
      <c r="M10" s="123">
        <v>5.4970999999999997</v>
      </c>
      <c r="N10" s="123"/>
      <c r="O10" s="123"/>
      <c r="P10" s="123">
        <f t="shared" ref="P10:P16" si="3">Q10+R10+S10</f>
        <v>6.4081999999999999</v>
      </c>
      <c r="Q10" s="123">
        <f>6408.2/1000</f>
        <v>6.4081999999999999</v>
      </c>
      <c r="R10" s="123">
        <v>0</v>
      </c>
      <c r="S10" s="123">
        <v>0</v>
      </c>
      <c r="T10" s="123">
        <f t="shared" ref="T10:T16" si="4">U10+V10+W10</f>
        <v>6.3582000000000001</v>
      </c>
      <c r="U10" s="123">
        <v>6.3582000000000001</v>
      </c>
      <c r="V10" s="123"/>
      <c r="W10" s="123"/>
      <c r="X10" s="123">
        <f t="shared" ref="X10:X16" si="5">Y10+Z10+AA10</f>
        <v>6.4081999999999999</v>
      </c>
      <c r="Y10" s="123">
        <v>6.4081999999999999</v>
      </c>
      <c r="Z10" s="123"/>
      <c r="AA10" s="124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</row>
    <row r="11" spans="1:44" ht="55.2" x14ac:dyDescent="0.3">
      <c r="A11" s="121" t="s">
        <v>37</v>
      </c>
      <c r="B11" s="122">
        <v>1</v>
      </c>
      <c r="C11" s="122">
        <v>3</v>
      </c>
      <c r="D11" s="123">
        <f t="shared" ref="D11:D19" si="6">E11+F11+G11</f>
        <v>180.75972138999998</v>
      </c>
      <c r="E11" s="123">
        <v>146.65947836999999</v>
      </c>
      <c r="F11" s="123">
        <v>34.059443020000003</v>
      </c>
      <c r="G11" s="123">
        <v>4.0800000000000003E-2</v>
      </c>
      <c r="H11" s="123">
        <f t="shared" ref="H11:H16" si="7">I11+J11+K11</f>
        <v>166.4502</v>
      </c>
      <c r="I11" s="125">
        <f>149826/1000</f>
        <v>149.82599999999999</v>
      </c>
      <c r="J11" s="123">
        <f>16584.5/1000</f>
        <v>16.584499999999998</v>
      </c>
      <c r="K11" s="123">
        <f>39.7/1000</f>
        <v>3.9700000000000006E-2</v>
      </c>
      <c r="L11" s="123">
        <f t="shared" ref="L11:L38" si="8">SUM(M11:O11)</f>
        <v>166.4502</v>
      </c>
      <c r="M11" s="123">
        <v>149.82599999999999</v>
      </c>
      <c r="N11" s="123">
        <v>16.584499999999998</v>
      </c>
      <c r="O11" s="123">
        <v>3.9699999999999999E-2</v>
      </c>
      <c r="P11" s="123">
        <f t="shared" si="3"/>
        <v>198.54949999999999</v>
      </c>
      <c r="Q11" s="123">
        <f>164885.2/1000</f>
        <v>164.8852</v>
      </c>
      <c r="R11" s="123">
        <f>33490.2/1000</f>
        <v>33.490199999999994</v>
      </c>
      <c r="S11" s="123">
        <f>174.1/1000</f>
        <v>0.1741</v>
      </c>
      <c r="T11" s="123">
        <f t="shared" si="4"/>
        <v>178.30820000000003</v>
      </c>
      <c r="U11" s="123">
        <v>145.71440000000001</v>
      </c>
      <c r="V11" s="123">
        <v>32.419699999999999</v>
      </c>
      <c r="W11" s="123">
        <v>0.1741</v>
      </c>
      <c r="X11" s="123">
        <f t="shared" si="5"/>
        <v>169.25470000000001</v>
      </c>
      <c r="Y11" s="123">
        <v>145.71440000000001</v>
      </c>
      <c r="Z11" s="123">
        <v>23.366199999999999</v>
      </c>
      <c r="AA11" s="124">
        <v>0.1741</v>
      </c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</row>
    <row r="12" spans="1:44" ht="55.2" x14ac:dyDescent="0.3">
      <c r="A12" s="121" t="s">
        <v>38</v>
      </c>
      <c r="B12" s="122">
        <v>1</v>
      </c>
      <c r="C12" s="122">
        <v>4</v>
      </c>
      <c r="D12" s="123">
        <f t="shared" si="6"/>
        <v>236.92438084</v>
      </c>
      <c r="E12" s="123">
        <v>197.15512723000001</v>
      </c>
      <c r="F12" s="123">
        <v>39.56276261</v>
      </c>
      <c r="G12" s="123">
        <v>0.20649100000000001</v>
      </c>
      <c r="H12" s="123">
        <f t="shared" si="7"/>
        <v>232.9092</v>
      </c>
      <c r="I12" s="123">
        <f>195858/1000</f>
        <v>195.858</v>
      </c>
      <c r="J12" s="123">
        <f>36853.2/1000</f>
        <v>36.853199999999994</v>
      </c>
      <c r="K12" s="123">
        <f>198/1000</f>
        <v>0.19800000000000001</v>
      </c>
      <c r="L12" s="123">
        <f t="shared" si="8"/>
        <v>232.90920000000003</v>
      </c>
      <c r="M12" s="123">
        <v>195.858</v>
      </c>
      <c r="N12" s="123">
        <v>36.853200000000001</v>
      </c>
      <c r="O12" s="123">
        <v>0.19800000000000001</v>
      </c>
      <c r="P12" s="123">
        <f t="shared" si="3"/>
        <v>296.98040000000003</v>
      </c>
      <c r="Q12" s="123">
        <f>242332.6/1000</f>
        <v>242.33260000000001</v>
      </c>
      <c r="R12" s="123">
        <f>54487.8/1000</f>
        <v>54.4878</v>
      </c>
      <c r="S12" s="123">
        <f>160/1000</f>
        <v>0.16</v>
      </c>
      <c r="T12" s="123">
        <f t="shared" si="4"/>
        <v>284.56680000000006</v>
      </c>
      <c r="U12" s="123">
        <v>242.33260000000001</v>
      </c>
      <c r="V12" s="123">
        <v>42.074199999999998</v>
      </c>
      <c r="W12" s="123">
        <v>0.16</v>
      </c>
      <c r="X12" s="123">
        <f t="shared" si="5"/>
        <v>284.42510000000004</v>
      </c>
      <c r="Y12" s="123">
        <v>242.33260000000001</v>
      </c>
      <c r="Z12" s="123">
        <v>41.932499999999997</v>
      </c>
      <c r="AA12" s="124">
        <v>0.16</v>
      </c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</row>
    <row r="13" spans="1:44" x14ac:dyDescent="0.3">
      <c r="A13" s="121" t="s">
        <v>39</v>
      </c>
      <c r="B13" s="122">
        <v>1</v>
      </c>
      <c r="C13" s="122">
        <v>5</v>
      </c>
      <c r="D13" s="123">
        <f t="shared" si="6"/>
        <v>164.90176331999999</v>
      </c>
      <c r="E13" s="123">
        <v>146.74832531999999</v>
      </c>
      <c r="F13" s="123">
        <v>16.736338</v>
      </c>
      <c r="G13" s="123">
        <v>1.4171</v>
      </c>
      <c r="H13" s="123">
        <f t="shared" si="7"/>
        <v>168.19130000000001</v>
      </c>
      <c r="I13" s="123">
        <f>158574.7/1000</f>
        <v>158.57470000000001</v>
      </c>
      <c r="J13" s="123">
        <f>9616.6/1000</f>
        <v>9.6166</v>
      </c>
      <c r="K13" s="123">
        <v>0</v>
      </c>
      <c r="L13" s="123">
        <f t="shared" si="8"/>
        <v>168.2063</v>
      </c>
      <c r="M13" s="123">
        <v>158.57470000000001</v>
      </c>
      <c r="N13" s="123">
        <v>9.6166</v>
      </c>
      <c r="O13" s="123">
        <v>1.4999999999999999E-2</v>
      </c>
      <c r="P13" s="123">
        <f t="shared" si="3"/>
        <v>175.0333</v>
      </c>
      <c r="Q13" s="123">
        <f>167593.8/1000</f>
        <v>167.59379999999999</v>
      </c>
      <c r="R13" s="123">
        <f>7255.9/1000</f>
        <v>7.2558999999999996</v>
      </c>
      <c r="S13" s="123">
        <f>183.6/1000</f>
        <v>0.18359999999999999</v>
      </c>
      <c r="T13" s="123">
        <f t="shared" si="4"/>
        <v>175.09530000000001</v>
      </c>
      <c r="U13" s="123">
        <v>167.59379999999999</v>
      </c>
      <c r="V13" s="123">
        <v>7.3178999999999998</v>
      </c>
      <c r="W13" s="123">
        <v>0.18360000000000001</v>
      </c>
      <c r="X13" s="123">
        <f t="shared" si="5"/>
        <v>175.09</v>
      </c>
      <c r="Y13" s="123">
        <v>167.59379999999999</v>
      </c>
      <c r="Z13" s="123">
        <v>7.3125999999999998</v>
      </c>
      <c r="AA13" s="124">
        <v>0.18360000000000001</v>
      </c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</row>
    <row r="14" spans="1:44" ht="41.4" x14ac:dyDescent="0.3">
      <c r="A14" s="121" t="s">
        <v>40</v>
      </c>
      <c r="B14" s="122">
        <v>1</v>
      </c>
      <c r="C14" s="122">
        <v>6</v>
      </c>
      <c r="D14" s="123">
        <f t="shared" si="6"/>
        <v>136.01333424999999</v>
      </c>
      <c r="E14" s="123">
        <v>129.67175574999999</v>
      </c>
      <c r="F14" s="123">
        <v>5.9281803899999996</v>
      </c>
      <c r="G14" s="123">
        <v>0.41339810999999999</v>
      </c>
      <c r="H14" s="123">
        <f t="shared" si="7"/>
        <v>124.04209999999999</v>
      </c>
      <c r="I14" s="123">
        <f>117806/1000</f>
        <v>117.806</v>
      </c>
      <c r="J14" s="123">
        <f>6020.4/1000</f>
        <v>6.0203999999999995</v>
      </c>
      <c r="K14" s="123">
        <f>215.7/1000</f>
        <v>0.21569999999999998</v>
      </c>
      <c r="L14" s="123">
        <f t="shared" si="8"/>
        <v>123.7701</v>
      </c>
      <c r="M14" s="123">
        <v>117.536</v>
      </c>
      <c r="N14" s="123">
        <v>6.0204000000000004</v>
      </c>
      <c r="O14" s="123">
        <v>0.2137</v>
      </c>
      <c r="P14" s="123">
        <f t="shared" si="3"/>
        <v>137.48889999999997</v>
      </c>
      <c r="Q14" s="123">
        <f>130803.7/1000</f>
        <v>130.80369999999999</v>
      </c>
      <c r="R14" s="123">
        <f>6472.2/1000</f>
        <v>6.4722</v>
      </c>
      <c r="S14" s="123">
        <f>213/1000</f>
        <v>0.21299999999999999</v>
      </c>
      <c r="T14" s="123">
        <f t="shared" si="4"/>
        <v>136.99809999999997</v>
      </c>
      <c r="U14" s="123">
        <v>130.31299999999999</v>
      </c>
      <c r="V14" s="123">
        <v>6.4766000000000004</v>
      </c>
      <c r="W14" s="123">
        <v>0.20849999999999999</v>
      </c>
      <c r="X14" s="123">
        <f t="shared" si="5"/>
        <v>136.99809999999999</v>
      </c>
      <c r="Y14" s="123">
        <v>130.31299999999999</v>
      </c>
      <c r="Z14" s="123">
        <v>6.4802</v>
      </c>
      <c r="AA14" s="124">
        <v>0.2049</v>
      </c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</row>
    <row r="15" spans="1:44" ht="15" customHeight="1" x14ac:dyDescent="0.3">
      <c r="A15" s="121" t="s">
        <v>41</v>
      </c>
      <c r="B15" s="122">
        <v>1</v>
      </c>
      <c r="C15" s="122">
        <v>7</v>
      </c>
      <c r="D15" s="123">
        <f t="shared" si="6"/>
        <v>38.629734749999997</v>
      </c>
      <c r="E15" s="123">
        <v>38.0212182</v>
      </c>
      <c r="F15" s="123">
        <v>0.60851655000000004</v>
      </c>
      <c r="G15" s="123">
        <v>0</v>
      </c>
      <c r="H15" s="123">
        <f t="shared" si="7"/>
        <v>38.611200000000004</v>
      </c>
      <c r="I15" s="123">
        <f>38287.5/1000</f>
        <v>38.287500000000001</v>
      </c>
      <c r="J15" s="123">
        <f>306.1/1000</f>
        <v>0.30610000000000004</v>
      </c>
      <c r="K15" s="123">
        <f>17.6/1000</f>
        <v>1.7600000000000001E-2</v>
      </c>
      <c r="L15" s="123">
        <f t="shared" si="8"/>
        <v>37.811199999999999</v>
      </c>
      <c r="M15" s="123">
        <v>37.487499999999997</v>
      </c>
      <c r="N15" s="123">
        <v>0.30609999999999998</v>
      </c>
      <c r="O15" s="123">
        <v>1.7600000000000001E-2</v>
      </c>
      <c r="P15" s="123">
        <f t="shared" si="3"/>
        <v>41.815100000000001</v>
      </c>
      <c r="Q15" s="123">
        <f>41236.9/1000</f>
        <v>41.236899999999999</v>
      </c>
      <c r="R15" s="123">
        <f>561.1/1000</f>
        <v>0.56110000000000004</v>
      </c>
      <c r="S15" s="123">
        <f>17.1/1000</f>
        <v>1.7100000000000001E-2</v>
      </c>
      <c r="T15" s="123">
        <f t="shared" si="4"/>
        <v>41.799799999999998</v>
      </c>
      <c r="U15" s="123">
        <v>41.236899999999999</v>
      </c>
      <c r="V15" s="123">
        <v>0.56120000000000003</v>
      </c>
      <c r="W15" s="123">
        <v>1.6999999999999999E-3</v>
      </c>
      <c r="X15" s="123">
        <f t="shared" si="5"/>
        <v>41.799799999999998</v>
      </c>
      <c r="Y15" s="123">
        <v>41.236899999999999</v>
      </c>
      <c r="Z15" s="123">
        <v>0.56120000000000003</v>
      </c>
      <c r="AA15" s="124">
        <v>1.6999999999999999E-3</v>
      </c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</row>
    <row r="16" spans="1:44" x14ac:dyDescent="0.3">
      <c r="A16" s="121" t="s">
        <v>42</v>
      </c>
      <c r="B16" s="122">
        <v>1</v>
      </c>
      <c r="C16" s="122">
        <v>13</v>
      </c>
      <c r="D16" s="123">
        <f t="shared" si="6"/>
        <v>246.03421824</v>
      </c>
      <c r="E16" s="123">
        <v>210.18985230000001</v>
      </c>
      <c r="F16" s="123">
        <v>35.4469657</v>
      </c>
      <c r="G16" s="123">
        <v>0.39740024000000002</v>
      </c>
      <c r="H16" s="123">
        <f t="shared" si="7"/>
        <v>207.06530000000001</v>
      </c>
      <c r="I16" s="123">
        <f>179342.6/1000</f>
        <v>179.3426</v>
      </c>
      <c r="J16" s="123">
        <f>27411.7/1000</f>
        <v>27.4117</v>
      </c>
      <c r="K16" s="123">
        <f>311/1000</f>
        <v>0.311</v>
      </c>
      <c r="L16" s="123">
        <f t="shared" si="8"/>
        <v>206.36529999999999</v>
      </c>
      <c r="M16" s="123">
        <v>178.64259999999999</v>
      </c>
      <c r="N16" s="123">
        <v>27.4117</v>
      </c>
      <c r="O16" s="123">
        <v>0.311</v>
      </c>
      <c r="P16" s="123">
        <f t="shared" si="3"/>
        <v>222.6157</v>
      </c>
      <c r="Q16" s="123">
        <f>194569.9/1000</f>
        <v>194.56989999999999</v>
      </c>
      <c r="R16" s="123">
        <f>27757.8/1000</f>
        <v>27.7578</v>
      </c>
      <c r="S16" s="123">
        <f>288/1000</f>
        <v>0.28799999999999998</v>
      </c>
      <c r="T16" s="123">
        <f t="shared" si="4"/>
        <v>219.4727</v>
      </c>
      <c r="U16" s="123">
        <v>191.6748</v>
      </c>
      <c r="V16" s="123">
        <v>27.509899999999998</v>
      </c>
      <c r="W16" s="123">
        <v>0.28799999999999998</v>
      </c>
      <c r="X16" s="123">
        <f t="shared" si="5"/>
        <v>219.51840000000001</v>
      </c>
      <c r="Y16" s="123">
        <v>191.67420000000001</v>
      </c>
      <c r="Z16" s="123">
        <v>27.5562</v>
      </c>
      <c r="AA16" s="124">
        <v>0.28799999999999998</v>
      </c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</row>
    <row r="17" spans="1:44" s="18" customFormat="1" ht="26.4" x14ac:dyDescent="0.3">
      <c r="A17" s="117" t="s">
        <v>43</v>
      </c>
      <c r="B17" s="118">
        <v>3</v>
      </c>
      <c r="C17" s="118"/>
      <c r="D17" s="119">
        <f t="shared" si="6"/>
        <v>15.190925290000001</v>
      </c>
      <c r="E17" s="119">
        <f>E18</f>
        <v>13.000500000000001</v>
      </c>
      <c r="F17" s="119">
        <f>F18</f>
        <v>2.0335000000000001</v>
      </c>
      <c r="G17" s="119">
        <f>G18</f>
        <v>0.15692529</v>
      </c>
      <c r="H17" s="119">
        <f>H18</f>
        <v>15.985300000000001</v>
      </c>
      <c r="I17" s="119">
        <f t="shared" ref="I17:AA17" si="9">I18</f>
        <v>14.7156</v>
      </c>
      <c r="J17" s="119">
        <f t="shared" si="9"/>
        <v>1.2361</v>
      </c>
      <c r="K17" s="119">
        <f t="shared" si="9"/>
        <v>3.3600000000000005E-2</v>
      </c>
      <c r="L17" s="119">
        <f t="shared" si="9"/>
        <v>15.985300000000001</v>
      </c>
      <c r="M17" s="119">
        <f t="shared" si="9"/>
        <v>14.7156</v>
      </c>
      <c r="N17" s="119">
        <f t="shared" si="9"/>
        <v>1.2361</v>
      </c>
      <c r="O17" s="119">
        <f t="shared" si="9"/>
        <v>3.3599999999999998E-2</v>
      </c>
      <c r="P17" s="119">
        <f t="shared" si="9"/>
        <v>16.906400000000001</v>
      </c>
      <c r="Q17" s="119">
        <f t="shared" si="9"/>
        <v>15.9253</v>
      </c>
      <c r="R17" s="119">
        <f t="shared" si="9"/>
        <v>0.94750000000000001</v>
      </c>
      <c r="S17" s="119">
        <f t="shared" si="9"/>
        <v>3.3600000000000005E-2</v>
      </c>
      <c r="T17" s="119">
        <f t="shared" si="9"/>
        <v>16.906400000000001</v>
      </c>
      <c r="U17" s="119">
        <f t="shared" si="9"/>
        <v>15.9253</v>
      </c>
      <c r="V17" s="119">
        <f t="shared" si="9"/>
        <v>0.94750000000000001</v>
      </c>
      <c r="W17" s="119">
        <f t="shared" si="9"/>
        <v>3.3599999999999998E-2</v>
      </c>
      <c r="X17" s="119">
        <f t="shared" si="9"/>
        <v>16.906400000000001</v>
      </c>
      <c r="Y17" s="119">
        <f t="shared" si="9"/>
        <v>15.9253</v>
      </c>
      <c r="Z17" s="119">
        <f t="shared" si="9"/>
        <v>0.94750000000000001</v>
      </c>
      <c r="AA17" s="120">
        <f t="shared" si="9"/>
        <v>3.3599999999999998E-2</v>
      </c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</row>
    <row r="18" spans="1:44" ht="41.4" x14ac:dyDescent="0.3">
      <c r="A18" s="121" t="s">
        <v>44</v>
      </c>
      <c r="B18" s="122">
        <v>3</v>
      </c>
      <c r="C18" s="122">
        <v>9</v>
      </c>
      <c r="D18" s="123">
        <f t="shared" si="6"/>
        <v>15.190925290000001</v>
      </c>
      <c r="E18" s="123">
        <v>13.000500000000001</v>
      </c>
      <c r="F18" s="123">
        <v>2.0335000000000001</v>
      </c>
      <c r="G18" s="123">
        <v>0.15692529</v>
      </c>
      <c r="H18" s="123">
        <f>I18+J18+K18</f>
        <v>15.985300000000001</v>
      </c>
      <c r="I18" s="123">
        <f>14715.6/1000</f>
        <v>14.7156</v>
      </c>
      <c r="J18" s="123">
        <f>1236.1/1000</f>
        <v>1.2361</v>
      </c>
      <c r="K18" s="123">
        <f>33.6/1000</f>
        <v>3.3600000000000005E-2</v>
      </c>
      <c r="L18" s="123">
        <f t="shared" si="8"/>
        <v>15.985300000000001</v>
      </c>
      <c r="M18" s="123">
        <v>14.7156</v>
      </c>
      <c r="N18" s="123">
        <v>1.2361</v>
      </c>
      <c r="O18" s="123">
        <v>3.3599999999999998E-2</v>
      </c>
      <c r="P18" s="123">
        <f>Q18+R18+S18</f>
        <v>16.906400000000001</v>
      </c>
      <c r="Q18" s="123">
        <f>15925.3/1000</f>
        <v>15.9253</v>
      </c>
      <c r="R18" s="123">
        <f>947.5/1000</f>
        <v>0.94750000000000001</v>
      </c>
      <c r="S18" s="123">
        <f>33.6/1000</f>
        <v>3.3600000000000005E-2</v>
      </c>
      <c r="T18" s="123">
        <f>U18+V18+W18</f>
        <v>16.906400000000001</v>
      </c>
      <c r="U18" s="123">
        <v>15.9253</v>
      </c>
      <c r="V18" s="123">
        <v>0.94750000000000001</v>
      </c>
      <c r="W18" s="123">
        <v>3.3599999999999998E-2</v>
      </c>
      <c r="X18" s="123">
        <f>Y18+Z18+AA18</f>
        <v>16.906400000000001</v>
      </c>
      <c r="Y18" s="123">
        <v>15.9253</v>
      </c>
      <c r="Z18" s="123">
        <v>0.94750000000000001</v>
      </c>
      <c r="AA18" s="124">
        <v>3.3599999999999998E-2</v>
      </c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</row>
    <row r="19" spans="1:44" s="18" customFormat="1" ht="13.2" x14ac:dyDescent="0.3">
      <c r="A19" s="126" t="s">
        <v>45</v>
      </c>
      <c r="B19" s="118">
        <v>4</v>
      </c>
      <c r="C19" s="118"/>
      <c r="D19" s="119">
        <f t="shared" si="6"/>
        <v>441.93390176000003</v>
      </c>
      <c r="E19" s="119">
        <f>E20+E21+E22+E23+E24+E25</f>
        <v>409.70086891</v>
      </c>
      <c r="F19" s="119">
        <f>F20+F21+F22+F23+F24+F25</f>
        <v>29.607255859999999</v>
      </c>
      <c r="G19" s="119">
        <f>G20+G21+G22+G23+G24+G25</f>
        <v>2.6257769899999999</v>
      </c>
      <c r="H19" s="119">
        <f>H20+H21+H22+H23+H24+H25</f>
        <v>434.53719999999998</v>
      </c>
      <c r="I19" s="119">
        <f>I20+I21+I22+I23+I24+I25</f>
        <v>407.38240000000002</v>
      </c>
      <c r="J19" s="119">
        <f t="shared" ref="J19:AA19" si="10">J20+J21+J22+J23+J24+J25</f>
        <v>26.031500000000001</v>
      </c>
      <c r="K19" s="119">
        <f t="shared" si="10"/>
        <v>1.1233</v>
      </c>
      <c r="L19" s="119">
        <f t="shared" si="10"/>
        <v>434.53719999999998</v>
      </c>
      <c r="M19" s="119">
        <f t="shared" si="10"/>
        <v>407.38240000000002</v>
      </c>
      <c r="N19" s="119">
        <f t="shared" si="10"/>
        <v>26.031500000000001</v>
      </c>
      <c r="O19" s="119">
        <f t="shared" si="10"/>
        <v>1.1233</v>
      </c>
      <c r="P19" s="119">
        <f t="shared" si="10"/>
        <v>464.84179999999992</v>
      </c>
      <c r="Q19" s="119">
        <f t="shared" si="10"/>
        <v>436.46519999999998</v>
      </c>
      <c r="R19" s="119">
        <f t="shared" si="10"/>
        <v>27.432400000000005</v>
      </c>
      <c r="S19" s="119">
        <f t="shared" si="10"/>
        <v>0.94420000000000004</v>
      </c>
      <c r="T19" s="119">
        <f t="shared" si="10"/>
        <v>460.76749999999993</v>
      </c>
      <c r="U19" s="119">
        <f t="shared" si="10"/>
        <v>434.07780000000002</v>
      </c>
      <c r="V19" s="119">
        <f t="shared" si="10"/>
        <v>25.741299999999999</v>
      </c>
      <c r="W19" s="119">
        <f t="shared" si="10"/>
        <v>0.94840000000000002</v>
      </c>
      <c r="X19" s="119">
        <f t="shared" si="10"/>
        <v>460.74299999999999</v>
      </c>
      <c r="Y19" s="119">
        <f t="shared" si="10"/>
        <v>434.07760000000002</v>
      </c>
      <c r="Z19" s="119">
        <f t="shared" si="10"/>
        <v>25.716999999999999</v>
      </c>
      <c r="AA19" s="120">
        <f t="shared" si="10"/>
        <v>0.94840000000000002</v>
      </c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</row>
    <row r="20" spans="1:44" x14ac:dyDescent="0.3">
      <c r="A20" s="121" t="s">
        <v>46</v>
      </c>
      <c r="B20" s="122">
        <v>4</v>
      </c>
      <c r="C20" s="122">
        <v>1</v>
      </c>
      <c r="D20" s="123">
        <f>E20+F20+G20</f>
        <v>228.80538519999999</v>
      </c>
      <c r="E20" s="123">
        <v>210.88617072</v>
      </c>
      <c r="F20" s="123">
        <v>15.77911426</v>
      </c>
      <c r="G20" s="123">
        <v>2.1401002199999999</v>
      </c>
      <c r="H20" s="123">
        <f t="shared" ref="H20:H27" si="11">I20+J20+K20</f>
        <v>217.6079</v>
      </c>
      <c r="I20" s="123">
        <f>203759.7/1000</f>
        <v>203.75970000000001</v>
      </c>
      <c r="J20" s="123">
        <f>13283.8/1000</f>
        <v>13.283799999999999</v>
      </c>
      <c r="K20" s="123">
        <f>564.4/1000</f>
        <v>0.56440000000000001</v>
      </c>
      <c r="L20" s="123">
        <f t="shared" si="8"/>
        <v>217.6079</v>
      </c>
      <c r="M20" s="123">
        <v>203.75970000000001</v>
      </c>
      <c r="N20" s="123">
        <v>13.283799999999999</v>
      </c>
      <c r="O20" s="123">
        <v>0.56440000000000001</v>
      </c>
      <c r="P20" s="123">
        <f t="shared" ref="P20:P25" si="12">Q20+R20+S20</f>
        <v>234.07249999999996</v>
      </c>
      <c r="Q20" s="123">
        <f>219783.8/1000</f>
        <v>219.78379999999999</v>
      </c>
      <c r="R20" s="123">
        <f>13761.7/1000</f>
        <v>13.761700000000001</v>
      </c>
      <c r="S20" s="123">
        <f>527/1000</f>
        <v>0.52700000000000002</v>
      </c>
      <c r="T20" s="123">
        <f t="shared" ref="T20:T25" si="13">U20+V20+W20</f>
        <v>230.56769999999997</v>
      </c>
      <c r="U20" s="123">
        <v>217.3964</v>
      </c>
      <c r="V20" s="123">
        <v>12.638299999999999</v>
      </c>
      <c r="W20" s="123">
        <v>0.53300000000000003</v>
      </c>
      <c r="X20" s="123">
        <f t="shared" ref="X20:X25" si="14">Y20+Z20+AA20</f>
        <v>230.55879999999999</v>
      </c>
      <c r="Y20" s="123">
        <v>217.39619999999999</v>
      </c>
      <c r="Z20" s="123">
        <v>12.6296</v>
      </c>
      <c r="AA20" s="124">
        <v>0.53300000000000003</v>
      </c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</row>
    <row r="21" spans="1:44" x14ac:dyDescent="0.3">
      <c r="A21" s="121" t="s">
        <v>47</v>
      </c>
      <c r="B21" s="122">
        <v>4</v>
      </c>
      <c r="C21" s="122">
        <v>2</v>
      </c>
      <c r="D21" s="123">
        <f t="shared" ref="D21:D38" si="15">E21+F21+G21</f>
        <v>55.662811220000002</v>
      </c>
      <c r="E21" s="123">
        <v>52.693333950000003</v>
      </c>
      <c r="F21" s="123">
        <v>2.91943442</v>
      </c>
      <c r="G21" s="123">
        <v>5.004285E-2</v>
      </c>
      <c r="H21" s="123">
        <f t="shared" si="11"/>
        <v>53.012499999999996</v>
      </c>
      <c r="I21" s="123">
        <f>50578.7/1000</f>
        <v>50.578699999999998</v>
      </c>
      <c r="J21" s="123">
        <f>2194.8/1000</f>
        <v>2.1948000000000003</v>
      </c>
      <c r="K21" s="123">
        <f>239/1000</f>
        <v>0.23899999999999999</v>
      </c>
      <c r="L21" s="123">
        <f t="shared" si="8"/>
        <v>53.012499999999996</v>
      </c>
      <c r="M21" s="123">
        <v>50.578699999999998</v>
      </c>
      <c r="N21" s="123">
        <v>2.1947999999999999</v>
      </c>
      <c r="O21" s="123">
        <v>0.23899999999999999</v>
      </c>
      <c r="P21" s="123">
        <f t="shared" si="12"/>
        <v>57.725200000000001</v>
      </c>
      <c r="Q21" s="123">
        <f>54506.4/1000</f>
        <v>54.506399999999999</v>
      </c>
      <c r="R21" s="123">
        <f>3212.8/1000</f>
        <v>3.2128000000000001</v>
      </c>
      <c r="S21" s="123">
        <f>6/1000</f>
        <v>6.0000000000000001E-3</v>
      </c>
      <c r="T21" s="123">
        <f t="shared" si="13"/>
        <v>56.975200000000001</v>
      </c>
      <c r="U21" s="123">
        <v>54.506399999999999</v>
      </c>
      <c r="V21" s="123">
        <v>2.4628000000000001</v>
      </c>
      <c r="W21" s="123">
        <v>6.0000000000000001E-3</v>
      </c>
      <c r="X21" s="123">
        <f t="shared" si="14"/>
        <v>56.975200000000001</v>
      </c>
      <c r="Y21" s="123">
        <v>54.506399999999999</v>
      </c>
      <c r="Z21" s="123">
        <v>2.4628000000000001</v>
      </c>
      <c r="AA21" s="124">
        <v>6.0000000000000001E-3</v>
      </c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</row>
    <row r="22" spans="1:44" x14ac:dyDescent="0.3">
      <c r="A22" s="121" t="s">
        <v>48</v>
      </c>
      <c r="B22" s="122">
        <v>4</v>
      </c>
      <c r="C22" s="122">
        <v>5</v>
      </c>
      <c r="D22" s="123">
        <f t="shared" si="15"/>
        <v>54.539353599999998</v>
      </c>
      <c r="E22" s="123">
        <v>52.369825300000002</v>
      </c>
      <c r="F22" s="123">
        <v>2.0125999999999999</v>
      </c>
      <c r="G22" s="123">
        <v>0.15692829999999999</v>
      </c>
      <c r="H22" s="123">
        <f t="shared" si="11"/>
        <v>56.618300000000005</v>
      </c>
      <c r="I22" s="123">
        <f>55112/1000</f>
        <v>55.112000000000002</v>
      </c>
      <c r="J22" s="123">
        <f>1409.3/1000</f>
        <v>1.4093</v>
      </c>
      <c r="K22" s="123">
        <f>97/1000</f>
        <v>9.7000000000000003E-2</v>
      </c>
      <c r="L22" s="123">
        <f t="shared" si="8"/>
        <v>56.618300000000005</v>
      </c>
      <c r="M22" s="123">
        <v>55.112000000000002</v>
      </c>
      <c r="N22" s="123">
        <v>1.4093</v>
      </c>
      <c r="O22" s="123">
        <v>9.7000000000000003E-2</v>
      </c>
      <c r="P22" s="123">
        <f t="shared" si="12"/>
        <v>59.613700000000001</v>
      </c>
      <c r="Q22" s="123">
        <f>57826.4/1000</f>
        <v>57.8264</v>
      </c>
      <c r="R22" s="123">
        <f>1690.3/1000</f>
        <v>1.6902999999999999</v>
      </c>
      <c r="S22" s="123">
        <f>97/1000</f>
        <v>9.7000000000000003E-2</v>
      </c>
      <c r="T22" s="123">
        <f t="shared" si="13"/>
        <v>59.613700000000001</v>
      </c>
      <c r="U22" s="123">
        <v>57.8264</v>
      </c>
      <c r="V22" s="123">
        <v>1.6902999999999999</v>
      </c>
      <c r="W22" s="123">
        <v>9.7000000000000003E-2</v>
      </c>
      <c r="X22" s="123">
        <f t="shared" si="14"/>
        <v>59.613700000000001</v>
      </c>
      <c r="Y22" s="123">
        <v>57.8264</v>
      </c>
      <c r="Z22" s="123">
        <v>1.6902999999999999</v>
      </c>
      <c r="AA22" s="124">
        <v>9.7000000000000003E-2</v>
      </c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</row>
    <row r="23" spans="1:44" x14ac:dyDescent="0.3">
      <c r="A23" s="121" t="s">
        <v>49</v>
      </c>
      <c r="B23" s="122">
        <v>4</v>
      </c>
      <c r="C23" s="122">
        <v>8</v>
      </c>
      <c r="D23" s="123">
        <f t="shared" si="15"/>
        <v>43.732457029999999</v>
      </c>
      <c r="E23" s="123">
        <v>40.077123450000002</v>
      </c>
      <c r="F23" s="123">
        <v>3.4111861399999999</v>
      </c>
      <c r="G23" s="123">
        <v>0.24414743999999999</v>
      </c>
      <c r="H23" s="123">
        <f t="shared" si="11"/>
        <v>41.670300000000005</v>
      </c>
      <c r="I23" s="123">
        <f>38311.3/1000</f>
        <v>38.311300000000003</v>
      </c>
      <c r="J23" s="123">
        <f>3230.6/1000</f>
        <v>3.2305999999999999</v>
      </c>
      <c r="K23" s="123">
        <f>128.4/1000</f>
        <v>0.12840000000000001</v>
      </c>
      <c r="L23" s="123">
        <f t="shared" si="8"/>
        <v>41.670300000000005</v>
      </c>
      <c r="M23" s="123">
        <v>38.311300000000003</v>
      </c>
      <c r="N23" s="123">
        <v>3.2305999999999999</v>
      </c>
      <c r="O23" s="123">
        <v>0.12839999999999999</v>
      </c>
      <c r="P23" s="123">
        <f t="shared" si="12"/>
        <v>44.095100000000009</v>
      </c>
      <c r="Q23" s="123">
        <f>40378.8/1000</f>
        <v>40.378800000000005</v>
      </c>
      <c r="R23" s="123">
        <f>3574.5/1000</f>
        <v>3.5745</v>
      </c>
      <c r="S23" s="123">
        <f>141.8/1000</f>
        <v>0.14180000000000001</v>
      </c>
      <c r="T23" s="123">
        <f t="shared" si="13"/>
        <v>44.139099999999999</v>
      </c>
      <c r="U23" s="123">
        <v>40.378799999999998</v>
      </c>
      <c r="V23" s="123">
        <v>3.6202999999999999</v>
      </c>
      <c r="W23" s="123">
        <v>0.14000000000000001</v>
      </c>
      <c r="X23" s="123">
        <f t="shared" si="14"/>
        <v>44.135100000000001</v>
      </c>
      <c r="Y23" s="123">
        <v>40.378799999999998</v>
      </c>
      <c r="Z23" s="123">
        <v>3.6162999999999998</v>
      </c>
      <c r="AA23" s="124">
        <v>0.14000000000000001</v>
      </c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</row>
    <row r="24" spans="1:44" x14ac:dyDescent="0.3">
      <c r="A24" s="121" t="s">
        <v>50</v>
      </c>
      <c r="B24" s="122">
        <v>4</v>
      </c>
      <c r="C24" s="122">
        <v>10</v>
      </c>
      <c r="D24" s="123">
        <f t="shared" si="15"/>
        <v>12.77810451</v>
      </c>
      <c r="E24" s="123">
        <v>9.2291982299999997</v>
      </c>
      <c r="F24" s="123">
        <v>3.5489062800000002</v>
      </c>
      <c r="G24" s="123"/>
      <c r="H24" s="123">
        <f t="shared" si="11"/>
        <v>23.392900000000001</v>
      </c>
      <c r="I24" s="123">
        <f>19273.1/1000</f>
        <v>19.273099999999999</v>
      </c>
      <c r="J24" s="123">
        <f>4119.8/1000</f>
        <v>4.1198000000000006</v>
      </c>
      <c r="K24" s="123">
        <v>0</v>
      </c>
      <c r="L24" s="123">
        <f t="shared" si="8"/>
        <v>23.392899999999997</v>
      </c>
      <c r="M24" s="123">
        <v>19.273099999999999</v>
      </c>
      <c r="N24" s="123">
        <v>4.1197999999999997</v>
      </c>
      <c r="O24" s="123"/>
      <c r="P24" s="123">
        <f t="shared" si="12"/>
        <v>26.681700000000003</v>
      </c>
      <c r="Q24" s="123">
        <f>23148.9/1000</f>
        <v>23.148900000000001</v>
      </c>
      <c r="R24" s="123">
        <f>3456.9/1000</f>
        <v>3.4569000000000001</v>
      </c>
      <c r="S24" s="123">
        <f>75.9/1000</f>
        <v>7.5900000000000009E-2</v>
      </c>
      <c r="T24" s="123">
        <f t="shared" si="13"/>
        <v>26.818200000000001</v>
      </c>
      <c r="U24" s="123">
        <v>23.148900000000001</v>
      </c>
      <c r="V24" s="123">
        <v>3.5933999999999999</v>
      </c>
      <c r="W24" s="123">
        <v>7.5899999999999995E-2</v>
      </c>
      <c r="X24" s="123">
        <f t="shared" si="14"/>
        <v>26.806600000000003</v>
      </c>
      <c r="Y24" s="123">
        <v>23.148900000000001</v>
      </c>
      <c r="Z24" s="123">
        <v>3.5817999999999999</v>
      </c>
      <c r="AA24" s="124">
        <v>7.5899999999999995E-2</v>
      </c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</row>
    <row r="25" spans="1:44" ht="13.8" customHeight="1" x14ac:dyDescent="0.3">
      <c r="A25" s="121" t="s">
        <v>51</v>
      </c>
      <c r="B25" s="122">
        <v>4</v>
      </c>
      <c r="C25" s="122">
        <v>12</v>
      </c>
      <c r="D25" s="123">
        <f t="shared" si="15"/>
        <v>46.415790199999996</v>
      </c>
      <c r="E25" s="123">
        <v>44.44521726</v>
      </c>
      <c r="F25" s="123">
        <v>1.9360147599999999</v>
      </c>
      <c r="G25" s="123">
        <v>3.4558180000000001E-2</v>
      </c>
      <c r="H25" s="123">
        <f t="shared" si="11"/>
        <v>42.235299999999995</v>
      </c>
      <c r="I25" s="123">
        <f>40347.6/1000</f>
        <v>40.3476</v>
      </c>
      <c r="J25" s="123">
        <f>1793.2/1000</f>
        <v>1.7932000000000001</v>
      </c>
      <c r="K25" s="123">
        <f>94.5/1000</f>
        <v>9.4500000000000001E-2</v>
      </c>
      <c r="L25" s="123">
        <f t="shared" si="8"/>
        <v>42.235299999999995</v>
      </c>
      <c r="M25" s="123">
        <v>40.3476</v>
      </c>
      <c r="N25" s="123">
        <v>1.7931999999999999</v>
      </c>
      <c r="O25" s="123">
        <v>9.4500000000000001E-2</v>
      </c>
      <c r="P25" s="123">
        <f t="shared" si="12"/>
        <v>42.653599999999997</v>
      </c>
      <c r="Q25" s="123">
        <f>40820.9/1000</f>
        <v>40.820900000000002</v>
      </c>
      <c r="R25" s="123">
        <f>1736.2/1000</f>
        <v>1.7362</v>
      </c>
      <c r="S25" s="123">
        <f>96.5/1000</f>
        <v>9.6500000000000002E-2</v>
      </c>
      <c r="T25" s="123">
        <f t="shared" si="13"/>
        <v>42.653599999999997</v>
      </c>
      <c r="U25" s="123">
        <v>40.820900000000002</v>
      </c>
      <c r="V25" s="123">
        <v>1.7362</v>
      </c>
      <c r="W25" s="123">
        <v>9.6500000000000002E-2</v>
      </c>
      <c r="X25" s="123">
        <f t="shared" si="14"/>
        <v>42.653599999999997</v>
      </c>
      <c r="Y25" s="123">
        <v>40.820900000000002</v>
      </c>
      <c r="Z25" s="123">
        <v>1.7362</v>
      </c>
      <c r="AA25" s="124">
        <v>9.6500000000000002E-2</v>
      </c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</row>
    <row r="26" spans="1:44" s="18" customFormat="1" ht="13.2" x14ac:dyDescent="0.3">
      <c r="A26" s="127" t="s">
        <v>52</v>
      </c>
      <c r="B26" s="118">
        <v>5</v>
      </c>
      <c r="C26" s="118"/>
      <c r="D26" s="119">
        <f t="shared" si="15"/>
        <v>53.151963689999995</v>
      </c>
      <c r="E26" s="119">
        <f>E27</f>
        <v>47.419861589999996</v>
      </c>
      <c r="F26" s="119">
        <f>F27</f>
        <v>5.4924331000000004</v>
      </c>
      <c r="G26" s="119">
        <f>G27</f>
        <v>0.23966899999999999</v>
      </c>
      <c r="H26" s="119">
        <f t="shared" si="11"/>
        <v>52.4529</v>
      </c>
      <c r="I26" s="119">
        <f>I27</f>
        <v>46.265599999999999</v>
      </c>
      <c r="J26" s="119">
        <f t="shared" ref="J26:AA26" si="16">J27</f>
        <v>6.0872999999999999</v>
      </c>
      <c r="K26" s="119">
        <f t="shared" si="16"/>
        <v>0.1</v>
      </c>
      <c r="L26" s="119">
        <f t="shared" si="16"/>
        <v>52.4529</v>
      </c>
      <c r="M26" s="119">
        <f t="shared" si="16"/>
        <v>46.265599999999999</v>
      </c>
      <c r="N26" s="119">
        <f t="shared" si="16"/>
        <v>6.0872999999999999</v>
      </c>
      <c r="O26" s="119">
        <f t="shared" si="16"/>
        <v>0.1</v>
      </c>
      <c r="P26" s="119">
        <f t="shared" si="16"/>
        <v>56.391499999999994</v>
      </c>
      <c r="Q26" s="119">
        <f t="shared" si="16"/>
        <v>50.354699999999994</v>
      </c>
      <c r="R26" s="119">
        <f t="shared" si="16"/>
        <v>5.9367999999999999</v>
      </c>
      <c r="S26" s="119">
        <f t="shared" si="16"/>
        <v>0.1</v>
      </c>
      <c r="T26" s="119">
        <f t="shared" si="16"/>
        <v>56.434699999999999</v>
      </c>
      <c r="U26" s="119">
        <f t="shared" si="16"/>
        <v>50.354700000000001</v>
      </c>
      <c r="V26" s="119">
        <f t="shared" si="16"/>
        <v>5.98</v>
      </c>
      <c r="W26" s="119">
        <f t="shared" si="16"/>
        <v>0.1</v>
      </c>
      <c r="X26" s="119">
        <f t="shared" si="16"/>
        <v>56.431000000000004</v>
      </c>
      <c r="Y26" s="119">
        <f t="shared" si="16"/>
        <v>50.354700000000001</v>
      </c>
      <c r="Z26" s="119">
        <f t="shared" si="16"/>
        <v>5.9763000000000002</v>
      </c>
      <c r="AA26" s="120">
        <f t="shared" si="16"/>
        <v>0.1</v>
      </c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</row>
    <row r="27" spans="1:44" ht="27.6" x14ac:dyDescent="0.3">
      <c r="A27" s="116" t="s">
        <v>53</v>
      </c>
      <c r="B27" s="122">
        <v>5</v>
      </c>
      <c r="C27" s="122">
        <v>5</v>
      </c>
      <c r="D27" s="123">
        <f t="shared" si="15"/>
        <v>53.151963689999995</v>
      </c>
      <c r="E27" s="123">
        <v>47.419861589999996</v>
      </c>
      <c r="F27" s="123">
        <v>5.4924331000000004</v>
      </c>
      <c r="G27" s="123">
        <v>0.23966899999999999</v>
      </c>
      <c r="H27" s="123">
        <f t="shared" si="11"/>
        <v>52.4529</v>
      </c>
      <c r="I27" s="123">
        <f>46265.6/1000</f>
        <v>46.265599999999999</v>
      </c>
      <c r="J27" s="123">
        <f>6087.3/1000</f>
        <v>6.0872999999999999</v>
      </c>
      <c r="K27" s="123">
        <f>100/1000</f>
        <v>0.1</v>
      </c>
      <c r="L27" s="123">
        <f t="shared" si="8"/>
        <v>52.4529</v>
      </c>
      <c r="M27" s="123">
        <v>46.265599999999999</v>
      </c>
      <c r="N27" s="123">
        <v>6.0872999999999999</v>
      </c>
      <c r="O27" s="123">
        <v>0.1</v>
      </c>
      <c r="P27" s="123">
        <f>Q27+R27+S27</f>
        <v>56.391499999999994</v>
      </c>
      <c r="Q27" s="123">
        <f>50354.7/1000</f>
        <v>50.354699999999994</v>
      </c>
      <c r="R27" s="123">
        <f>5936.8/1000</f>
        <v>5.9367999999999999</v>
      </c>
      <c r="S27" s="123">
        <f>100/1000</f>
        <v>0.1</v>
      </c>
      <c r="T27" s="123">
        <f>U27+V27+W27</f>
        <v>56.434699999999999</v>
      </c>
      <c r="U27" s="123">
        <v>50.354700000000001</v>
      </c>
      <c r="V27" s="123">
        <v>5.98</v>
      </c>
      <c r="W27" s="123">
        <v>0.1</v>
      </c>
      <c r="X27" s="123">
        <f>Y27+Z27+AA27</f>
        <v>56.431000000000004</v>
      </c>
      <c r="Y27" s="123">
        <v>50.354700000000001</v>
      </c>
      <c r="Z27" s="123">
        <v>5.9763000000000002</v>
      </c>
      <c r="AA27" s="124">
        <v>0.1</v>
      </c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</row>
    <row r="28" spans="1:44" s="18" customFormat="1" ht="13.2" x14ac:dyDescent="0.3">
      <c r="A28" s="117" t="s">
        <v>54</v>
      </c>
      <c r="B28" s="118">
        <v>7</v>
      </c>
      <c r="C28" s="118"/>
      <c r="D28" s="119">
        <f t="shared" si="15"/>
        <v>52.800389519999996</v>
      </c>
      <c r="E28" s="119">
        <f t="shared" ref="E28:K28" si="17">E30</f>
        <v>50.727966619999997</v>
      </c>
      <c r="F28" s="119">
        <f t="shared" si="17"/>
        <v>2.0113718999999999</v>
      </c>
      <c r="G28" s="119">
        <f t="shared" si="17"/>
        <v>6.1051000000000001E-2</v>
      </c>
      <c r="H28" s="119">
        <f t="shared" si="17"/>
        <v>49.404599999999995</v>
      </c>
      <c r="I28" s="119">
        <f t="shared" si="17"/>
        <v>47.644599999999997</v>
      </c>
      <c r="J28" s="119">
        <f t="shared" si="17"/>
        <v>1.6985999999999999</v>
      </c>
      <c r="K28" s="119">
        <f t="shared" si="17"/>
        <v>6.1399999999999996E-2</v>
      </c>
      <c r="L28" s="119">
        <f t="shared" ref="L28:O28" si="18">L30+L29</f>
        <v>49.404599999999995</v>
      </c>
      <c r="M28" s="119">
        <f t="shared" si="18"/>
        <v>47.644599999999997</v>
      </c>
      <c r="N28" s="119">
        <f t="shared" si="18"/>
        <v>1.6986000000000001</v>
      </c>
      <c r="O28" s="119">
        <f t="shared" si="18"/>
        <v>6.1400000000000003E-2</v>
      </c>
      <c r="P28" s="119">
        <f t="shared" ref="P28:AA28" si="19">P30+P29</f>
        <v>52.521799999999999</v>
      </c>
      <c r="Q28" s="119">
        <f t="shared" si="19"/>
        <v>50.053800000000003</v>
      </c>
      <c r="R28" s="119">
        <f t="shared" si="19"/>
        <v>2.4066000000000001</v>
      </c>
      <c r="S28" s="119">
        <f t="shared" si="19"/>
        <v>6.1399999999999996E-2</v>
      </c>
      <c r="T28" s="119">
        <f t="shared" si="19"/>
        <v>52.521799999999999</v>
      </c>
      <c r="U28" s="119">
        <f t="shared" si="19"/>
        <v>50.053800000000003</v>
      </c>
      <c r="V28" s="119">
        <f t="shared" si="19"/>
        <v>2.4066000000000001</v>
      </c>
      <c r="W28" s="119">
        <f t="shared" si="19"/>
        <v>6.1400000000000003E-2</v>
      </c>
      <c r="X28" s="119">
        <f t="shared" si="19"/>
        <v>52.521799999999999</v>
      </c>
      <c r="Y28" s="119">
        <f t="shared" si="19"/>
        <v>50.053800000000003</v>
      </c>
      <c r="Z28" s="119">
        <f t="shared" si="19"/>
        <v>2.4066000000000001</v>
      </c>
      <c r="AA28" s="120">
        <f t="shared" si="19"/>
        <v>6.1400000000000003E-2</v>
      </c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</row>
    <row r="29" spans="1:44" ht="26.4" x14ac:dyDescent="0.3">
      <c r="A29" s="128" t="s">
        <v>371</v>
      </c>
      <c r="B29" s="129">
        <v>7</v>
      </c>
      <c r="C29" s="129">
        <v>5</v>
      </c>
      <c r="D29" s="130">
        <v>0</v>
      </c>
      <c r="E29" s="130">
        <v>0</v>
      </c>
      <c r="F29" s="130">
        <v>0</v>
      </c>
      <c r="G29" s="130">
        <v>0</v>
      </c>
      <c r="H29" s="130">
        <v>0</v>
      </c>
      <c r="I29" s="130">
        <v>0</v>
      </c>
      <c r="J29" s="130">
        <v>0</v>
      </c>
      <c r="K29" s="130">
        <v>0</v>
      </c>
      <c r="L29" s="123">
        <f t="shared" si="8"/>
        <v>0</v>
      </c>
      <c r="M29" s="130"/>
      <c r="N29" s="130"/>
      <c r="O29" s="130"/>
      <c r="P29" s="123">
        <f>Q29+R29+S29</f>
        <v>0.70799999999999996</v>
      </c>
      <c r="Q29" s="130">
        <v>0</v>
      </c>
      <c r="R29" s="130">
        <f>708/1000</f>
        <v>0.70799999999999996</v>
      </c>
      <c r="S29" s="130">
        <v>0</v>
      </c>
      <c r="T29" s="123">
        <f>U29+V29+W29</f>
        <v>0.70799999999999996</v>
      </c>
      <c r="U29" s="130"/>
      <c r="V29" s="130">
        <v>0.70799999999999996</v>
      </c>
      <c r="W29" s="130"/>
      <c r="X29" s="123">
        <f>Y29+Z29+AA29</f>
        <v>0.70799999999999996</v>
      </c>
      <c r="Y29" s="130"/>
      <c r="Z29" s="130">
        <v>0.70799999999999996</v>
      </c>
      <c r="AA29" s="13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</row>
    <row r="30" spans="1:44" s="18" customFormat="1" x14ac:dyDescent="0.3">
      <c r="A30" s="121" t="s">
        <v>55</v>
      </c>
      <c r="B30" s="122">
        <v>7</v>
      </c>
      <c r="C30" s="122">
        <v>9</v>
      </c>
      <c r="D30" s="123">
        <f t="shared" si="15"/>
        <v>52.800389519999996</v>
      </c>
      <c r="E30" s="123">
        <v>50.727966619999997</v>
      </c>
      <c r="F30" s="123">
        <v>2.0113718999999999</v>
      </c>
      <c r="G30" s="123">
        <v>6.1051000000000001E-2</v>
      </c>
      <c r="H30" s="123">
        <f>I30+J30+K30</f>
        <v>49.404599999999995</v>
      </c>
      <c r="I30" s="123">
        <f>47644.6/1000</f>
        <v>47.644599999999997</v>
      </c>
      <c r="J30" s="123">
        <f>1698.6/1000</f>
        <v>1.6985999999999999</v>
      </c>
      <c r="K30" s="123">
        <f>61.4/1000</f>
        <v>6.1399999999999996E-2</v>
      </c>
      <c r="L30" s="123">
        <f t="shared" si="8"/>
        <v>49.404599999999995</v>
      </c>
      <c r="M30" s="123">
        <v>47.644599999999997</v>
      </c>
      <c r="N30" s="123">
        <v>1.6986000000000001</v>
      </c>
      <c r="O30" s="123">
        <v>6.1400000000000003E-2</v>
      </c>
      <c r="P30" s="123">
        <f>Q30+R30+S30</f>
        <v>51.813800000000001</v>
      </c>
      <c r="Q30" s="123">
        <f>50053.8/1000</f>
        <v>50.053800000000003</v>
      </c>
      <c r="R30" s="123">
        <f>1698.6/1000</f>
        <v>1.6985999999999999</v>
      </c>
      <c r="S30" s="123">
        <f>61.4/1000</f>
        <v>6.1399999999999996E-2</v>
      </c>
      <c r="T30" s="123">
        <f>U30+V30+W30</f>
        <v>51.813800000000001</v>
      </c>
      <c r="U30" s="123">
        <v>50.053800000000003</v>
      </c>
      <c r="V30" s="123">
        <v>1.6986000000000001</v>
      </c>
      <c r="W30" s="123">
        <v>6.1400000000000003E-2</v>
      </c>
      <c r="X30" s="123">
        <f>Y30+Z30+AA30</f>
        <v>51.813800000000001</v>
      </c>
      <c r="Y30" s="123">
        <v>50.053800000000003</v>
      </c>
      <c r="Z30" s="123">
        <v>1.6986000000000001</v>
      </c>
      <c r="AA30" s="124">
        <v>6.1400000000000003E-2</v>
      </c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</row>
    <row r="31" spans="1:44" x14ac:dyDescent="0.3">
      <c r="A31" s="126" t="s">
        <v>56</v>
      </c>
      <c r="B31" s="118">
        <v>8</v>
      </c>
      <c r="C31" s="118"/>
      <c r="D31" s="119">
        <f t="shared" si="15"/>
        <v>34.632009549999999</v>
      </c>
      <c r="E31" s="119">
        <f>E32</f>
        <v>33.088963700000001</v>
      </c>
      <c r="F31" s="119">
        <f>F32</f>
        <v>1.25662914</v>
      </c>
      <c r="G31" s="119">
        <f>G32</f>
        <v>0.28641671000000002</v>
      </c>
      <c r="H31" s="119">
        <f>H32</f>
        <v>34.4129</v>
      </c>
      <c r="I31" s="119">
        <f>I32</f>
        <v>32.912300000000002</v>
      </c>
      <c r="J31" s="119">
        <f t="shared" ref="J31:AA31" si="20">J32</f>
        <v>1.4992000000000001</v>
      </c>
      <c r="K31" s="119">
        <f t="shared" si="20"/>
        <v>1.4E-3</v>
      </c>
      <c r="L31" s="119">
        <f t="shared" si="20"/>
        <v>34.252899999999997</v>
      </c>
      <c r="M31" s="119">
        <f t="shared" si="20"/>
        <v>32.752299999999998</v>
      </c>
      <c r="N31" s="119">
        <f t="shared" si="20"/>
        <v>1.4992000000000001</v>
      </c>
      <c r="O31" s="119">
        <f t="shared" si="20"/>
        <v>1.4E-3</v>
      </c>
      <c r="P31" s="119">
        <f t="shared" si="20"/>
        <v>36.537299999999995</v>
      </c>
      <c r="Q31" s="119">
        <f t="shared" si="20"/>
        <v>34.819699999999997</v>
      </c>
      <c r="R31" s="119">
        <f t="shared" si="20"/>
        <v>1.714</v>
      </c>
      <c r="S31" s="119">
        <f t="shared" si="20"/>
        <v>3.5999999999999999E-3</v>
      </c>
      <c r="T31" s="119">
        <f t="shared" si="20"/>
        <v>36.537299999999995</v>
      </c>
      <c r="U31" s="119">
        <f t="shared" si="20"/>
        <v>34.819699999999997</v>
      </c>
      <c r="V31" s="119">
        <f t="shared" si="20"/>
        <v>1.7145999999999999</v>
      </c>
      <c r="W31" s="119">
        <f t="shared" si="20"/>
        <v>3.0000000000000001E-3</v>
      </c>
      <c r="X31" s="119">
        <f t="shared" si="20"/>
        <v>36.537199999999999</v>
      </c>
      <c r="Y31" s="119">
        <f t="shared" si="20"/>
        <v>34.819699999999997</v>
      </c>
      <c r="Z31" s="119">
        <f t="shared" si="20"/>
        <v>1.7149000000000001</v>
      </c>
      <c r="AA31" s="120">
        <f t="shared" si="20"/>
        <v>2.5999999999999999E-3</v>
      </c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</row>
    <row r="32" spans="1:44" s="18" customFormat="1" ht="13.8" customHeight="1" x14ac:dyDescent="0.3">
      <c r="A32" s="132" t="s">
        <v>57</v>
      </c>
      <c r="B32" s="122">
        <v>8</v>
      </c>
      <c r="C32" s="122">
        <v>4</v>
      </c>
      <c r="D32" s="123">
        <f t="shared" si="15"/>
        <v>34.632009549999999</v>
      </c>
      <c r="E32" s="123">
        <v>33.088963700000001</v>
      </c>
      <c r="F32" s="123">
        <v>1.25662914</v>
      </c>
      <c r="G32" s="123">
        <v>0.28641671000000002</v>
      </c>
      <c r="H32" s="123">
        <f>I32+J32+K32</f>
        <v>34.4129</v>
      </c>
      <c r="I32" s="123">
        <f>32912.3/1000</f>
        <v>32.912300000000002</v>
      </c>
      <c r="J32" s="123">
        <f>1499.2/1000</f>
        <v>1.4992000000000001</v>
      </c>
      <c r="K32" s="123">
        <f>1.4/1000</f>
        <v>1.4E-3</v>
      </c>
      <c r="L32" s="123">
        <f t="shared" si="8"/>
        <v>34.252899999999997</v>
      </c>
      <c r="M32" s="123">
        <v>32.752299999999998</v>
      </c>
      <c r="N32" s="123">
        <v>1.4992000000000001</v>
      </c>
      <c r="O32" s="123">
        <v>1.4E-3</v>
      </c>
      <c r="P32" s="123">
        <f>Q32+R32+S32</f>
        <v>36.537299999999995</v>
      </c>
      <c r="Q32" s="123">
        <f>34819.7/1000</f>
        <v>34.819699999999997</v>
      </c>
      <c r="R32" s="123">
        <f>1714/1000</f>
        <v>1.714</v>
      </c>
      <c r="S32" s="123">
        <f>3.6/1000</f>
        <v>3.5999999999999999E-3</v>
      </c>
      <c r="T32" s="123">
        <f>U32+V32+W32</f>
        <v>36.537299999999995</v>
      </c>
      <c r="U32" s="123">
        <v>34.819699999999997</v>
      </c>
      <c r="V32" s="123">
        <v>1.7145999999999999</v>
      </c>
      <c r="W32" s="123">
        <v>3.0000000000000001E-3</v>
      </c>
      <c r="X32" s="123">
        <f>Y32+Z32+AA32</f>
        <v>36.537199999999999</v>
      </c>
      <c r="Y32" s="123">
        <v>34.819699999999997</v>
      </c>
      <c r="Z32" s="123">
        <v>1.7149000000000001</v>
      </c>
      <c r="AA32" s="124">
        <v>2.5999999999999999E-3</v>
      </c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</row>
    <row r="33" spans="1:44" x14ac:dyDescent="0.3">
      <c r="A33" s="126" t="s">
        <v>58</v>
      </c>
      <c r="B33" s="118">
        <v>9</v>
      </c>
      <c r="C33" s="118"/>
      <c r="D33" s="119">
        <f t="shared" si="15"/>
        <v>82.66254078</v>
      </c>
      <c r="E33" s="119">
        <f>E34</f>
        <v>78.939299869999999</v>
      </c>
      <c r="F33" s="119">
        <f>F34</f>
        <v>3.5076839099999999</v>
      </c>
      <c r="G33" s="119">
        <f>G34</f>
        <v>0.215557</v>
      </c>
      <c r="H33" s="119">
        <f>H34</f>
        <v>78.423099999999991</v>
      </c>
      <c r="I33" s="119">
        <f>I34</f>
        <v>75.947199999999995</v>
      </c>
      <c r="J33" s="119">
        <f t="shared" ref="J33:AA33" si="21">J34</f>
        <v>2.2979000000000003</v>
      </c>
      <c r="K33" s="119">
        <f t="shared" si="21"/>
        <v>0.17799999999999999</v>
      </c>
      <c r="L33" s="119">
        <f t="shared" si="21"/>
        <v>78.423099999999991</v>
      </c>
      <c r="M33" s="119">
        <f t="shared" si="21"/>
        <v>75.947199999999995</v>
      </c>
      <c r="N33" s="119">
        <f t="shared" si="21"/>
        <v>2.2978999999999998</v>
      </c>
      <c r="O33" s="119">
        <f t="shared" si="21"/>
        <v>0.17799999999999999</v>
      </c>
      <c r="P33" s="119">
        <f t="shared" si="21"/>
        <v>83.730599999999995</v>
      </c>
      <c r="Q33" s="119">
        <f t="shared" si="21"/>
        <v>80.408199999999994</v>
      </c>
      <c r="R33" s="119">
        <f t="shared" si="21"/>
        <v>3.1444000000000001</v>
      </c>
      <c r="S33" s="119">
        <f t="shared" si="21"/>
        <v>0.17799999999999999</v>
      </c>
      <c r="T33" s="119">
        <f t="shared" si="21"/>
        <v>83.730599999999995</v>
      </c>
      <c r="U33" s="119">
        <f t="shared" si="21"/>
        <v>80.408199999999994</v>
      </c>
      <c r="V33" s="119">
        <f t="shared" si="21"/>
        <v>3.1444000000000001</v>
      </c>
      <c r="W33" s="119">
        <f t="shared" si="21"/>
        <v>0.17799999999999999</v>
      </c>
      <c r="X33" s="119">
        <f t="shared" si="21"/>
        <v>83.730599999999995</v>
      </c>
      <c r="Y33" s="119">
        <f t="shared" si="21"/>
        <v>80.408199999999994</v>
      </c>
      <c r="Z33" s="119">
        <f t="shared" si="21"/>
        <v>3.1444000000000001</v>
      </c>
      <c r="AA33" s="120">
        <f t="shared" si="21"/>
        <v>0.17799999999999999</v>
      </c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</row>
    <row r="34" spans="1:44" s="18" customFormat="1" x14ac:dyDescent="0.3">
      <c r="A34" s="132" t="s">
        <v>59</v>
      </c>
      <c r="B34" s="122">
        <v>9</v>
      </c>
      <c r="C34" s="122">
        <v>9</v>
      </c>
      <c r="D34" s="123">
        <f t="shared" si="15"/>
        <v>82.66254078</v>
      </c>
      <c r="E34" s="123">
        <v>78.939299869999999</v>
      </c>
      <c r="F34" s="123">
        <v>3.5076839099999999</v>
      </c>
      <c r="G34" s="123">
        <v>0.215557</v>
      </c>
      <c r="H34" s="123">
        <f>I34+J34+K34</f>
        <v>78.423099999999991</v>
      </c>
      <c r="I34" s="123">
        <f>75947.2/1000</f>
        <v>75.947199999999995</v>
      </c>
      <c r="J34" s="125">
        <f>2297.9/1000</f>
        <v>2.2979000000000003</v>
      </c>
      <c r="K34" s="123">
        <f>178/1000</f>
        <v>0.17799999999999999</v>
      </c>
      <c r="L34" s="123">
        <f t="shared" si="8"/>
        <v>78.423099999999991</v>
      </c>
      <c r="M34" s="123">
        <v>75.947199999999995</v>
      </c>
      <c r="N34" s="123">
        <v>2.2978999999999998</v>
      </c>
      <c r="O34" s="123">
        <v>0.17799999999999999</v>
      </c>
      <c r="P34" s="123">
        <f>Q34+R34+S34</f>
        <v>83.730599999999995</v>
      </c>
      <c r="Q34" s="123">
        <f>80408.2/1000</f>
        <v>80.408199999999994</v>
      </c>
      <c r="R34" s="123">
        <f>3144.4/1000</f>
        <v>3.1444000000000001</v>
      </c>
      <c r="S34" s="123">
        <f>178/1000</f>
        <v>0.17799999999999999</v>
      </c>
      <c r="T34" s="123">
        <f>U34+V34+W34</f>
        <v>83.730599999999995</v>
      </c>
      <c r="U34" s="123">
        <v>80.408199999999994</v>
      </c>
      <c r="V34" s="123">
        <v>3.1444000000000001</v>
      </c>
      <c r="W34" s="123">
        <v>0.17799999999999999</v>
      </c>
      <c r="X34" s="123">
        <f>Y34+Z34+AA34</f>
        <v>83.730599999999995</v>
      </c>
      <c r="Y34" s="123">
        <v>80.408199999999994</v>
      </c>
      <c r="Z34" s="123">
        <v>3.1444000000000001</v>
      </c>
      <c r="AA34" s="124">
        <v>0.17799999999999999</v>
      </c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</row>
    <row r="35" spans="1:44" x14ac:dyDescent="0.3">
      <c r="A35" s="126" t="s">
        <v>71</v>
      </c>
      <c r="B35" s="118">
        <v>11</v>
      </c>
      <c r="C35" s="118"/>
      <c r="D35" s="119">
        <f>D36</f>
        <v>0</v>
      </c>
      <c r="E35" s="119">
        <f>E36</f>
        <v>0</v>
      </c>
      <c r="F35" s="119">
        <f>F36</f>
        <v>0</v>
      </c>
      <c r="G35" s="119">
        <f>G36</f>
        <v>0</v>
      </c>
      <c r="H35" s="119">
        <f>H36</f>
        <v>15.595800000000001</v>
      </c>
      <c r="I35" s="119">
        <f t="shared" ref="I35:AA35" si="22">I36</f>
        <v>14.9772</v>
      </c>
      <c r="J35" s="119">
        <f t="shared" si="22"/>
        <v>0.61720000000000008</v>
      </c>
      <c r="K35" s="119">
        <f t="shared" si="22"/>
        <v>1.4E-3</v>
      </c>
      <c r="L35" s="119">
        <f t="shared" si="22"/>
        <v>15.595800000000001</v>
      </c>
      <c r="M35" s="119">
        <f t="shared" si="22"/>
        <v>14.9772</v>
      </c>
      <c r="N35" s="119">
        <f t="shared" si="22"/>
        <v>0.61719999999999997</v>
      </c>
      <c r="O35" s="119">
        <f t="shared" si="22"/>
        <v>1.4E-3</v>
      </c>
      <c r="P35" s="119">
        <f t="shared" si="22"/>
        <v>15.804199999999998</v>
      </c>
      <c r="Q35" s="119">
        <f t="shared" si="22"/>
        <v>15.193299999999999</v>
      </c>
      <c r="R35" s="119">
        <f t="shared" si="22"/>
        <v>0.60850000000000004</v>
      </c>
      <c r="S35" s="119">
        <f t="shared" si="22"/>
        <v>2.3999999999999998E-3</v>
      </c>
      <c r="T35" s="119">
        <f t="shared" si="22"/>
        <v>15.8042</v>
      </c>
      <c r="U35" s="119">
        <f t="shared" si="22"/>
        <v>15.193300000000001</v>
      </c>
      <c r="V35" s="119">
        <f t="shared" si="22"/>
        <v>0.60850000000000004</v>
      </c>
      <c r="W35" s="119">
        <f t="shared" si="22"/>
        <v>2.3999999999999998E-3</v>
      </c>
      <c r="X35" s="119">
        <f t="shared" si="22"/>
        <v>15.8042</v>
      </c>
      <c r="Y35" s="119">
        <f t="shared" si="22"/>
        <v>15.193300000000001</v>
      </c>
      <c r="Z35" s="119">
        <f t="shared" si="22"/>
        <v>0.60850000000000004</v>
      </c>
      <c r="AA35" s="120">
        <f t="shared" si="22"/>
        <v>2.3999999999999998E-3</v>
      </c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</row>
    <row r="36" spans="1:44" s="112" customFormat="1" ht="14.4" customHeight="1" x14ac:dyDescent="0.3">
      <c r="A36" s="132" t="s">
        <v>372</v>
      </c>
      <c r="B36" s="129">
        <v>11</v>
      </c>
      <c r="C36" s="129">
        <v>5</v>
      </c>
      <c r="D36" s="130">
        <f>E36+F36+G36</f>
        <v>0</v>
      </c>
      <c r="E36" s="130">
        <v>0</v>
      </c>
      <c r="F36" s="130">
        <v>0</v>
      </c>
      <c r="G36" s="130">
        <v>0</v>
      </c>
      <c r="H36" s="130">
        <f>I36+J36+K36</f>
        <v>15.595800000000001</v>
      </c>
      <c r="I36" s="130">
        <f>14977.2/1000</f>
        <v>14.9772</v>
      </c>
      <c r="J36" s="133">
        <f>617.2/1000</f>
        <v>0.61720000000000008</v>
      </c>
      <c r="K36" s="130">
        <f>1.4/1000</f>
        <v>1.4E-3</v>
      </c>
      <c r="L36" s="123">
        <f t="shared" si="8"/>
        <v>15.595800000000001</v>
      </c>
      <c r="M36" s="130">
        <v>14.9772</v>
      </c>
      <c r="N36" s="130">
        <v>0.61719999999999997</v>
      </c>
      <c r="O36" s="130">
        <v>1.4E-3</v>
      </c>
      <c r="P36" s="123">
        <f>Q36+R36+S36</f>
        <v>15.804199999999998</v>
      </c>
      <c r="Q36" s="130">
        <f>15193.3/1000</f>
        <v>15.193299999999999</v>
      </c>
      <c r="R36" s="130">
        <f>608.5/1000</f>
        <v>0.60850000000000004</v>
      </c>
      <c r="S36" s="130">
        <f>2.4/1000</f>
        <v>2.3999999999999998E-3</v>
      </c>
      <c r="T36" s="123">
        <f>U36+V36+W36</f>
        <v>15.8042</v>
      </c>
      <c r="U36" s="130">
        <v>15.193300000000001</v>
      </c>
      <c r="V36" s="130">
        <v>0.60850000000000004</v>
      </c>
      <c r="W36" s="130">
        <v>2.3999999999999998E-3</v>
      </c>
      <c r="X36" s="123">
        <f>Y36+Z36+AA36</f>
        <v>15.8042</v>
      </c>
      <c r="Y36" s="130">
        <v>15.193300000000001</v>
      </c>
      <c r="Z36" s="130">
        <v>0.60850000000000004</v>
      </c>
      <c r="AA36" s="131">
        <v>2.3999999999999998E-3</v>
      </c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</row>
    <row r="37" spans="1:44" x14ac:dyDescent="0.3">
      <c r="A37" s="127" t="s">
        <v>60</v>
      </c>
      <c r="B37" s="118">
        <v>12</v>
      </c>
      <c r="C37" s="118"/>
      <c r="D37" s="119">
        <f t="shared" si="15"/>
        <v>20.800366469999997</v>
      </c>
      <c r="E37" s="119">
        <f>E38</f>
        <v>19.853892609999999</v>
      </c>
      <c r="F37" s="119">
        <f>F38</f>
        <v>0.94447386</v>
      </c>
      <c r="G37" s="119">
        <f>G38</f>
        <v>2E-3</v>
      </c>
      <c r="H37" s="119">
        <f>H38</f>
        <v>19.360499999999998</v>
      </c>
      <c r="I37" s="119">
        <f>I38</f>
        <v>18.601099999999999</v>
      </c>
      <c r="J37" s="119">
        <f t="shared" ref="J37:AA37" si="23">J38</f>
        <v>0.75739999999999996</v>
      </c>
      <c r="K37" s="119">
        <f t="shared" si="23"/>
        <v>2E-3</v>
      </c>
      <c r="L37" s="119">
        <f t="shared" si="23"/>
        <v>19.360499999999998</v>
      </c>
      <c r="M37" s="119">
        <f t="shared" si="23"/>
        <v>18.601099999999999</v>
      </c>
      <c r="N37" s="119">
        <f t="shared" si="23"/>
        <v>0.75739999999999996</v>
      </c>
      <c r="O37" s="119">
        <f t="shared" si="23"/>
        <v>2E-3</v>
      </c>
      <c r="P37" s="119">
        <f t="shared" si="23"/>
        <v>0</v>
      </c>
      <c r="Q37" s="119">
        <f t="shared" si="23"/>
        <v>0</v>
      </c>
      <c r="R37" s="119">
        <f t="shared" si="23"/>
        <v>0</v>
      </c>
      <c r="S37" s="119">
        <f t="shared" si="23"/>
        <v>0</v>
      </c>
      <c r="T37" s="119">
        <f t="shared" si="23"/>
        <v>0</v>
      </c>
      <c r="U37" s="119">
        <f t="shared" si="23"/>
        <v>0</v>
      </c>
      <c r="V37" s="119">
        <f t="shared" si="23"/>
        <v>0</v>
      </c>
      <c r="W37" s="119">
        <f t="shared" si="23"/>
        <v>0</v>
      </c>
      <c r="X37" s="119">
        <f t="shared" si="23"/>
        <v>0</v>
      </c>
      <c r="Y37" s="119">
        <f t="shared" si="23"/>
        <v>0</v>
      </c>
      <c r="Z37" s="119">
        <f t="shared" si="23"/>
        <v>0</v>
      </c>
      <c r="AA37" s="120">
        <f t="shared" si="23"/>
        <v>0</v>
      </c>
    </row>
    <row r="38" spans="1:44" ht="27.6" x14ac:dyDescent="0.3">
      <c r="A38" s="116" t="s">
        <v>61</v>
      </c>
      <c r="B38" s="122">
        <v>12</v>
      </c>
      <c r="C38" s="122">
        <v>4</v>
      </c>
      <c r="D38" s="123">
        <f t="shared" si="15"/>
        <v>20.800366469999997</v>
      </c>
      <c r="E38" s="123">
        <v>19.853892609999999</v>
      </c>
      <c r="F38" s="123">
        <v>0.94447386</v>
      </c>
      <c r="G38" s="123">
        <v>2E-3</v>
      </c>
      <c r="H38" s="123">
        <f>I38+J38+K38</f>
        <v>19.360499999999998</v>
      </c>
      <c r="I38" s="123">
        <f>18601.1/1000</f>
        <v>18.601099999999999</v>
      </c>
      <c r="J38" s="123">
        <f>757.4/1000</f>
        <v>0.75739999999999996</v>
      </c>
      <c r="K38" s="123">
        <f>2/1000</f>
        <v>2E-3</v>
      </c>
      <c r="L38" s="123">
        <f t="shared" si="8"/>
        <v>19.360499999999998</v>
      </c>
      <c r="M38" s="123">
        <v>18.601099999999999</v>
      </c>
      <c r="N38" s="123">
        <v>0.75739999999999996</v>
      </c>
      <c r="O38" s="123">
        <v>2E-3</v>
      </c>
      <c r="P38" s="123">
        <f>Q38+R38+S38</f>
        <v>0</v>
      </c>
      <c r="Q38" s="123">
        <v>0</v>
      </c>
      <c r="R38" s="123">
        <v>0</v>
      </c>
      <c r="S38" s="123">
        <v>0</v>
      </c>
      <c r="T38" s="123">
        <f>U38+V38+W38</f>
        <v>0</v>
      </c>
      <c r="U38" s="123"/>
      <c r="V38" s="123"/>
      <c r="W38" s="123"/>
      <c r="X38" s="123">
        <f>Y38+Z38+AA38</f>
        <v>0</v>
      </c>
      <c r="Y38" s="123"/>
      <c r="Z38" s="123"/>
      <c r="AA38" s="124"/>
    </row>
    <row r="39" spans="1:44" ht="14.4" thickBot="1" x14ac:dyDescent="0.35">
      <c r="A39" s="134" t="s">
        <v>62</v>
      </c>
      <c r="B39" s="135"/>
      <c r="C39" s="135"/>
      <c r="D39" s="136">
        <f>D9+D17+D19+D26+D28+D31+D33+D37</f>
        <v>1708.7455514000001</v>
      </c>
      <c r="E39" s="136">
        <f>E9+E17+E19+E26+E28+E31+E33+E37</f>
        <v>1525.48741202</v>
      </c>
      <c r="F39" s="136">
        <f>F9+F17+F19+F26+F28+F31+F33+F37</f>
        <v>177.19555403999999</v>
      </c>
      <c r="G39" s="136">
        <f>G9+G17+G19+G26+G28+G31+G33+G37</f>
        <v>6.0625853399999992</v>
      </c>
      <c r="H39" s="136">
        <f>H9+H17+H19+H26+H28+H31+H33+H37+H35</f>
        <v>1642.9387000000002</v>
      </c>
      <c r="I39" s="136">
        <f t="shared" ref="I39:S39" si="24">I9+I17+I19+I26+I28+I31+I33+I37+I35</f>
        <v>1503.6379000000002</v>
      </c>
      <c r="J39" s="136">
        <f t="shared" si="24"/>
        <v>137.01769999999996</v>
      </c>
      <c r="K39" s="136">
        <f t="shared" si="24"/>
        <v>2.2830999999999992</v>
      </c>
      <c r="L39" s="136">
        <f t="shared" si="24"/>
        <v>1641.0217</v>
      </c>
      <c r="M39" s="136">
        <f t="shared" si="24"/>
        <v>1501.7079000000003</v>
      </c>
      <c r="N39" s="136">
        <f t="shared" si="24"/>
        <v>137.01769999999996</v>
      </c>
      <c r="O39" s="136">
        <f t="shared" si="24"/>
        <v>2.2960999999999991</v>
      </c>
      <c r="P39" s="136">
        <f>P9+P17+P19+P26+P28+P31+P33+P37+P35</f>
        <v>1805.6247000000001</v>
      </c>
      <c r="Q39" s="137">
        <f t="shared" si="24"/>
        <v>1631.0505000000001</v>
      </c>
      <c r="R39" s="137">
        <f t="shared" si="24"/>
        <v>172.21519999999995</v>
      </c>
      <c r="S39" s="137">
        <f t="shared" si="24"/>
        <v>2.3590000000000004</v>
      </c>
      <c r="T39" s="136">
        <f>T9+T17+T19+T26+T28+T31+T33+T37+T35</f>
        <v>1765.3016000000002</v>
      </c>
      <c r="U39" s="136">
        <f t="shared" ref="U39:W39" si="25">U9+U17+U19+U26+U28+U31+U33+U37+U35</f>
        <v>1606.0564999999999</v>
      </c>
      <c r="V39" s="136">
        <f t="shared" si="25"/>
        <v>156.90239999999997</v>
      </c>
      <c r="W39" s="136">
        <f t="shared" si="25"/>
        <v>2.3427000000000002</v>
      </c>
      <c r="X39" s="136">
        <f>X9+X17+X19+X26+X28+X31+X33+X37+X35</f>
        <v>1756.1685000000002</v>
      </c>
      <c r="Y39" s="136">
        <f t="shared" ref="Y39:AA39" si="26">Y9+Y17+Y19+Y26+Y28+Y31+Y33+Y37+Y35</f>
        <v>1606.1057000000001</v>
      </c>
      <c r="Z39" s="136">
        <f t="shared" si="26"/>
        <v>147.72409999999999</v>
      </c>
      <c r="AA39" s="138">
        <f t="shared" si="26"/>
        <v>2.3387000000000002</v>
      </c>
    </row>
    <row r="40" spans="1:44" ht="14.4" thickTop="1" x14ac:dyDescent="0.3"/>
  </sheetData>
  <mergeCells count="22">
    <mergeCell ref="Y6:AA6"/>
    <mergeCell ref="A3:AA3"/>
    <mergeCell ref="I6:K6"/>
    <mergeCell ref="T5:W5"/>
    <mergeCell ref="X6:X7"/>
    <mergeCell ref="H6:H7"/>
    <mergeCell ref="X5:AA5"/>
    <mergeCell ref="L6:L7"/>
    <mergeCell ref="M6:O6"/>
    <mergeCell ref="P6:P7"/>
    <mergeCell ref="Q6:S6"/>
    <mergeCell ref="T6:T7"/>
    <mergeCell ref="U6:W6"/>
    <mergeCell ref="L5:O5"/>
    <mergeCell ref="P5:S5"/>
    <mergeCell ref="A5:A7"/>
    <mergeCell ref="B5:B7"/>
    <mergeCell ref="C5:C7"/>
    <mergeCell ref="D5:G5"/>
    <mergeCell ref="H5:K5"/>
    <mergeCell ref="D6:D7"/>
    <mergeCell ref="E6:G6"/>
  </mergeCells>
  <pageMargins left="0.39370078740157483" right="0.39370078740157483" top="0.74803149606299213" bottom="0.74803149606299213" header="0.31496062992125984" footer="0.31496062992125984"/>
  <pageSetup paperSize="9" scale="59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132"/>
  <sheetViews>
    <sheetView tabSelected="1" topLeftCell="M1" zoomScale="115" zoomScaleNormal="115" workbookViewId="0">
      <selection activeCell="L4" sqref="L4:S4"/>
    </sheetView>
  </sheetViews>
  <sheetFormatPr defaultColWidth="8.88671875" defaultRowHeight="13.2" x14ac:dyDescent="0.25"/>
  <cols>
    <col min="1" max="1" width="44.6640625" style="173" customWidth="1"/>
    <col min="2" max="2" width="15.5546875" style="173" hidden="1" customWidth="1"/>
    <col min="3" max="3" width="13.33203125" style="174" hidden="1" customWidth="1"/>
    <col min="4" max="4" width="14.44140625" style="174" hidden="1" customWidth="1"/>
    <col min="5" max="5" width="15.5546875" style="174" hidden="1" customWidth="1"/>
    <col min="6" max="7" width="15.88671875" style="174" customWidth="1"/>
    <col min="8" max="9" width="13.33203125" style="175" hidden="1" customWidth="1"/>
    <col min="10" max="10" width="11.33203125" style="174" customWidth="1"/>
    <col min="11" max="11" width="11" style="174" customWidth="1"/>
    <col min="12" max="12" width="13.88671875" style="174" customWidth="1"/>
    <col min="13" max="13" width="12.6640625" style="174" customWidth="1"/>
    <col min="14" max="15" width="12.6640625" style="175" hidden="1" customWidth="1"/>
    <col min="16" max="16" width="10" style="174" customWidth="1"/>
    <col min="17" max="17" width="11.109375" style="174" customWidth="1"/>
    <col min="18" max="18" width="15.5546875" style="174" customWidth="1"/>
    <col min="19" max="19" width="15.6640625" style="173" customWidth="1"/>
    <col min="20" max="20" width="15.6640625" style="176" hidden="1" customWidth="1"/>
    <col min="21" max="21" width="14" style="176" hidden="1" customWidth="1"/>
    <col min="22" max="22" width="11" style="173" customWidth="1"/>
    <col min="23" max="23" width="10.6640625" style="173" customWidth="1"/>
    <col min="24" max="24" width="12.5546875" style="173" hidden="1" customWidth="1"/>
    <col min="25" max="25" width="12.6640625" style="173" hidden="1" customWidth="1"/>
    <col min="26" max="16384" width="8.88671875" style="173"/>
  </cols>
  <sheetData>
    <row r="1" spans="1:33" x14ac:dyDescent="0.25">
      <c r="W1" s="177" t="s">
        <v>332</v>
      </c>
    </row>
    <row r="3" spans="1:33" ht="15.6" customHeight="1" x14ac:dyDescent="0.25">
      <c r="A3" s="291" t="s">
        <v>375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178"/>
      <c r="Y3" s="178"/>
      <c r="Z3" s="178"/>
      <c r="AA3" s="178"/>
      <c r="AB3" s="178"/>
      <c r="AC3" s="178"/>
      <c r="AD3" s="178"/>
      <c r="AE3" s="178"/>
      <c r="AF3" s="178"/>
      <c r="AG3" s="178"/>
    </row>
    <row r="4" spans="1:33" ht="13.8" thickBot="1" x14ac:dyDescent="0.3">
      <c r="V4" s="292" t="s">
        <v>12</v>
      </c>
      <c r="W4" s="292"/>
      <c r="X4" s="282" t="s">
        <v>82</v>
      </c>
      <c r="Y4" s="282"/>
    </row>
    <row r="5" spans="1:33" ht="84" customHeight="1" thickTop="1" x14ac:dyDescent="0.25">
      <c r="A5" s="293" t="s">
        <v>0</v>
      </c>
      <c r="B5" s="295" t="s">
        <v>83</v>
      </c>
      <c r="C5" s="297" t="s">
        <v>84</v>
      </c>
      <c r="D5" s="297" t="s">
        <v>65</v>
      </c>
      <c r="E5" s="297" t="s">
        <v>66</v>
      </c>
      <c r="F5" s="286" t="s">
        <v>397</v>
      </c>
      <c r="G5" s="286" t="s">
        <v>415</v>
      </c>
      <c r="H5" s="283" t="s">
        <v>85</v>
      </c>
      <c r="I5" s="283" t="s">
        <v>398</v>
      </c>
      <c r="J5" s="285" t="s">
        <v>86</v>
      </c>
      <c r="K5" s="285"/>
      <c r="L5" s="286" t="s">
        <v>399</v>
      </c>
      <c r="M5" s="286" t="s">
        <v>400</v>
      </c>
      <c r="N5" s="283" t="s">
        <v>87</v>
      </c>
      <c r="O5" s="283" t="s">
        <v>401</v>
      </c>
      <c r="P5" s="285" t="s">
        <v>88</v>
      </c>
      <c r="Q5" s="285"/>
      <c r="R5" s="286" t="s">
        <v>402</v>
      </c>
      <c r="S5" s="286" t="s">
        <v>403</v>
      </c>
      <c r="T5" s="283" t="s">
        <v>376</v>
      </c>
      <c r="U5" s="283" t="s">
        <v>404</v>
      </c>
      <c r="V5" s="285" t="s">
        <v>377</v>
      </c>
      <c r="W5" s="288"/>
      <c r="X5" s="289" t="s">
        <v>89</v>
      </c>
      <c r="Y5" s="290" t="s">
        <v>90</v>
      </c>
    </row>
    <row r="6" spans="1:33" ht="25.5" customHeight="1" x14ac:dyDescent="0.25">
      <c r="A6" s="294"/>
      <c r="B6" s="296"/>
      <c r="C6" s="298"/>
      <c r="D6" s="298"/>
      <c r="E6" s="298"/>
      <c r="F6" s="287"/>
      <c r="G6" s="287"/>
      <c r="H6" s="284"/>
      <c r="I6" s="284"/>
      <c r="J6" s="217" t="s">
        <v>91</v>
      </c>
      <c r="K6" s="217" t="s">
        <v>13</v>
      </c>
      <c r="L6" s="287"/>
      <c r="M6" s="287"/>
      <c r="N6" s="284"/>
      <c r="O6" s="284"/>
      <c r="P6" s="217" t="s">
        <v>91</v>
      </c>
      <c r="Q6" s="217" t="s">
        <v>13</v>
      </c>
      <c r="R6" s="287"/>
      <c r="S6" s="287"/>
      <c r="T6" s="284"/>
      <c r="U6" s="284"/>
      <c r="V6" s="217" t="s">
        <v>91</v>
      </c>
      <c r="W6" s="218" t="s">
        <v>13</v>
      </c>
      <c r="X6" s="289"/>
      <c r="Y6" s="290"/>
    </row>
    <row r="7" spans="1:33" ht="10.199999999999999" customHeight="1" x14ac:dyDescent="0.25">
      <c r="A7" s="219" t="s">
        <v>20</v>
      </c>
      <c r="B7" s="220"/>
      <c r="C7" s="221"/>
      <c r="D7" s="221"/>
      <c r="E7" s="221"/>
      <c r="F7" s="221">
        <v>1</v>
      </c>
      <c r="G7" s="221">
        <v>2</v>
      </c>
      <c r="H7" s="222" t="s">
        <v>405</v>
      </c>
      <c r="I7" s="222" t="s">
        <v>406</v>
      </c>
      <c r="J7" s="223" t="s">
        <v>92</v>
      </c>
      <c r="K7" s="223" t="s">
        <v>93</v>
      </c>
      <c r="L7" s="221">
        <v>5</v>
      </c>
      <c r="M7" s="223">
        <v>6</v>
      </c>
      <c r="N7" s="222" t="s">
        <v>407</v>
      </c>
      <c r="O7" s="222" t="s">
        <v>408</v>
      </c>
      <c r="P7" s="223" t="s">
        <v>94</v>
      </c>
      <c r="Q7" s="223" t="s">
        <v>95</v>
      </c>
      <c r="R7" s="221">
        <v>9</v>
      </c>
      <c r="S7" s="223">
        <v>10</v>
      </c>
      <c r="T7" s="222" t="s">
        <v>409</v>
      </c>
      <c r="U7" s="222" t="s">
        <v>410</v>
      </c>
      <c r="V7" s="223" t="s">
        <v>96</v>
      </c>
      <c r="W7" s="224" t="s">
        <v>97</v>
      </c>
      <c r="X7" s="210"/>
      <c r="Y7" s="179"/>
    </row>
    <row r="8" spans="1:33" ht="39.6" x14ac:dyDescent="0.25">
      <c r="A8" s="225" t="s">
        <v>98</v>
      </c>
      <c r="B8" s="226" t="s">
        <v>99</v>
      </c>
      <c r="C8" s="227">
        <f t="shared" ref="C8:I8" si="0">SUM(C9:C17)</f>
        <v>12134.02</v>
      </c>
      <c r="D8" s="227">
        <f t="shared" si="0"/>
        <v>13131.6908</v>
      </c>
      <c r="E8" s="227">
        <f t="shared" si="0"/>
        <v>12143.8959</v>
      </c>
      <c r="F8" s="228">
        <f t="shared" si="0"/>
        <v>13818.5967</v>
      </c>
      <c r="G8" s="228">
        <f t="shared" si="0"/>
        <v>13818.5967</v>
      </c>
      <c r="H8" s="229">
        <f t="shared" si="0"/>
        <v>13601.5026</v>
      </c>
      <c r="I8" s="229">
        <f t="shared" si="0"/>
        <v>217.0941</v>
      </c>
      <c r="J8" s="230">
        <f>F8-G8</f>
        <v>0</v>
      </c>
      <c r="K8" s="230">
        <f>F8/G8*100-100</f>
        <v>0</v>
      </c>
      <c r="L8" s="228">
        <f>SUM(L9:L17)</f>
        <v>13898.559399999998</v>
      </c>
      <c r="M8" s="228">
        <f>SUM(M9:M17)</f>
        <v>12108.634099999999</v>
      </c>
      <c r="N8" s="229">
        <f>SUM(N9:N17)</f>
        <v>11975.6397</v>
      </c>
      <c r="O8" s="229">
        <f>SUM(O9:O17)</f>
        <v>132.99440000000001</v>
      </c>
      <c r="P8" s="230">
        <f t="shared" ref="P8:P56" si="1">L8-M8</f>
        <v>1789.925299999999</v>
      </c>
      <c r="Q8" s="230">
        <f t="shared" ref="Q8:Q15" si="2">L8/M8*100-100</f>
        <v>14.7822230419862</v>
      </c>
      <c r="R8" s="228">
        <f>SUM(R9:R17)</f>
        <v>14572.04</v>
      </c>
      <c r="S8" s="228">
        <f>SUM(S9:S17)</f>
        <v>17294.063300000002</v>
      </c>
      <c r="T8" s="229">
        <f>SUM(T9:T17)</f>
        <v>17288.996900000002</v>
      </c>
      <c r="U8" s="229">
        <f>SUM(U9:U17)</f>
        <v>5.0664000000000007</v>
      </c>
      <c r="V8" s="231">
        <f>R8-S8</f>
        <v>-2722.0233000000007</v>
      </c>
      <c r="W8" s="232">
        <f>R8/S8*100-100</f>
        <v>-15.739639972290377</v>
      </c>
      <c r="X8" s="211">
        <f>M8+135.8766</f>
        <v>12244.510699999999</v>
      </c>
      <c r="Y8" s="180">
        <f>S8+132.9944</f>
        <v>17427.057700000001</v>
      </c>
    </row>
    <row r="9" spans="1:33" ht="39.6" x14ac:dyDescent="0.25">
      <c r="A9" s="233" t="s">
        <v>100</v>
      </c>
      <c r="B9" s="181" t="s">
        <v>101</v>
      </c>
      <c r="C9" s="182">
        <v>78.189400000000006</v>
      </c>
      <c r="D9" s="182">
        <v>76.744</v>
      </c>
      <c r="E9" s="182">
        <v>149.7723</v>
      </c>
      <c r="F9" s="183">
        <f>76931.2/1000</f>
        <v>76.931200000000004</v>
      </c>
      <c r="G9" s="183">
        <f>H9+I9</f>
        <v>76.931200000000004</v>
      </c>
      <c r="H9" s="184">
        <f>74097.8/1000</f>
        <v>74.097800000000007</v>
      </c>
      <c r="I9" s="184">
        <f>2833.4/1000</f>
        <v>2.8334000000000001</v>
      </c>
      <c r="J9" s="185">
        <f>F9-G9</f>
        <v>0</v>
      </c>
      <c r="K9" s="185">
        <f>F9/G9*100-100</f>
        <v>0</v>
      </c>
      <c r="L9" s="186">
        <f>78553/1000</f>
        <v>78.552999999999997</v>
      </c>
      <c r="M9" s="186">
        <f>N9+O9</f>
        <v>83.662699999999987</v>
      </c>
      <c r="N9" s="184">
        <f>71222.4/1000</f>
        <v>71.222399999999993</v>
      </c>
      <c r="O9" s="184">
        <f>12440.3/1000</f>
        <v>12.440299999999999</v>
      </c>
      <c r="P9" s="185">
        <f t="shared" si="1"/>
        <v>-5.1096999999999895</v>
      </c>
      <c r="Q9" s="185">
        <f t="shared" si="2"/>
        <v>-6.1075007141772772</v>
      </c>
      <c r="R9" s="186">
        <f>95824.2/1000</f>
        <v>95.82419999999999</v>
      </c>
      <c r="S9" s="186">
        <f>T9+U9</f>
        <v>91.158899999999988</v>
      </c>
      <c r="T9" s="184">
        <f>91158.9/1000</f>
        <v>91.158899999999988</v>
      </c>
      <c r="U9" s="184"/>
      <c r="V9" s="187">
        <f t="shared" ref="V9:V77" si="3">R9-S9</f>
        <v>4.665300000000002</v>
      </c>
      <c r="W9" s="234">
        <f t="shared" ref="W9:W77" si="4">R9/S9*100-100</f>
        <v>5.1177668883674414</v>
      </c>
      <c r="X9" s="210"/>
      <c r="Y9" s="179"/>
    </row>
    <row r="10" spans="1:33" ht="66" x14ac:dyDescent="0.25">
      <c r="A10" s="233" t="s">
        <v>102</v>
      </c>
      <c r="B10" s="181" t="s">
        <v>103</v>
      </c>
      <c r="C10" s="182">
        <v>2926.8344999999999</v>
      </c>
      <c r="D10" s="182">
        <v>2484.1666</v>
      </c>
      <c r="E10" s="182">
        <v>2296.3462</v>
      </c>
      <c r="F10" s="183">
        <f>2687035.8/1000</f>
        <v>2687.0357999999997</v>
      </c>
      <c r="G10" s="183">
        <f t="shared" ref="G10:G73" si="5">H10+I10</f>
        <v>2687.0357999999997</v>
      </c>
      <c r="H10" s="184">
        <f>2592431.8/1000</f>
        <v>2592.4317999999998</v>
      </c>
      <c r="I10" s="184">
        <f>94604/1000</f>
        <v>94.603999999999999</v>
      </c>
      <c r="J10" s="185">
        <f t="shared" ref="J10:J73" si="6">F10-G10</f>
        <v>0</v>
      </c>
      <c r="K10" s="185">
        <f t="shared" ref="K10:K73" si="7">F10/G10*100-100</f>
        <v>0</v>
      </c>
      <c r="L10" s="186">
        <f>2733680.8/1000</f>
        <v>2733.6807999999996</v>
      </c>
      <c r="M10" s="186">
        <f t="shared" ref="M10:M17" si="8">N10+O10</f>
        <v>2321.6787000000004</v>
      </c>
      <c r="N10" s="184">
        <f>2321678.7/1000</f>
        <v>2321.6787000000004</v>
      </c>
      <c r="O10" s="184"/>
      <c r="P10" s="185">
        <f t="shared" si="1"/>
        <v>412.00209999999925</v>
      </c>
      <c r="Q10" s="185">
        <f t="shared" si="2"/>
        <v>17.745870692615611</v>
      </c>
      <c r="R10" s="186">
        <f>2957910.3/1000</f>
        <v>2957.9103</v>
      </c>
      <c r="S10" s="186">
        <f t="shared" ref="S10:S17" si="9">T10+U10</f>
        <v>4407.1355000000003</v>
      </c>
      <c r="T10" s="184">
        <f>4407096.4/1000</f>
        <v>4407.0964000000004</v>
      </c>
      <c r="U10" s="184">
        <f>39.1/1000</f>
        <v>3.9100000000000003E-2</v>
      </c>
      <c r="V10" s="187">
        <f t="shared" si="3"/>
        <v>-1449.2252000000003</v>
      </c>
      <c r="W10" s="234">
        <f t="shared" si="4"/>
        <v>-32.883608865667966</v>
      </c>
      <c r="X10" s="210"/>
      <c r="Y10" s="179"/>
    </row>
    <row r="11" spans="1:33" ht="26.4" x14ac:dyDescent="0.25">
      <c r="A11" s="233" t="s">
        <v>104</v>
      </c>
      <c r="B11" s="181" t="s">
        <v>105</v>
      </c>
      <c r="C11" s="182">
        <v>403.3442</v>
      </c>
      <c r="D11" s="182">
        <v>353.97989999999999</v>
      </c>
      <c r="E11" s="182">
        <v>307.21449999999999</v>
      </c>
      <c r="F11" s="183">
        <f>344753.8/1000</f>
        <v>344.75380000000001</v>
      </c>
      <c r="G11" s="183">
        <f t="shared" si="5"/>
        <v>344.75380000000001</v>
      </c>
      <c r="H11" s="184">
        <f>344753.8/1000</f>
        <v>344.75380000000001</v>
      </c>
      <c r="I11" s="184"/>
      <c r="J11" s="185">
        <f t="shared" si="6"/>
        <v>0</v>
      </c>
      <c r="K11" s="185">
        <f t="shared" si="7"/>
        <v>0</v>
      </c>
      <c r="L11" s="186">
        <f>347577/1000</f>
        <v>347.577</v>
      </c>
      <c r="M11" s="186">
        <f t="shared" si="8"/>
        <v>281.56190000000004</v>
      </c>
      <c r="N11" s="184">
        <f>281561.9/1000</f>
        <v>281.56190000000004</v>
      </c>
      <c r="O11" s="184"/>
      <c r="P11" s="185">
        <f t="shared" si="1"/>
        <v>66.015099999999961</v>
      </c>
      <c r="Q11" s="185">
        <f t="shared" si="2"/>
        <v>23.446034424401873</v>
      </c>
      <c r="R11" s="186">
        <f>357802.8/1000</f>
        <v>357.80279999999999</v>
      </c>
      <c r="S11" s="186">
        <f t="shared" si="9"/>
        <v>587.4593000000001</v>
      </c>
      <c r="T11" s="184">
        <f>587459.3/1000</f>
        <v>587.4593000000001</v>
      </c>
      <c r="U11" s="184"/>
      <c r="V11" s="187">
        <f t="shared" si="3"/>
        <v>-229.65650000000011</v>
      </c>
      <c r="W11" s="234">
        <f t="shared" si="4"/>
        <v>-39.093176327279203</v>
      </c>
      <c r="X11" s="210"/>
      <c r="Y11" s="179"/>
    </row>
    <row r="12" spans="1:33" ht="39.6" x14ac:dyDescent="0.25">
      <c r="A12" s="233" t="s">
        <v>106</v>
      </c>
      <c r="B12" s="181" t="s">
        <v>107</v>
      </c>
      <c r="C12" s="182">
        <v>165.13</v>
      </c>
      <c r="D12" s="182">
        <v>167.17869999999999</v>
      </c>
      <c r="E12" s="182">
        <v>148.22890000000001</v>
      </c>
      <c r="F12" s="183">
        <f>137644.3/1000</f>
        <v>137.64429999999999</v>
      </c>
      <c r="G12" s="183">
        <f t="shared" si="5"/>
        <v>137.64429999999999</v>
      </c>
      <c r="H12" s="184">
        <f>137644.3/1000</f>
        <v>137.64429999999999</v>
      </c>
      <c r="I12" s="184"/>
      <c r="J12" s="185">
        <f t="shared" si="6"/>
        <v>0</v>
      </c>
      <c r="K12" s="185">
        <f t="shared" si="7"/>
        <v>0</v>
      </c>
      <c r="L12" s="186">
        <f>133153.6/1000</f>
        <v>133.15360000000001</v>
      </c>
      <c r="M12" s="186">
        <f t="shared" si="8"/>
        <v>143.37870000000001</v>
      </c>
      <c r="N12" s="184">
        <f>143378.7/1000</f>
        <v>143.37870000000001</v>
      </c>
      <c r="O12" s="184"/>
      <c r="P12" s="185">
        <f t="shared" si="1"/>
        <v>-10.225099999999998</v>
      </c>
      <c r="Q12" s="185">
        <f t="shared" si="2"/>
        <v>-7.1315334844017997</v>
      </c>
      <c r="R12" s="186">
        <f>136951/1000</f>
        <v>136.95099999999999</v>
      </c>
      <c r="S12" s="186">
        <f t="shared" si="9"/>
        <v>248.81379999999999</v>
      </c>
      <c r="T12" s="184">
        <f>248813.8/1000</f>
        <v>248.81379999999999</v>
      </c>
      <c r="U12" s="184"/>
      <c r="V12" s="187">
        <f t="shared" si="3"/>
        <v>-111.86279999999999</v>
      </c>
      <c r="W12" s="234">
        <f t="shared" si="4"/>
        <v>-44.958438800420232</v>
      </c>
      <c r="X12" s="210"/>
      <c r="Y12" s="179"/>
    </row>
    <row r="13" spans="1:33" ht="26.4" x14ac:dyDescent="0.25">
      <c r="A13" s="233" t="s">
        <v>108</v>
      </c>
      <c r="B13" s="181" t="s">
        <v>109</v>
      </c>
      <c r="C13" s="182">
        <v>173.36799999999999</v>
      </c>
      <c r="D13" s="182">
        <v>284.59719999999999</v>
      </c>
      <c r="E13" s="182">
        <v>290.03460000000001</v>
      </c>
      <c r="F13" s="183">
        <f>313164.3/1000</f>
        <v>313.16429999999997</v>
      </c>
      <c r="G13" s="183">
        <f t="shared" si="5"/>
        <v>313.16429999999997</v>
      </c>
      <c r="H13" s="184">
        <f>313164.3/1000</f>
        <v>313.16429999999997</v>
      </c>
      <c r="I13" s="184"/>
      <c r="J13" s="185">
        <f t="shared" si="6"/>
        <v>0</v>
      </c>
      <c r="K13" s="185">
        <f t="shared" si="7"/>
        <v>0</v>
      </c>
      <c r="L13" s="186">
        <f>318262.2/1000</f>
        <v>318.26220000000001</v>
      </c>
      <c r="M13" s="186">
        <f t="shared" si="8"/>
        <v>288.774</v>
      </c>
      <c r="N13" s="184">
        <f>288774/1000</f>
        <v>288.774</v>
      </c>
      <c r="O13" s="184"/>
      <c r="P13" s="185">
        <f t="shared" si="1"/>
        <v>29.488200000000006</v>
      </c>
      <c r="Q13" s="185">
        <f t="shared" si="2"/>
        <v>10.21151488707433</v>
      </c>
      <c r="R13" s="186">
        <f>370196.6/1000</f>
        <v>370.19659999999999</v>
      </c>
      <c r="S13" s="186">
        <f t="shared" si="9"/>
        <v>355.69059999999996</v>
      </c>
      <c r="T13" s="184">
        <f>355690.6/1000</f>
        <v>355.69059999999996</v>
      </c>
      <c r="U13" s="184"/>
      <c r="V13" s="187">
        <f t="shared" si="3"/>
        <v>14.506000000000029</v>
      </c>
      <c r="W13" s="234">
        <f t="shared" si="4"/>
        <v>4.0782635245350889</v>
      </c>
      <c r="X13" s="210"/>
      <c r="Y13" s="179"/>
    </row>
    <row r="14" spans="1:33" ht="26.4" x14ac:dyDescent="0.25">
      <c r="A14" s="233" t="s">
        <v>110</v>
      </c>
      <c r="B14" s="181" t="s">
        <v>111</v>
      </c>
      <c r="C14" s="182">
        <v>162.09030000000001</v>
      </c>
      <c r="D14" s="182">
        <v>158.54329999999999</v>
      </c>
      <c r="E14" s="182">
        <v>157.42750000000001</v>
      </c>
      <c r="F14" s="183">
        <f>179801.5/1000</f>
        <v>179.8015</v>
      </c>
      <c r="G14" s="183">
        <f t="shared" si="5"/>
        <v>179.8015</v>
      </c>
      <c r="H14" s="184">
        <f>179801.5/1000</f>
        <v>179.8015</v>
      </c>
      <c r="I14" s="184"/>
      <c r="J14" s="185">
        <f t="shared" si="6"/>
        <v>0</v>
      </c>
      <c r="K14" s="185">
        <f t="shared" si="7"/>
        <v>0</v>
      </c>
      <c r="L14" s="186">
        <f>195998.3/1000</f>
        <v>195.9983</v>
      </c>
      <c r="M14" s="186">
        <f t="shared" si="8"/>
        <v>143.97550000000001</v>
      </c>
      <c r="N14" s="184">
        <f>143975.5/1000</f>
        <v>143.97550000000001</v>
      </c>
      <c r="O14" s="184"/>
      <c r="P14" s="185">
        <f t="shared" si="1"/>
        <v>52.022799999999989</v>
      </c>
      <c r="Q14" s="185">
        <f t="shared" si="2"/>
        <v>36.133092088584505</v>
      </c>
      <c r="R14" s="186">
        <f>201529.5/1000</f>
        <v>201.52950000000001</v>
      </c>
      <c r="S14" s="186">
        <f t="shared" si="9"/>
        <v>159.19149999999999</v>
      </c>
      <c r="T14" s="184">
        <f>159191.5/1000</f>
        <v>159.19149999999999</v>
      </c>
      <c r="U14" s="184"/>
      <c r="V14" s="187">
        <f t="shared" si="3"/>
        <v>42.338000000000022</v>
      </c>
      <c r="W14" s="234">
        <f t="shared" si="4"/>
        <v>26.595641098928041</v>
      </c>
      <c r="X14" s="210"/>
      <c r="Y14" s="179"/>
    </row>
    <row r="15" spans="1:33" ht="39.6" x14ac:dyDescent="0.25">
      <c r="A15" s="233" t="s">
        <v>112</v>
      </c>
      <c r="B15" s="181" t="s">
        <v>113</v>
      </c>
      <c r="C15" s="182">
        <v>1134.2507000000001</v>
      </c>
      <c r="D15" s="182">
        <v>1177.6686</v>
      </c>
      <c r="E15" s="182">
        <v>715.76390000000004</v>
      </c>
      <c r="F15" s="183">
        <f>999357.4/1000</f>
        <v>999.35739999999998</v>
      </c>
      <c r="G15" s="183">
        <f t="shared" si="5"/>
        <v>999.35739999999998</v>
      </c>
      <c r="H15" s="184">
        <f>881297.7/1000</f>
        <v>881.29769999999996</v>
      </c>
      <c r="I15" s="184">
        <f>118059.7/1000</f>
        <v>118.05969999999999</v>
      </c>
      <c r="J15" s="185">
        <f t="shared" si="6"/>
        <v>0</v>
      </c>
      <c r="K15" s="185">
        <f t="shared" si="7"/>
        <v>0</v>
      </c>
      <c r="L15" s="186">
        <f>1001030.8/1000</f>
        <v>1001.0308</v>
      </c>
      <c r="M15" s="186">
        <f t="shared" si="8"/>
        <v>674.16339999999991</v>
      </c>
      <c r="N15" s="184">
        <f>556900.6/1000</f>
        <v>556.90059999999994</v>
      </c>
      <c r="O15" s="184">
        <f>117262.8/1000</f>
        <v>117.2628</v>
      </c>
      <c r="P15" s="185">
        <f t="shared" si="1"/>
        <v>326.86740000000009</v>
      </c>
      <c r="Q15" s="185">
        <f t="shared" si="2"/>
        <v>48.484892534955208</v>
      </c>
      <c r="R15" s="186">
        <f>1000966.7/1000</f>
        <v>1000.9666999999999</v>
      </c>
      <c r="S15" s="186">
        <f t="shared" si="9"/>
        <v>523.67999999999995</v>
      </c>
      <c r="T15" s="184">
        <f>523680/1000</f>
        <v>523.67999999999995</v>
      </c>
      <c r="U15" s="184"/>
      <c r="V15" s="187">
        <f t="shared" si="3"/>
        <v>477.2867</v>
      </c>
      <c r="W15" s="234">
        <f t="shared" si="4"/>
        <v>91.140906660556084</v>
      </c>
      <c r="X15" s="210"/>
      <c r="Y15" s="179"/>
    </row>
    <row r="16" spans="1:33" ht="26.4" x14ac:dyDescent="0.25">
      <c r="A16" s="233" t="s">
        <v>378</v>
      </c>
      <c r="B16" s="181"/>
      <c r="C16" s="182"/>
      <c r="D16" s="182"/>
      <c r="E16" s="182"/>
      <c r="F16" s="183">
        <f>70000/1000</f>
        <v>70</v>
      </c>
      <c r="G16" s="183">
        <f t="shared" si="5"/>
        <v>70</v>
      </c>
      <c r="H16" s="184">
        <f>70000/1000</f>
        <v>70</v>
      </c>
      <c r="I16" s="184"/>
      <c r="J16" s="185">
        <f t="shared" si="6"/>
        <v>0</v>
      </c>
      <c r="K16" s="185">
        <f t="shared" si="7"/>
        <v>0</v>
      </c>
      <c r="L16" s="186"/>
      <c r="M16" s="186">
        <f t="shared" si="8"/>
        <v>0</v>
      </c>
      <c r="N16" s="184"/>
      <c r="O16" s="184"/>
      <c r="P16" s="185">
        <f t="shared" si="1"/>
        <v>0</v>
      </c>
      <c r="Q16" s="185">
        <v>0</v>
      </c>
      <c r="R16" s="186"/>
      <c r="S16" s="186">
        <f t="shared" si="9"/>
        <v>47.802</v>
      </c>
      <c r="T16" s="184">
        <f>47802/1000</f>
        <v>47.802</v>
      </c>
      <c r="U16" s="184"/>
      <c r="V16" s="187">
        <f t="shared" si="3"/>
        <v>-47.802</v>
      </c>
      <c r="W16" s="234">
        <f t="shared" si="4"/>
        <v>-100</v>
      </c>
      <c r="X16" s="210"/>
      <c r="Y16" s="179"/>
    </row>
    <row r="17" spans="1:25" ht="39.6" x14ac:dyDescent="0.25">
      <c r="A17" s="233" t="s">
        <v>114</v>
      </c>
      <c r="B17" s="181" t="s">
        <v>115</v>
      </c>
      <c r="C17" s="182">
        <v>7090.8128999999999</v>
      </c>
      <c r="D17" s="182">
        <v>8428.8125</v>
      </c>
      <c r="E17" s="182">
        <v>8079.1080000000002</v>
      </c>
      <c r="F17" s="183">
        <f>9009908.4/1000</f>
        <v>9009.9084000000003</v>
      </c>
      <c r="G17" s="183">
        <f t="shared" si="5"/>
        <v>9009.9084000000003</v>
      </c>
      <c r="H17" s="188">
        <f>9008311.4/1000</f>
        <v>9008.3114000000005</v>
      </c>
      <c r="I17" s="188">
        <f>1597/1000</f>
        <v>1.597</v>
      </c>
      <c r="J17" s="185">
        <f t="shared" si="6"/>
        <v>0</v>
      </c>
      <c r="K17" s="185">
        <f t="shared" si="7"/>
        <v>0</v>
      </c>
      <c r="L17" s="186">
        <f>9090303.7/1000</f>
        <v>9090.3036999999986</v>
      </c>
      <c r="M17" s="186">
        <f t="shared" si="8"/>
        <v>8171.4391999999998</v>
      </c>
      <c r="N17" s="184">
        <f>8168147.9/1000</f>
        <v>8168.1478999999999</v>
      </c>
      <c r="O17" s="184">
        <f>3291.3/1000</f>
        <v>3.2913000000000001</v>
      </c>
      <c r="P17" s="185">
        <f t="shared" si="1"/>
        <v>918.86449999999877</v>
      </c>
      <c r="Q17" s="185">
        <f t="shared" ref="Q17:Q56" si="10">L17/M17*100-100</f>
        <v>11.244830653576884</v>
      </c>
      <c r="R17" s="186">
        <f>9450858.9/1000</f>
        <v>9450.8589000000011</v>
      </c>
      <c r="S17" s="186">
        <f t="shared" si="9"/>
        <v>10873.1317</v>
      </c>
      <c r="T17" s="184">
        <f>10868104.4/1000</f>
        <v>10868.1044</v>
      </c>
      <c r="U17" s="184">
        <f>5027.3/1000</f>
        <v>5.0273000000000003</v>
      </c>
      <c r="V17" s="187">
        <f t="shared" si="3"/>
        <v>-1422.2727999999988</v>
      </c>
      <c r="W17" s="234">
        <f t="shared" si="4"/>
        <v>-13.080617794779386</v>
      </c>
      <c r="X17" s="210"/>
      <c r="Y17" s="179"/>
    </row>
    <row r="18" spans="1:25" ht="39.6" x14ac:dyDescent="0.25">
      <c r="A18" s="225" t="s">
        <v>116</v>
      </c>
      <c r="B18" s="226" t="s">
        <v>117</v>
      </c>
      <c r="C18" s="227">
        <f>C19+C20+C21+C22+C23+C24+C25</f>
        <v>19701.5625</v>
      </c>
      <c r="D18" s="227">
        <f>D19+D20+D21+D22+D23+D24+D25</f>
        <v>18301.683199999999</v>
      </c>
      <c r="E18" s="227">
        <f>E19+E20+E21+E22+E23+E24+E25</f>
        <v>17963.414000000001</v>
      </c>
      <c r="F18" s="228">
        <f>F19+F20+F21+F22+F23+F24+F25</f>
        <v>19154.894800000002</v>
      </c>
      <c r="G18" s="190">
        <f t="shared" si="5"/>
        <v>19154.894800000005</v>
      </c>
      <c r="H18" s="229">
        <f>H19+H20+H21+H22+H23+H24+H25</f>
        <v>18727.983100000005</v>
      </c>
      <c r="I18" s="229">
        <f>I19+I20+I21+I22+I23+I24+I25</f>
        <v>426.9117</v>
      </c>
      <c r="J18" s="191">
        <f t="shared" si="6"/>
        <v>0</v>
      </c>
      <c r="K18" s="191">
        <f t="shared" si="7"/>
        <v>0</v>
      </c>
      <c r="L18" s="228">
        <f>L19+L20+L21+L22+L23+L24+L25</f>
        <v>18804.340800000002</v>
      </c>
      <c r="M18" s="228">
        <f>M19+M20+M21+M22+M23+M24+M25</f>
        <v>19912.0851</v>
      </c>
      <c r="N18" s="229">
        <f>N19+N20+N21+N22+N23+N24+N25</f>
        <v>19805.3822</v>
      </c>
      <c r="O18" s="229">
        <f>O19+O20+O21+O22+O23+O24+O25</f>
        <v>106.7029</v>
      </c>
      <c r="P18" s="230">
        <f t="shared" si="1"/>
        <v>-1107.7442999999985</v>
      </c>
      <c r="Q18" s="230">
        <f t="shared" si="10"/>
        <v>-5.5631758022167048</v>
      </c>
      <c r="R18" s="228">
        <f>R19+R20+R21+R22+R23+R24+R25</f>
        <v>19566.807900000003</v>
      </c>
      <c r="S18" s="228">
        <f>S19+S20+S21+S22+S23+S24+S25</f>
        <v>21060.775900000004</v>
      </c>
      <c r="T18" s="229">
        <f>T19+T20+T21+T22+T23+T24+T25</f>
        <v>20950.079800000003</v>
      </c>
      <c r="U18" s="229">
        <f>U19+U20+U21+U22+U23+U24+U25</f>
        <v>110.6961</v>
      </c>
      <c r="V18" s="231">
        <f t="shared" si="3"/>
        <v>-1493.9680000000008</v>
      </c>
      <c r="W18" s="232">
        <f t="shared" si="4"/>
        <v>-7.093603802127717</v>
      </c>
      <c r="X18" s="211">
        <f>M18</f>
        <v>19912.0851</v>
      </c>
      <c r="Y18" s="180">
        <f>S18</f>
        <v>21060.775900000004</v>
      </c>
    </row>
    <row r="19" spans="1:25" ht="26.4" x14ac:dyDescent="0.25">
      <c r="A19" s="233" t="s">
        <v>118</v>
      </c>
      <c r="B19" s="181" t="s">
        <v>119</v>
      </c>
      <c r="C19" s="182">
        <v>13317.657300000001</v>
      </c>
      <c r="D19" s="182">
        <v>12147.120500000001</v>
      </c>
      <c r="E19" s="182">
        <v>12622.366599999999</v>
      </c>
      <c r="F19" s="183">
        <f>13486147.9/1000</f>
        <v>13486.1479</v>
      </c>
      <c r="G19" s="183">
        <f>H19+I19</f>
        <v>13486.1479</v>
      </c>
      <c r="H19" s="188">
        <f>13486147.9/1000</f>
        <v>13486.1479</v>
      </c>
      <c r="I19" s="188"/>
      <c r="J19" s="185">
        <f t="shared" si="6"/>
        <v>0</v>
      </c>
      <c r="K19" s="185">
        <f t="shared" si="7"/>
        <v>0</v>
      </c>
      <c r="L19" s="186">
        <f>13435380.1/1000</f>
        <v>13435.3801</v>
      </c>
      <c r="M19" s="189">
        <f>O19+N19</f>
        <v>13459.855300000001</v>
      </c>
      <c r="N19" s="188">
        <f>13459855.3/1000</f>
        <v>13459.855300000001</v>
      </c>
      <c r="O19" s="188"/>
      <c r="P19" s="185">
        <f t="shared" si="1"/>
        <v>-24.475200000000768</v>
      </c>
      <c r="Q19" s="185">
        <f t="shared" si="10"/>
        <v>-0.18183850758039455</v>
      </c>
      <c r="R19" s="186">
        <f>13983903.6/1000</f>
        <v>13983.9036</v>
      </c>
      <c r="S19" s="186">
        <f>T19+U19</f>
        <v>14008.3788</v>
      </c>
      <c r="T19" s="184">
        <f>14008378.8/1000</f>
        <v>14008.3788</v>
      </c>
      <c r="U19" s="184"/>
      <c r="V19" s="187">
        <f t="shared" si="3"/>
        <v>-24.475200000000768</v>
      </c>
      <c r="W19" s="234">
        <f t="shared" si="4"/>
        <v>-0.1747182907418221</v>
      </c>
      <c r="X19" s="210"/>
      <c r="Y19" s="179"/>
    </row>
    <row r="20" spans="1:25" ht="79.2" x14ac:dyDescent="0.25">
      <c r="A20" s="233" t="s">
        <v>120</v>
      </c>
      <c r="B20" s="181" t="s">
        <v>121</v>
      </c>
      <c r="C20" s="182">
        <v>2378.8467999999998</v>
      </c>
      <c r="D20" s="182">
        <v>2374.8218999999999</v>
      </c>
      <c r="E20" s="182">
        <v>2337.7736</v>
      </c>
      <c r="F20" s="183">
        <f>2382560/1000</f>
        <v>2382.56</v>
      </c>
      <c r="G20" s="183">
        <f t="shared" si="5"/>
        <v>2382.5600000000004</v>
      </c>
      <c r="H20" s="184">
        <f>2283933.1/1000</f>
        <v>2283.9331000000002</v>
      </c>
      <c r="I20" s="184">
        <f>98626.9/1000</f>
        <v>98.626899999999992</v>
      </c>
      <c r="J20" s="185">
        <f t="shared" si="6"/>
        <v>0</v>
      </c>
      <c r="K20" s="185">
        <f t="shared" si="7"/>
        <v>0</v>
      </c>
      <c r="L20" s="186">
        <f>2328803.9/1000</f>
        <v>2328.8038999999999</v>
      </c>
      <c r="M20" s="189">
        <f t="shared" ref="M20:M25" si="11">O20+N20</f>
        <v>2452.8018999999999</v>
      </c>
      <c r="N20" s="184">
        <f>2452801.9/1000</f>
        <v>2452.8018999999999</v>
      </c>
      <c r="O20" s="184"/>
      <c r="P20" s="185">
        <f t="shared" si="1"/>
        <v>-123.99800000000005</v>
      </c>
      <c r="Q20" s="185">
        <f t="shared" si="10"/>
        <v>-5.0553613807947499</v>
      </c>
      <c r="R20" s="186">
        <f>2494521.8/1000</f>
        <v>2494.5218</v>
      </c>
      <c r="S20" s="186">
        <f t="shared" ref="S20:S25" si="12">T20+U20</f>
        <v>2539.3002999999999</v>
      </c>
      <c r="T20" s="184">
        <f>2539300.3/1000</f>
        <v>2539.3002999999999</v>
      </c>
      <c r="U20" s="184"/>
      <c r="V20" s="187">
        <f t="shared" si="3"/>
        <v>-44.778499999999894</v>
      </c>
      <c r="W20" s="234">
        <f t="shared" si="4"/>
        <v>-1.7634188441595455</v>
      </c>
      <c r="X20" s="210"/>
      <c r="Y20" s="179"/>
    </row>
    <row r="21" spans="1:25" ht="26.4" x14ac:dyDescent="0.25">
      <c r="A21" s="233" t="s">
        <v>122</v>
      </c>
      <c r="B21" s="181" t="s">
        <v>123</v>
      </c>
      <c r="C21" s="182">
        <v>2312.2417</v>
      </c>
      <c r="D21" s="182">
        <v>2036.1384</v>
      </c>
      <c r="E21" s="182">
        <v>2057.5156000000002</v>
      </c>
      <c r="F21" s="183">
        <f>2177626.7/1000</f>
        <v>2177.6267000000003</v>
      </c>
      <c r="G21" s="183">
        <f t="shared" si="5"/>
        <v>2177.6267000000003</v>
      </c>
      <c r="H21" s="184">
        <f>2166159.7/1000</f>
        <v>2166.1597000000002</v>
      </c>
      <c r="I21" s="184">
        <f>11467/1000</f>
        <v>11.467000000000001</v>
      </c>
      <c r="J21" s="185">
        <f t="shared" si="6"/>
        <v>0</v>
      </c>
      <c r="K21" s="185">
        <f t="shared" si="7"/>
        <v>0</v>
      </c>
      <c r="L21" s="186">
        <f>2195135.9/1000</f>
        <v>2195.1358999999998</v>
      </c>
      <c r="M21" s="189">
        <f t="shared" si="11"/>
        <v>2624.9843000000001</v>
      </c>
      <c r="N21" s="184">
        <f>2527335.9/1000</f>
        <v>2527.3359</v>
      </c>
      <c r="O21" s="184">
        <f>97648.4/1000</f>
        <v>97.648399999999995</v>
      </c>
      <c r="P21" s="185">
        <f t="shared" si="1"/>
        <v>-429.84840000000031</v>
      </c>
      <c r="Q21" s="185">
        <f t="shared" si="10"/>
        <v>-16.375275082597653</v>
      </c>
      <c r="R21" s="186">
        <f>2287217.6/1000</f>
        <v>2287.2175999999999</v>
      </c>
      <c r="S21" s="186">
        <f t="shared" si="12"/>
        <v>2717.5442000000003</v>
      </c>
      <c r="T21" s="184">
        <f>2616117.6/1000</f>
        <v>2616.1176</v>
      </c>
      <c r="U21" s="184">
        <f>101426.6/1000</f>
        <v>101.42660000000001</v>
      </c>
      <c r="V21" s="187">
        <f t="shared" si="3"/>
        <v>-430.32660000000033</v>
      </c>
      <c r="W21" s="234">
        <f t="shared" si="4"/>
        <v>-15.835127907027243</v>
      </c>
      <c r="X21" s="210"/>
      <c r="Y21" s="179"/>
    </row>
    <row r="22" spans="1:25" ht="26.4" x14ac:dyDescent="0.25">
      <c r="A22" s="233" t="s">
        <v>124</v>
      </c>
      <c r="B22" s="181" t="s">
        <v>125</v>
      </c>
      <c r="C22" s="182">
        <v>510.0838</v>
      </c>
      <c r="D22" s="182">
        <v>573.77499999999998</v>
      </c>
      <c r="E22" s="182">
        <v>582.74940000000004</v>
      </c>
      <c r="F22" s="183">
        <f>641489/1000</f>
        <v>641.48900000000003</v>
      </c>
      <c r="G22" s="183">
        <f t="shared" si="5"/>
        <v>641.48900000000003</v>
      </c>
      <c r="H22" s="184">
        <f>630782.5/1000</f>
        <v>630.78250000000003</v>
      </c>
      <c r="I22" s="184">
        <f>10706.5/1000</f>
        <v>10.7065</v>
      </c>
      <c r="J22" s="185">
        <f t="shared" si="6"/>
        <v>0</v>
      </c>
      <c r="K22" s="185">
        <f t="shared" si="7"/>
        <v>0</v>
      </c>
      <c r="L22" s="186">
        <f>648049.6/1000</f>
        <v>648.04959999999994</v>
      </c>
      <c r="M22" s="189">
        <f t="shared" si="11"/>
        <v>652.79959999999994</v>
      </c>
      <c r="N22" s="184">
        <f>643745.1/1000</f>
        <v>643.74509999999998</v>
      </c>
      <c r="O22" s="184">
        <f>9054.5/1000</f>
        <v>9.0545000000000009</v>
      </c>
      <c r="P22" s="185">
        <f t="shared" si="1"/>
        <v>-4.75</v>
      </c>
      <c r="Q22" s="185">
        <f t="shared" si="10"/>
        <v>-0.72763524977649752</v>
      </c>
      <c r="R22" s="186">
        <f>651605.5/1000</f>
        <v>651.60550000000001</v>
      </c>
      <c r="S22" s="186">
        <f t="shared" si="12"/>
        <v>656.35550000000001</v>
      </c>
      <c r="T22" s="184">
        <f>647086/1000</f>
        <v>647.08600000000001</v>
      </c>
      <c r="U22" s="184">
        <f>9269.5/1000</f>
        <v>9.2695000000000007</v>
      </c>
      <c r="V22" s="187">
        <f t="shared" si="3"/>
        <v>-4.75</v>
      </c>
      <c r="W22" s="234">
        <f t="shared" si="4"/>
        <v>-0.72369318151518769</v>
      </c>
      <c r="X22" s="210"/>
      <c r="Y22" s="179"/>
    </row>
    <row r="23" spans="1:25" ht="26.4" x14ac:dyDescent="0.25">
      <c r="A23" s="233" t="s">
        <v>126</v>
      </c>
      <c r="B23" s="181" t="s">
        <v>127</v>
      </c>
      <c r="C23" s="182">
        <v>6.67</v>
      </c>
      <c r="D23" s="182">
        <v>8.17</v>
      </c>
      <c r="E23" s="182">
        <v>8.17</v>
      </c>
      <c r="F23" s="183">
        <f>11590/1000</f>
        <v>11.59</v>
      </c>
      <c r="G23" s="183">
        <f t="shared" si="5"/>
        <v>11.59</v>
      </c>
      <c r="H23" s="184">
        <f>11590/1000</f>
        <v>11.59</v>
      </c>
      <c r="I23" s="184"/>
      <c r="J23" s="185">
        <f t="shared" si="6"/>
        <v>0</v>
      </c>
      <c r="K23" s="185">
        <f t="shared" si="7"/>
        <v>0</v>
      </c>
      <c r="L23" s="186">
        <f>8590/1000</f>
        <v>8.59</v>
      </c>
      <c r="M23" s="189">
        <f t="shared" si="11"/>
        <v>22.24</v>
      </c>
      <c r="N23" s="184">
        <f>22240/1000</f>
        <v>22.24</v>
      </c>
      <c r="O23" s="184"/>
      <c r="P23" s="185">
        <f t="shared" si="1"/>
        <v>-13.649999999999999</v>
      </c>
      <c r="Q23" s="185">
        <f t="shared" si="10"/>
        <v>-61.375899280575538</v>
      </c>
      <c r="R23" s="186">
        <f>8590/1000</f>
        <v>8.59</v>
      </c>
      <c r="S23" s="186">
        <f t="shared" si="12"/>
        <v>22.24</v>
      </c>
      <c r="T23" s="184">
        <f>22240/1000</f>
        <v>22.24</v>
      </c>
      <c r="U23" s="184"/>
      <c r="V23" s="187">
        <f t="shared" si="3"/>
        <v>-13.649999999999999</v>
      </c>
      <c r="W23" s="234">
        <f t="shared" si="4"/>
        <v>-61.375899280575538</v>
      </c>
      <c r="X23" s="210"/>
      <c r="Y23" s="179"/>
    </row>
    <row r="24" spans="1:25" ht="39.6" x14ac:dyDescent="0.25">
      <c r="A24" s="233" t="s">
        <v>128</v>
      </c>
      <c r="B24" s="181" t="s">
        <v>129</v>
      </c>
      <c r="C24" s="182">
        <v>3.9748000000000001</v>
      </c>
      <c r="D24" s="182">
        <v>6.0342000000000002</v>
      </c>
      <c r="E24" s="182">
        <v>5.5936000000000003</v>
      </c>
      <c r="F24" s="183">
        <f>5182/1000</f>
        <v>5.1820000000000004</v>
      </c>
      <c r="G24" s="183">
        <f t="shared" si="5"/>
        <v>5.1820000000000004</v>
      </c>
      <c r="H24" s="184">
        <f>5182/1000</f>
        <v>5.1820000000000004</v>
      </c>
      <c r="I24" s="184"/>
      <c r="J24" s="185">
        <f t="shared" si="6"/>
        <v>0</v>
      </c>
      <c r="K24" s="185">
        <f t="shared" si="7"/>
        <v>0</v>
      </c>
      <c r="L24" s="186">
        <f>7805.1/1000</f>
        <v>7.8051000000000004</v>
      </c>
      <c r="M24" s="189">
        <f t="shared" si="11"/>
        <v>65.677600000000012</v>
      </c>
      <c r="N24" s="184">
        <f>65677.6/1000</f>
        <v>65.677600000000012</v>
      </c>
      <c r="O24" s="184"/>
      <c r="P24" s="185">
        <f t="shared" si="1"/>
        <v>-57.872500000000009</v>
      </c>
      <c r="Q24" s="185">
        <f t="shared" si="10"/>
        <v>-88.116039562956018</v>
      </c>
      <c r="R24" s="186">
        <f>7927.4/1000</f>
        <v>7.9273999999999996</v>
      </c>
      <c r="S24" s="186">
        <f t="shared" si="12"/>
        <v>13.4999</v>
      </c>
      <c r="T24" s="184">
        <f>13499.9/1000</f>
        <v>13.4999</v>
      </c>
      <c r="U24" s="184"/>
      <c r="V24" s="187">
        <f t="shared" si="3"/>
        <v>-5.5725000000000007</v>
      </c>
      <c r="W24" s="234">
        <f t="shared" si="4"/>
        <v>-41.278083541359564</v>
      </c>
      <c r="X24" s="210"/>
      <c r="Y24" s="179"/>
    </row>
    <row r="25" spans="1:25" ht="39.6" x14ac:dyDescent="0.25">
      <c r="A25" s="233" t="s">
        <v>130</v>
      </c>
      <c r="B25" s="181" t="s">
        <v>131</v>
      </c>
      <c r="C25" s="182">
        <v>1172.0880999999999</v>
      </c>
      <c r="D25" s="182">
        <v>1155.6232</v>
      </c>
      <c r="E25" s="182">
        <v>349.24520000000001</v>
      </c>
      <c r="F25" s="183">
        <f>450299.2/1000</f>
        <v>450.29919999999998</v>
      </c>
      <c r="G25" s="183">
        <f t="shared" si="5"/>
        <v>450.29919999999993</v>
      </c>
      <c r="H25" s="184">
        <f>144187.9/1000</f>
        <v>144.18789999999998</v>
      </c>
      <c r="I25" s="184">
        <f>306111.3/1000</f>
        <v>306.11129999999997</v>
      </c>
      <c r="J25" s="185">
        <f t="shared" si="6"/>
        <v>0</v>
      </c>
      <c r="K25" s="185">
        <f t="shared" si="7"/>
        <v>0</v>
      </c>
      <c r="L25" s="186">
        <f>180576.2/1000</f>
        <v>180.5762</v>
      </c>
      <c r="M25" s="189">
        <f t="shared" si="11"/>
        <v>633.72640000000001</v>
      </c>
      <c r="N25" s="184">
        <f>633726.4/1000</f>
        <v>633.72640000000001</v>
      </c>
      <c r="O25" s="184"/>
      <c r="P25" s="185">
        <f t="shared" si="1"/>
        <v>-453.15020000000004</v>
      </c>
      <c r="Q25" s="185">
        <f t="shared" si="10"/>
        <v>-71.50565291267651</v>
      </c>
      <c r="R25" s="186">
        <f>133042/1000</f>
        <v>133.042</v>
      </c>
      <c r="S25" s="186">
        <f t="shared" si="12"/>
        <v>1103.4572000000001</v>
      </c>
      <c r="T25" s="184">
        <f>1103457.2/1000</f>
        <v>1103.4572000000001</v>
      </c>
      <c r="U25" s="184"/>
      <c r="V25" s="187">
        <f t="shared" si="3"/>
        <v>-970.41520000000003</v>
      </c>
      <c r="W25" s="234">
        <f t="shared" si="4"/>
        <v>-87.943166259642879</v>
      </c>
      <c r="X25" s="210"/>
      <c r="Y25" s="179"/>
    </row>
    <row r="26" spans="1:25" ht="39.6" x14ac:dyDescent="0.25">
      <c r="A26" s="225" t="s">
        <v>132</v>
      </c>
      <c r="B26" s="226" t="s">
        <v>133</v>
      </c>
      <c r="C26" s="227">
        <f>SUM(C27:C34)</f>
        <v>9404.4369999999999</v>
      </c>
      <c r="D26" s="227">
        <f>SUM(D27:D34)</f>
        <v>10007.154599999998</v>
      </c>
      <c r="E26" s="227">
        <f>SUM(E27:E34)</f>
        <v>10664.426600000001</v>
      </c>
      <c r="F26" s="228">
        <f>SUM(F27:F34)</f>
        <v>11346.0882</v>
      </c>
      <c r="G26" s="190">
        <f t="shared" si="5"/>
        <v>11346.088400000001</v>
      </c>
      <c r="H26" s="229">
        <f>SUM(H27:H34)</f>
        <v>8943.140800000001</v>
      </c>
      <c r="I26" s="229">
        <f>SUM(I27:I34)</f>
        <v>2402.9476</v>
      </c>
      <c r="J26" s="191">
        <f t="shared" si="6"/>
        <v>-2.0000000040454324E-4</v>
      </c>
      <c r="K26" s="191">
        <f t="shared" si="7"/>
        <v>-1.7627220358917839E-6</v>
      </c>
      <c r="L26" s="228">
        <f>SUM(L27:L34)</f>
        <v>11535.173400000001</v>
      </c>
      <c r="M26" s="228">
        <f>SUM(M27:M34)</f>
        <v>11589.004700000001</v>
      </c>
      <c r="N26" s="229">
        <f>SUM(N27:N34)</f>
        <v>8678.8760999999995</v>
      </c>
      <c r="O26" s="229">
        <f>SUM(O27:O34)</f>
        <v>2910.1286</v>
      </c>
      <c r="P26" s="230">
        <f t="shared" si="1"/>
        <v>-53.831299999999828</v>
      </c>
      <c r="Q26" s="230">
        <f t="shared" si="10"/>
        <v>-0.46450322002199584</v>
      </c>
      <c r="R26" s="228">
        <f>SUM(R27:R34)</f>
        <v>11745.422699999999</v>
      </c>
      <c r="S26" s="228">
        <f>SUM(S27:S34)</f>
        <v>12517.359300000002</v>
      </c>
      <c r="T26" s="229">
        <f t="shared" ref="T26:U26" si="13">SUM(T27:T34)</f>
        <v>9607.2307000000019</v>
      </c>
      <c r="U26" s="229">
        <f t="shared" si="13"/>
        <v>2910.1286</v>
      </c>
      <c r="V26" s="231">
        <f t="shared" si="3"/>
        <v>-771.93660000000273</v>
      </c>
      <c r="W26" s="232">
        <f t="shared" si="4"/>
        <v>-6.166928515026342</v>
      </c>
      <c r="X26" s="211">
        <f>M26+2845.4224</f>
        <v>14434.427100000001</v>
      </c>
      <c r="Y26" s="180">
        <f>S26+2910.1286</f>
        <v>15427.487900000002</v>
      </c>
    </row>
    <row r="27" spans="1:25" ht="52.8" x14ac:dyDescent="0.25">
      <c r="A27" s="233" t="s">
        <v>134</v>
      </c>
      <c r="B27" s="181" t="s">
        <v>135</v>
      </c>
      <c r="C27" s="182">
        <v>1884.9609</v>
      </c>
      <c r="D27" s="182">
        <v>2011.0809999999999</v>
      </c>
      <c r="E27" s="182">
        <v>2054.7786999999998</v>
      </c>
      <c r="F27" s="183">
        <f>2517209.2/1000</f>
        <v>2517.2092000000002</v>
      </c>
      <c r="G27" s="183">
        <f t="shared" si="5"/>
        <v>2517.2092000000002</v>
      </c>
      <c r="H27" s="184">
        <f>2517001.7/1000</f>
        <v>2517.0017000000003</v>
      </c>
      <c r="I27" s="184">
        <f>207.5/1000</f>
        <v>0.20749999999999999</v>
      </c>
      <c r="J27" s="185">
        <f t="shared" si="6"/>
        <v>0</v>
      </c>
      <c r="K27" s="185">
        <f t="shared" si="7"/>
        <v>0</v>
      </c>
      <c r="L27" s="186">
        <f>2543319.5/1000</f>
        <v>2543.3195000000001</v>
      </c>
      <c r="M27" s="186">
        <f>N27+O27</f>
        <v>2152.1482999999998</v>
      </c>
      <c r="N27" s="184">
        <f>2151940.8/1000</f>
        <v>2151.9407999999999</v>
      </c>
      <c r="O27" s="184">
        <f>207.5/1000</f>
        <v>0.20749999999999999</v>
      </c>
      <c r="P27" s="185">
        <f t="shared" si="1"/>
        <v>391.17120000000023</v>
      </c>
      <c r="Q27" s="185">
        <f t="shared" si="10"/>
        <v>18.175847826100096</v>
      </c>
      <c r="R27" s="186">
        <f>2645973/1000</f>
        <v>2645.973</v>
      </c>
      <c r="S27" s="186">
        <f>T27+U27</f>
        <v>2393.3482999999997</v>
      </c>
      <c r="T27" s="184">
        <f>2393140.8/1000</f>
        <v>2393.1407999999997</v>
      </c>
      <c r="U27" s="184">
        <f>207.5/1000</f>
        <v>0.20749999999999999</v>
      </c>
      <c r="V27" s="187">
        <f t="shared" si="3"/>
        <v>252.6247000000003</v>
      </c>
      <c r="W27" s="234">
        <f t="shared" si="4"/>
        <v>10.555283574897985</v>
      </c>
      <c r="X27" s="210"/>
      <c r="Y27" s="179"/>
    </row>
    <row r="28" spans="1:25" ht="39.6" x14ac:dyDescent="0.25">
      <c r="A28" s="233" t="s">
        <v>136</v>
      </c>
      <c r="B28" s="181" t="s">
        <v>137</v>
      </c>
      <c r="C28" s="182">
        <v>6985.6037999999999</v>
      </c>
      <c r="D28" s="182">
        <v>7480.1821</v>
      </c>
      <c r="E28" s="182">
        <v>8175.0622999999996</v>
      </c>
      <c r="F28" s="183">
        <f>8381485.2/1000</f>
        <v>8381.485200000001</v>
      </c>
      <c r="G28" s="183">
        <f t="shared" si="5"/>
        <v>8381.4851999999992</v>
      </c>
      <c r="H28" s="184">
        <f>5983340.3/1000</f>
        <v>5983.3402999999998</v>
      </c>
      <c r="I28" s="184">
        <f>2398144.9/1000</f>
        <v>2398.1448999999998</v>
      </c>
      <c r="J28" s="185">
        <f t="shared" si="6"/>
        <v>0</v>
      </c>
      <c r="K28" s="185">
        <f t="shared" si="7"/>
        <v>0</v>
      </c>
      <c r="L28" s="186">
        <f>8577335.3/1000</f>
        <v>8577.3353000000006</v>
      </c>
      <c r="M28" s="186">
        <f t="shared" ref="M28:M34" si="14">N28+O28</f>
        <v>8991.8649000000005</v>
      </c>
      <c r="N28" s="184">
        <f>6081943.8/1000</f>
        <v>6081.9438</v>
      </c>
      <c r="O28" s="184">
        <f>2909921.1/1000</f>
        <v>2909.9211</v>
      </c>
      <c r="P28" s="185">
        <f t="shared" si="1"/>
        <v>-414.52959999999985</v>
      </c>
      <c r="Q28" s="185">
        <f t="shared" si="10"/>
        <v>-4.6100514699681412</v>
      </c>
      <c r="R28" s="186">
        <f>8669165.2/1000</f>
        <v>8669.1651999999995</v>
      </c>
      <c r="S28" s="186">
        <f t="shared" ref="S28:S34" si="15">T28+U28</f>
        <v>8936.5948000000008</v>
      </c>
      <c r="T28" s="184">
        <f>6026673.7/1000</f>
        <v>6026.6737000000003</v>
      </c>
      <c r="U28" s="184">
        <f>2909921.1/1000</f>
        <v>2909.9211</v>
      </c>
      <c r="V28" s="187">
        <f t="shared" si="3"/>
        <v>-267.4296000000013</v>
      </c>
      <c r="W28" s="234">
        <f t="shared" si="4"/>
        <v>-2.99252238671491</v>
      </c>
      <c r="X28" s="210"/>
      <c r="Y28" s="179"/>
    </row>
    <row r="29" spans="1:25" ht="26.4" x14ac:dyDescent="0.25">
      <c r="A29" s="233" t="s">
        <v>138</v>
      </c>
      <c r="B29" s="181" t="s">
        <v>139</v>
      </c>
      <c r="C29" s="182">
        <v>478.91399999999999</v>
      </c>
      <c r="D29" s="182">
        <v>392.93</v>
      </c>
      <c r="E29" s="182">
        <v>345.01569999999998</v>
      </c>
      <c r="F29" s="183">
        <f>361953.3/1000</f>
        <v>361.95330000000001</v>
      </c>
      <c r="G29" s="183">
        <f t="shared" si="5"/>
        <v>361.95330000000001</v>
      </c>
      <c r="H29" s="184">
        <f>361953.3/1000</f>
        <v>361.95330000000001</v>
      </c>
      <c r="I29" s="184"/>
      <c r="J29" s="185">
        <f t="shared" si="6"/>
        <v>0</v>
      </c>
      <c r="K29" s="185">
        <f t="shared" si="7"/>
        <v>0</v>
      </c>
      <c r="L29" s="186">
        <f>343180.2/1000</f>
        <v>343.18020000000001</v>
      </c>
      <c r="M29" s="186">
        <f t="shared" si="14"/>
        <v>345.46159999999998</v>
      </c>
      <c r="N29" s="184">
        <f>345461.6/1000</f>
        <v>345.46159999999998</v>
      </c>
      <c r="O29" s="184"/>
      <c r="P29" s="185">
        <f t="shared" si="1"/>
        <v>-2.2813999999999623</v>
      </c>
      <c r="Q29" s="185">
        <f t="shared" si="10"/>
        <v>-0.66039177726264597</v>
      </c>
      <c r="R29" s="186">
        <f>350583.9/1000</f>
        <v>350.58390000000003</v>
      </c>
      <c r="S29" s="186">
        <f t="shared" si="15"/>
        <v>345.66159999999996</v>
      </c>
      <c r="T29" s="184">
        <f>345661.6/1000</f>
        <v>345.66159999999996</v>
      </c>
      <c r="U29" s="184"/>
      <c r="V29" s="187">
        <f t="shared" si="3"/>
        <v>4.9223000000000638</v>
      </c>
      <c r="W29" s="234">
        <f t="shared" si="4"/>
        <v>1.4240228014914038</v>
      </c>
      <c r="X29" s="210"/>
      <c r="Y29" s="179"/>
    </row>
    <row r="30" spans="1:25" ht="26.4" x14ac:dyDescent="0.25">
      <c r="A30" s="233" t="s">
        <v>140</v>
      </c>
      <c r="B30" s="181" t="s">
        <v>141</v>
      </c>
      <c r="C30" s="182">
        <v>11.327</v>
      </c>
      <c r="D30" s="182">
        <v>4.149</v>
      </c>
      <c r="E30" s="182">
        <v>22.466200000000001</v>
      </c>
      <c r="F30" s="183">
        <f>22523.7/1000</f>
        <v>22.523700000000002</v>
      </c>
      <c r="G30" s="183">
        <f t="shared" si="5"/>
        <v>22.523700000000002</v>
      </c>
      <c r="H30" s="184">
        <f>22523.7/1000</f>
        <v>22.523700000000002</v>
      </c>
      <c r="I30" s="184"/>
      <c r="J30" s="185">
        <f t="shared" si="6"/>
        <v>0</v>
      </c>
      <c r="K30" s="185">
        <f t="shared" si="7"/>
        <v>0</v>
      </c>
      <c r="L30" s="186">
        <f>21522.3/1000</f>
        <v>21.522299999999998</v>
      </c>
      <c r="M30" s="186">
        <f t="shared" si="14"/>
        <v>24.430400000000002</v>
      </c>
      <c r="N30" s="184">
        <f>24430.4/1000</f>
        <v>24.430400000000002</v>
      </c>
      <c r="O30" s="184"/>
      <c r="P30" s="185">
        <f t="shared" si="1"/>
        <v>-2.9081000000000046</v>
      </c>
      <c r="Q30" s="185">
        <f t="shared" si="10"/>
        <v>-11.903611893378766</v>
      </c>
      <c r="R30" s="186">
        <f>22132.4/1000</f>
        <v>22.132400000000001</v>
      </c>
      <c r="S30" s="186">
        <f t="shared" si="15"/>
        <v>29.03</v>
      </c>
      <c r="T30" s="184">
        <f>29030/1000</f>
        <v>29.03</v>
      </c>
      <c r="U30" s="184"/>
      <c r="V30" s="187">
        <f t="shared" si="3"/>
        <v>-6.8976000000000006</v>
      </c>
      <c r="W30" s="234">
        <f t="shared" si="4"/>
        <v>-23.760248019290387</v>
      </c>
      <c r="X30" s="210"/>
      <c r="Y30" s="179"/>
    </row>
    <row r="31" spans="1:25" ht="39.6" x14ac:dyDescent="0.25">
      <c r="A31" s="233" t="s">
        <v>142</v>
      </c>
      <c r="B31" s="181" t="s">
        <v>143</v>
      </c>
      <c r="C31" s="182">
        <v>19.700600000000001</v>
      </c>
      <c r="D31" s="182">
        <v>75.639499999999998</v>
      </c>
      <c r="E31" s="182">
        <v>36.256799999999998</v>
      </c>
      <c r="F31" s="183">
        <f>21138.6/1000</f>
        <v>21.1386</v>
      </c>
      <c r="G31" s="183">
        <f t="shared" si="5"/>
        <v>21.1388</v>
      </c>
      <c r="H31" s="184">
        <f>21138.8/1000</f>
        <v>21.1388</v>
      </c>
      <c r="I31" s="184"/>
      <c r="J31" s="185">
        <f t="shared" si="6"/>
        <v>-1.9999999999953388E-4</v>
      </c>
      <c r="K31" s="185">
        <f t="shared" si="7"/>
        <v>-9.461275001285685E-4</v>
      </c>
      <c r="L31" s="186">
        <f>23070.2/1000</f>
        <v>23.0702</v>
      </c>
      <c r="M31" s="186">
        <f t="shared" si="14"/>
        <v>30.740200000000002</v>
      </c>
      <c r="N31" s="184">
        <f>30740.2/1000</f>
        <v>30.740200000000002</v>
      </c>
      <c r="O31" s="184"/>
      <c r="P31" s="185">
        <f t="shared" si="1"/>
        <v>-7.6700000000000017</v>
      </c>
      <c r="Q31" s="185">
        <f t="shared" si="10"/>
        <v>-24.951041307473616</v>
      </c>
      <c r="R31" s="186">
        <f>23070.2/1000</f>
        <v>23.0702</v>
      </c>
      <c r="S31" s="186">
        <f t="shared" si="15"/>
        <v>442.77670000000001</v>
      </c>
      <c r="T31" s="184">
        <f>442776.7/1000</f>
        <v>442.77670000000001</v>
      </c>
      <c r="U31" s="184"/>
      <c r="V31" s="187">
        <f t="shared" si="3"/>
        <v>-419.70650000000001</v>
      </c>
      <c r="W31" s="234">
        <f t="shared" si="4"/>
        <v>-94.789653565781578</v>
      </c>
      <c r="X31" s="210"/>
      <c r="Y31" s="179"/>
    </row>
    <row r="32" spans="1:25" ht="39.6" x14ac:dyDescent="0.25">
      <c r="A32" s="233" t="s">
        <v>144</v>
      </c>
      <c r="B32" s="181" t="s">
        <v>145</v>
      </c>
      <c r="C32" s="182">
        <v>1.9914000000000001</v>
      </c>
      <c r="D32" s="182">
        <v>2.6619000000000002</v>
      </c>
      <c r="E32" s="182">
        <v>2.2753999999999999</v>
      </c>
      <c r="F32" s="183">
        <f>1630.7/1000</f>
        <v>1.6307</v>
      </c>
      <c r="G32" s="183">
        <f t="shared" si="5"/>
        <v>1.6307</v>
      </c>
      <c r="H32" s="184">
        <f>1630.7/1000</f>
        <v>1.6307</v>
      </c>
      <c r="I32" s="184"/>
      <c r="J32" s="185">
        <f t="shared" si="6"/>
        <v>0</v>
      </c>
      <c r="K32" s="185">
        <f t="shared" si="7"/>
        <v>0</v>
      </c>
      <c r="L32" s="186">
        <f>780.7/1000</f>
        <v>0.78070000000000006</v>
      </c>
      <c r="M32" s="186">
        <f t="shared" si="14"/>
        <v>3.1865999999999999</v>
      </c>
      <c r="N32" s="184">
        <f>3186.6/1000</f>
        <v>3.1865999999999999</v>
      </c>
      <c r="O32" s="184"/>
      <c r="P32" s="185">
        <f t="shared" si="1"/>
        <v>-2.4058999999999999</v>
      </c>
      <c r="Q32" s="185">
        <f t="shared" si="10"/>
        <v>-75.500533483964091</v>
      </c>
      <c r="R32" s="186">
        <f>780.7/1000</f>
        <v>0.78070000000000006</v>
      </c>
      <c r="S32" s="186">
        <f t="shared" si="15"/>
        <v>4.5093999999999994</v>
      </c>
      <c r="T32" s="184">
        <f>4509.4/1000</f>
        <v>4.5093999999999994</v>
      </c>
      <c r="U32" s="184"/>
      <c r="V32" s="187">
        <f t="shared" si="3"/>
        <v>-3.7286999999999995</v>
      </c>
      <c r="W32" s="234">
        <f t="shared" si="4"/>
        <v>-82.687275469020264</v>
      </c>
      <c r="X32" s="210"/>
      <c r="Y32" s="179"/>
    </row>
    <row r="33" spans="1:25" x14ac:dyDescent="0.25">
      <c r="A33" s="233" t="s">
        <v>146</v>
      </c>
      <c r="B33" s="181" t="s">
        <v>147</v>
      </c>
      <c r="C33" s="182">
        <v>21.939299999999999</v>
      </c>
      <c r="D33" s="182">
        <v>29.7151</v>
      </c>
      <c r="E33" s="182">
        <v>8.8667999999999996</v>
      </c>
      <c r="F33" s="183">
        <f>28058.6/1000</f>
        <v>28.058599999999998</v>
      </c>
      <c r="G33" s="183">
        <f t="shared" si="5"/>
        <v>28.058599999999998</v>
      </c>
      <c r="H33" s="184">
        <f>23463.4/1000</f>
        <v>23.4634</v>
      </c>
      <c r="I33" s="184">
        <f>4595.2/1000</f>
        <v>4.5952000000000002</v>
      </c>
      <c r="J33" s="185">
        <f t="shared" si="6"/>
        <v>0</v>
      </c>
      <c r="K33" s="185">
        <f t="shared" si="7"/>
        <v>0</v>
      </c>
      <c r="L33" s="186">
        <f>13876.3/1000</f>
        <v>13.876299999999999</v>
      </c>
      <c r="M33" s="186">
        <f t="shared" si="14"/>
        <v>22.010900000000003</v>
      </c>
      <c r="N33" s="184">
        <f>22010.9/1000</f>
        <v>22.010900000000003</v>
      </c>
      <c r="O33" s="184"/>
      <c r="P33" s="185">
        <f t="shared" si="1"/>
        <v>-8.1346000000000043</v>
      </c>
      <c r="Q33" s="185">
        <f t="shared" si="10"/>
        <v>-36.95714396049231</v>
      </c>
      <c r="R33" s="186">
        <f>21128.4/1000</f>
        <v>21.128400000000003</v>
      </c>
      <c r="S33" s="186">
        <f t="shared" si="15"/>
        <v>32.466999999999999</v>
      </c>
      <c r="T33" s="184">
        <f>32467/1000</f>
        <v>32.466999999999999</v>
      </c>
      <c r="U33" s="184"/>
      <c r="V33" s="187">
        <f t="shared" si="3"/>
        <v>-11.338599999999996</v>
      </c>
      <c r="W33" s="234">
        <f t="shared" si="4"/>
        <v>-34.923460744756213</v>
      </c>
      <c r="X33" s="210"/>
      <c r="Y33" s="179"/>
    </row>
    <row r="34" spans="1:25" x14ac:dyDescent="0.25">
      <c r="A34" s="233" t="s">
        <v>148</v>
      </c>
      <c r="B34" s="181" t="s">
        <v>149</v>
      </c>
      <c r="C34" s="182"/>
      <c r="D34" s="182">
        <v>10.795999999999999</v>
      </c>
      <c r="E34" s="182">
        <v>19.704699999999999</v>
      </c>
      <c r="F34" s="183">
        <f>12088.9/1000</f>
        <v>12.088899999999999</v>
      </c>
      <c r="G34" s="183">
        <f t="shared" si="5"/>
        <v>12.088899999999999</v>
      </c>
      <c r="H34" s="184">
        <f>12088.9/1000</f>
        <v>12.088899999999999</v>
      </c>
      <c r="I34" s="184"/>
      <c r="J34" s="185">
        <f t="shared" si="6"/>
        <v>0</v>
      </c>
      <c r="K34" s="185">
        <f t="shared" si="7"/>
        <v>0</v>
      </c>
      <c r="L34" s="186">
        <f>12088.9/1000</f>
        <v>12.088899999999999</v>
      </c>
      <c r="M34" s="186">
        <f t="shared" si="14"/>
        <v>19.161799999999999</v>
      </c>
      <c r="N34" s="184">
        <f>19161.8/1000</f>
        <v>19.161799999999999</v>
      </c>
      <c r="O34" s="184"/>
      <c r="P34" s="185">
        <f t="shared" si="1"/>
        <v>-7.0729000000000006</v>
      </c>
      <c r="Q34" s="185">
        <f t="shared" si="10"/>
        <v>-36.911459257481042</v>
      </c>
      <c r="R34" s="186">
        <f>12588.9/1000</f>
        <v>12.588899999999999</v>
      </c>
      <c r="S34" s="186">
        <f t="shared" si="15"/>
        <v>332.97149999999999</v>
      </c>
      <c r="T34" s="184">
        <f>332971.5/1000</f>
        <v>332.97149999999999</v>
      </c>
      <c r="U34" s="184"/>
      <c r="V34" s="187">
        <f t="shared" si="3"/>
        <v>-320.38259999999997</v>
      </c>
      <c r="W34" s="234">
        <f t="shared" si="4"/>
        <v>-96.219225969790202</v>
      </c>
      <c r="X34" s="210"/>
      <c r="Y34" s="179"/>
    </row>
    <row r="35" spans="1:25" ht="39.6" x14ac:dyDescent="0.25">
      <c r="A35" s="225" t="s">
        <v>150</v>
      </c>
      <c r="B35" s="226" t="s">
        <v>151</v>
      </c>
      <c r="C35" s="227">
        <v>755.07169999999996</v>
      </c>
      <c r="D35" s="227">
        <v>837.22910000000002</v>
      </c>
      <c r="E35" s="227">
        <v>871.08789999999999</v>
      </c>
      <c r="F35" s="228">
        <f>1777185.8/1000</f>
        <v>1777.1858</v>
      </c>
      <c r="G35" s="190">
        <f>H35+I35</f>
        <v>1777.1857999999997</v>
      </c>
      <c r="H35" s="229">
        <f>1736571.4/1000</f>
        <v>1736.5713999999998</v>
      </c>
      <c r="I35" s="228">
        <f>40614.4/1000</f>
        <v>40.614400000000003</v>
      </c>
      <c r="J35" s="191">
        <f t="shared" si="6"/>
        <v>0</v>
      </c>
      <c r="K35" s="191">
        <f t="shared" si="7"/>
        <v>0</v>
      </c>
      <c r="L35" s="228">
        <f>1099727.5/1000</f>
        <v>1099.7275</v>
      </c>
      <c r="M35" s="228">
        <f>N35+O35</f>
        <v>1521.8444</v>
      </c>
      <c r="N35" s="229">
        <f>1510249.3/1000</f>
        <v>1510.2492999999999</v>
      </c>
      <c r="O35" s="229">
        <f>11595.1/1000</f>
        <v>11.5951</v>
      </c>
      <c r="P35" s="230">
        <f t="shared" si="1"/>
        <v>-422.11689999999999</v>
      </c>
      <c r="Q35" s="230">
        <f t="shared" si="10"/>
        <v>-27.737191791749538</v>
      </c>
      <c r="R35" s="228">
        <f>1139219/1000</f>
        <v>1139.2190000000001</v>
      </c>
      <c r="S35" s="228">
        <f>1117793.1/1000</f>
        <v>1117.7931000000001</v>
      </c>
      <c r="T35" s="229">
        <f>1117793.1/1000</f>
        <v>1117.7931000000001</v>
      </c>
      <c r="U35" s="229">
        <f>11595.1/1000</f>
        <v>11.5951</v>
      </c>
      <c r="V35" s="231">
        <f t="shared" si="3"/>
        <v>21.425899999999956</v>
      </c>
      <c r="W35" s="232">
        <f t="shared" si="4"/>
        <v>1.9168037448075097</v>
      </c>
      <c r="X35" s="211">
        <f>M35+11.5951</f>
        <v>1533.4395</v>
      </c>
      <c r="Y35" s="180">
        <f>S35+11.5951</f>
        <v>1129.3882000000001</v>
      </c>
    </row>
    <row r="36" spans="1:25" ht="66" x14ac:dyDescent="0.25">
      <c r="A36" s="225" t="s">
        <v>152</v>
      </c>
      <c r="B36" s="226" t="s">
        <v>153</v>
      </c>
      <c r="C36" s="227">
        <f>C37+C38+C39+C40</f>
        <v>1668.3201000000001</v>
      </c>
      <c r="D36" s="227">
        <f>D37+D38+D39+D40</f>
        <v>1139.4395999999999</v>
      </c>
      <c r="E36" s="227">
        <f>E37+E38+E39+E40</f>
        <v>903.73830000000009</v>
      </c>
      <c r="F36" s="228">
        <f>F37+F38+F39+F40</f>
        <v>854.43090000000007</v>
      </c>
      <c r="G36" s="190">
        <f t="shared" si="5"/>
        <v>854.43089999999984</v>
      </c>
      <c r="H36" s="229">
        <f>H37+H38+H39+H40</f>
        <v>647.23179999999991</v>
      </c>
      <c r="I36" s="229">
        <f>I37+I38+I39+I40</f>
        <v>207.19909999999999</v>
      </c>
      <c r="J36" s="191">
        <f t="shared" si="6"/>
        <v>0</v>
      </c>
      <c r="K36" s="191">
        <f t="shared" si="7"/>
        <v>0</v>
      </c>
      <c r="L36" s="228">
        <f>L37+L38+L39+L40</f>
        <v>529.48270000000002</v>
      </c>
      <c r="M36" s="228">
        <f>M37+M38+M39+M40</f>
        <v>1386.2944000000002</v>
      </c>
      <c r="N36" s="229">
        <f>N37+N38+N39+N40</f>
        <v>870.54920000000004</v>
      </c>
      <c r="O36" s="229">
        <f>O37+O38+O39+O40</f>
        <v>515.74519999999995</v>
      </c>
      <c r="P36" s="230">
        <f t="shared" si="1"/>
        <v>-856.8117000000002</v>
      </c>
      <c r="Q36" s="230">
        <f t="shared" si="10"/>
        <v>-61.805897794869551</v>
      </c>
      <c r="R36" s="228">
        <f>R37+R38+R39+R40</f>
        <v>852.48789999999997</v>
      </c>
      <c r="S36" s="228">
        <f>S37+S38+S39+S40</f>
        <v>1386.2944000000002</v>
      </c>
      <c r="T36" s="229">
        <f>T37+T38+T39+T40</f>
        <v>870.54920000000004</v>
      </c>
      <c r="U36" s="229">
        <f>U37+U38+U39+U40</f>
        <v>515.74519999999995</v>
      </c>
      <c r="V36" s="231">
        <f t="shared" si="3"/>
        <v>-533.80650000000026</v>
      </c>
      <c r="W36" s="232">
        <f t="shared" si="4"/>
        <v>-38.505998437272794</v>
      </c>
      <c r="X36" s="211">
        <f>M36+515.7452</f>
        <v>1902.0396000000001</v>
      </c>
      <c r="Y36" s="180">
        <f>S36+515.7452</f>
        <v>1902.0396000000001</v>
      </c>
    </row>
    <row r="37" spans="1:25" ht="39.6" x14ac:dyDescent="0.25">
      <c r="A37" s="233" t="s">
        <v>154</v>
      </c>
      <c r="B37" s="181" t="s">
        <v>155</v>
      </c>
      <c r="C37" s="182">
        <v>1459.1256000000001</v>
      </c>
      <c r="D37" s="182">
        <v>926.69759999999997</v>
      </c>
      <c r="E37" s="182">
        <v>656.97900000000004</v>
      </c>
      <c r="F37" s="183">
        <f>553989.9/1000</f>
        <v>553.98990000000003</v>
      </c>
      <c r="G37" s="183">
        <f t="shared" si="5"/>
        <v>553.98990000000003</v>
      </c>
      <c r="H37" s="184">
        <f>412938.5/1000</f>
        <v>412.93849999999998</v>
      </c>
      <c r="I37" s="184">
        <f>141051.4/1000</f>
        <v>141.0514</v>
      </c>
      <c r="J37" s="185">
        <f>F37-G37</f>
        <v>0</v>
      </c>
      <c r="K37" s="185">
        <f t="shared" si="7"/>
        <v>0</v>
      </c>
      <c r="L37" s="186">
        <f>233925.8/1000</f>
        <v>233.92579999999998</v>
      </c>
      <c r="M37" s="186">
        <f>N37+O37</f>
        <v>1173.2296000000001</v>
      </c>
      <c r="N37" s="184">
        <f>658000/1000</f>
        <v>658</v>
      </c>
      <c r="O37" s="184">
        <f>515229.6/1000</f>
        <v>515.2296</v>
      </c>
      <c r="P37" s="185">
        <f t="shared" si="1"/>
        <v>-939.30380000000014</v>
      </c>
      <c r="Q37" s="185">
        <f t="shared" si="10"/>
        <v>-80.061379290123611</v>
      </c>
      <c r="R37" s="186">
        <f>592437.2/1000</f>
        <v>592.43719999999996</v>
      </c>
      <c r="S37" s="186">
        <f>T37+U37</f>
        <v>1173.2296000000001</v>
      </c>
      <c r="T37" s="184">
        <f>658000/1000</f>
        <v>658</v>
      </c>
      <c r="U37" s="184">
        <f>515229.6/1000</f>
        <v>515.2296</v>
      </c>
      <c r="V37" s="187">
        <f t="shared" si="3"/>
        <v>-580.79240000000016</v>
      </c>
      <c r="W37" s="234">
        <f t="shared" si="4"/>
        <v>-49.503728852391724</v>
      </c>
      <c r="X37" s="210"/>
      <c r="Y37" s="179"/>
    </row>
    <row r="38" spans="1:25" ht="26.4" x14ac:dyDescent="0.25">
      <c r="A38" s="233" t="s">
        <v>156</v>
      </c>
      <c r="B38" s="181" t="s">
        <v>157</v>
      </c>
      <c r="C38" s="182">
        <v>1.9085000000000001</v>
      </c>
      <c r="D38" s="182">
        <v>1.7656000000000001</v>
      </c>
      <c r="E38" s="182">
        <v>3.4338000000000002</v>
      </c>
      <c r="F38" s="183">
        <f>2645.2/1000</f>
        <v>2.6452</v>
      </c>
      <c r="G38" s="183">
        <f t="shared" si="5"/>
        <v>2.6452</v>
      </c>
      <c r="H38" s="184">
        <f>2189.5/1000</f>
        <v>2.1894999999999998</v>
      </c>
      <c r="I38" s="184">
        <f>455.7/1000</f>
        <v>0.45569999999999999</v>
      </c>
      <c r="J38" s="185">
        <f t="shared" si="6"/>
        <v>0</v>
      </c>
      <c r="K38" s="185">
        <f t="shared" si="7"/>
        <v>0</v>
      </c>
      <c r="L38" s="186">
        <f>2465/1000</f>
        <v>2.4649999999999999</v>
      </c>
      <c r="M38" s="186">
        <f t="shared" ref="M38:M40" si="16">N38+O38</f>
        <v>2.3506</v>
      </c>
      <c r="N38" s="184">
        <f>1835/1000</f>
        <v>1.835</v>
      </c>
      <c r="O38" s="184">
        <f>515.6/1000</f>
        <v>0.51560000000000006</v>
      </c>
      <c r="P38" s="185">
        <f t="shared" si="1"/>
        <v>0.11439999999999984</v>
      </c>
      <c r="Q38" s="185">
        <f t="shared" si="10"/>
        <v>4.8668425082957469</v>
      </c>
      <c r="R38" s="186">
        <f>2465/1000</f>
        <v>2.4649999999999999</v>
      </c>
      <c r="S38" s="186">
        <f t="shared" ref="S38:S40" si="17">T38+U38</f>
        <v>2.3506</v>
      </c>
      <c r="T38" s="184">
        <f>1835/1000</f>
        <v>1.835</v>
      </c>
      <c r="U38" s="184">
        <f>515.6/1000</f>
        <v>0.51560000000000006</v>
      </c>
      <c r="V38" s="187">
        <f t="shared" si="3"/>
        <v>0.11439999999999984</v>
      </c>
      <c r="W38" s="234">
        <f t="shared" si="4"/>
        <v>4.8668425082957469</v>
      </c>
      <c r="X38" s="210"/>
      <c r="Y38" s="179"/>
    </row>
    <row r="39" spans="1:25" ht="26.4" x14ac:dyDescent="0.25">
      <c r="A39" s="233" t="s">
        <v>158</v>
      </c>
      <c r="B39" s="181" t="s">
        <v>159</v>
      </c>
      <c r="C39" s="182">
        <v>207.286</v>
      </c>
      <c r="D39" s="182">
        <v>210.97640000000001</v>
      </c>
      <c r="E39" s="182">
        <v>238.32550000000001</v>
      </c>
      <c r="F39" s="183">
        <f>222098.7/1000</f>
        <v>222.09870000000001</v>
      </c>
      <c r="G39" s="183">
        <f t="shared" si="5"/>
        <v>222.09870000000001</v>
      </c>
      <c r="H39" s="184">
        <f>222098.7/1000</f>
        <v>222.09870000000001</v>
      </c>
      <c r="I39" s="184"/>
      <c r="J39" s="185">
        <f t="shared" si="6"/>
        <v>0</v>
      </c>
      <c r="K39" s="185">
        <f t="shared" si="7"/>
        <v>0</v>
      </c>
      <c r="L39" s="186">
        <f>212273.9/1000</f>
        <v>212.2739</v>
      </c>
      <c r="M39" s="186">
        <f t="shared" si="16"/>
        <v>205.71420000000001</v>
      </c>
      <c r="N39" s="184">
        <f>205714.2/1000</f>
        <v>205.71420000000001</v>
      </c>
      <c r="O39" s="184"/>
      <c r="P39" s="185">
        <f t="shared" si="1"/>
        <v>6.5596999999999923</v>
      </c>
      <c r="Q39" s="185">
        <f t="shared" si="10"/>
        <v>3.1887443841990546</v>
      </c>
      <c r="R39" s="186">
        <f>222617.7/1000</f>
        <v>222.61770000000001</v>
      </c>
      <c r="S39" s="186">
        <f t="shared" si="17"/>
        <v>205.71420000000001</v>
      </c>
      <c r="T39" s="184">
        <f>205714.2/1000</f>
        <v>205.71420000000001</v>
      </c>
      <c r="U39" s="184"/>
      <c r="V39" s="187">
        <f t="shared" si="3"/>
        <v>16.903500000000008</v>
      </c>
      <c r="W39" s="234">
        <f t="shared" si="4"/>
        <v>8.2169825904094154</v>
      </c>
      <c r="X39" s="210"/>
      <c r="Y39" s="179"/>
    </row>
    <row r="40" spans="1:25" ht="39.6" x14ac:dyDescent="0.25">
      <c r="A40" s="233" t="s">
        <v>160</v>
      </c>
      <c r="B40" s="181" t="s">
        <v>161</v>
      </c>
      <c r="C40" s="182"/>
      <c r="D40" s="182"/>
      <c r="E40" s="182">
        <v>5</v>
      </c>
      <c r="F40" s="183">
        <f>75697.1/1000</f>
        <v>75.697100000000006</v>
      </c>
      <c r="G40" s="183">
        <f t="shared" si="5"/>
        <v>75.697099999999992</v>
      </c>
      <c r="H40" s="184">
        <f>10005.1/1000</f>
        <v>10.005100000000001</v>
      </c>
      <c r="I40" s="184">
        <f>65692/1000</f>
        <v>65.691999999999993</v>
      </c>
      <c r="J40" s="185">
        <f t="shared" si="6"/>
        <v>0</v>
      </c>
      <c r="K40" s="185">
        <f t="shared" si="7"/>
        <v>0</v>
      </c>
      <c r="L40" s="186">
        <f>80818/1000</f>
        <v>80.817999999999998</v>
      </c>
      <c r="M40" s="186">
        <f t="shared" si="16"/>
        <v>5</v>
      </c>
      <c r="N40" s="184">
        <f>5000/1000</f>
        <v>5</v>
      </c>
      <c r="O40" s="184">
        <v>0</v>
      </c>
      <c r="P40" s="185">
        <f t="shared" si="1"/>
        <v>75.817999999999998</v>
      </c>
      <c r="Q40" s="185">
        <f t="shared" si="10"/>
        <v>1516.36</v>
      </c>
      <c r="R40" s="186">
        <f>34968/1000</f>
        <v>34.968000000000004</v>
      </c>
      <c r="S40" s="186">
        <f t="shared" si="17"/>
        <v>5</v>
      </c>
      <c r="T40" s="184">
        <f>5000/1000</f>
        <v>5</v>
      </c>
      <c r="U40" s="184">
        <v>0</v>
      </c>
      <c r="V40" s="187">
        <f t="shared" si="3"/>
        <v>29.968000000000004</v>
      </c>
      <c r="W40" s="234">
        <f t="shared" si="4"/>
        <v>599.36000000000013</v>
      </c>
      <c r="X40" s="210"/>
      <c r="Y40" s="179"/>
    </row>
    <row r="41" spans="1:25" ht="66" x14ac:dyDescent="0.25">
      <c r="A41" s="225" t="s">
        <v>162</v>
      </c>
      <c r="B41" s="226" t="s">
        <v>163</v>
      </c>
      <c r="C41" s="227">
        <f>C42+C43+C46</f>
        <v>496.28110000000004</v>
      </c>
      <c r="D41" s="227">
        <f>D42+D43+D46</f>
        <v>409.57940000000002</v>
      </c>
      <c r="E41" s="227">
        <f>E42+E43+E46</f>
        <v>360.6549</v>
      </c>
      <c r="F41" s="228">
        <f>F42+F43+F46</f>
        <v>466.24009999999998</v>
      </c>
      <c r="G41" s="190">
        <f t="shared" si="5"/>
        <v>466.24009999999998</v>
      </c>
      <c r="H41" s="229">
        <f>H42+H43+H46</f>
        <v>390.99970000000002</v>
      </c>
      <c r="I41" s="229">
        <f>I42+I43+I46</f>
        <v>75.240399999999994</v>
      </c>
      <c r="J41" s="191">
        <f t="shared" si="6"/>
        <v>0</v>
      </c>
      <c r="K41" s="191">
        <f t="shared" si="7"/>
        <v>0</v>
      </c>
      <c r="L41" s="228">
        <f>L42+L43+L46</f>
        <v>260.03319999999997</v>
      </c>
      <c r="M41" s="228">
        <f>SUM(M42:M46)</f>
        <v>1798.6556</v>
      </c>
      <c r="N41" s="229">
        <f>SUM(N42:N46)</f>
        <v>1748.6556</v>
      </c>
      <c r="O41" s="229">
        <f>SUM(O42:O46)</f>
        <v>50</v>
      </c>
      <c r="P41" s="230">
        <f t="shared" si="1"/>
        <v>-1538.6224000000002</v>
      </c>
      <c r="Q41" s="230">
        <f t="shared" si="10"/>
        <v>-85.542913273669512</v>
      </c>
      <c r="R41" s="228">
        <f>SUM(R42:R46)</f>
        <v>280.87130000000002</v>
      </c>
      <c r="S41" s="228">
        <f>SUM(S42:S46)</f>
        <v>1965.8332</v>
      </c>
      <c r="T41" s="229">
        <f>SUM(T42:T46)</f>
        <v>1915.8332</v>
      </c>
      <c r="U41" s="229"/>
      <c r="V41" s="231">
        <f t="shared" si="3"/>
        <v>-1684.9619</v>
      </c>
      <c r="W41" s="232">
        <f t="shared" si="4"/>
        <v>-85.712353418387679</v>
      </c>
      <c r="X41" s="211">
        <f>M41+62.7167</f>
        <v>1861.3723</v>
      </c>
      <c r="Y41" s="180">
        <f>S41+62.4403</f>
        <v>2028.2735</v>
      </c>
    </row>
    <row r="42" spans="1:25" ht="39.6" x14ac:dyDescent="0.25">
      <c r="A42" s="233" t="s">
        <v>164</v>
      </c>
      <c r="B42" s="181" t="s">
        <v>165</v>
      </c>
      <c r="C42" s="182">
        <v>260.01350000000002</v>
      </c>
      <c r="D42" s="182">
        <v>232.6524</v>
      </c>
      <c r="E42" s="182">
        <v>135.37950000000001</v>
      </c>
      <c r="F42" s="183">
        <f>211236.8/1000</f>
        <v>211.23679999999999</v>
      </c>
      <c r="G42" s="183">
        <f t="shared" si="5"/>
        <v>211.23680000000002</v>
      </c>
      <c r="H42" s="184">
        <f>202624.6/1000</f>
        <v>202.62460000000002</v>
      </c>
      <c r="I42" s="184">
        <f>8612.2/1000</f>
        <v>8.6122000000000014</v>
      </c>
      <c r="J42" s="185">
        <f t="shared" si="6"/>
        <v>0</v>
      </c>
      <c r="K42" s="185">
        <f t="shared" si="7"/>
        <v>0</v>
      </c>
      <c r="L42" s="186">
        <f>87211.3/1000</f>
        <v>87.211300000000008</v>
      </c>
      <c r="M42" s="192">
        <f>O42+N42</f>
        <v>1564.7626</v>
      </c>
      <c r="N42" s="193">
        <f>1564762.6/1000</f>
        <v>1564.7626</v>
      </c>
      <c r="O42" s="194"/>
      <c r="P42" s="185">
        <f t="shared" si="1"/>
        <v>-1477.5513000000001</v>
      </c>
      <c r="Q42" s="185">
        <f t="shared" si="10"/>
        <v>-94.426547515897937</v>
      </c>
      <c r="R42" s="186">
        <f>105545.1/1000</f>
        <v>105.54510000000001</v>
      </c>
      <c r="S42" s="186">
        <f>T42+U42</f>
        <v>1730.4322</v>
      </c>
      <c r="T42" s="184">
        <f>1730432.2/1000</f>
        <v>1730.4322</v>
      </c>
      <c r="U42" s="184"/>
      <c r="V42" s="187">
        <f t="shared" si="3"/>
        <v>-1624.8870999999999</v>
      </c>
      <c r="W42" s="234">
        <f t="shared" si="4"/>
        <v>-93.900650947202664</v>
      </c>
      <c r="X42" s="210"/>
      <c r="Y42" s="179"/>
    </row>
    <row r="43" spans="1:25" ht="26.4" x14ac:dyDescent="0.25">
      <c r="A43" s="233" t="s">
        <v>166</v>
      </c>
      <c r="B43" s="181" t="s">
        <v>167</v>
      </c>
      <c r="C43" s="182">
        <v>98.438400000000001</v>
      </c>
      <c r="D43" s="182">
        <v>38.064</v>
      </c>
      <c r="E43" s="182">
        <v>82.412899999999993</v>
      </c>
      <c r="F43" s="183">
        <f>129708.2/1000</f>
        <v>129.70820000000001</v>
      </c>
      <c r="G43" s="183">
        <f t="shared" si="5"/>
        <v>129.70819999999998</v>
      </c>
      <c r="H43" s="184">
        <f>63080/1000</f>
        <v>63.08</v>
      </c>
      <c r="I43" s="184">
        <f>66628.2/1000</f>
        <v>66.628199999999993</v>
      </c>
      <c r="J43" s="185">
        <f t="shared" si="6"/>
        <v>0</v>
      </c>
      <c r="K43" s="185">
        <f t="shared" si="7"/>
        <v>0</v>
      </c>
      <c r="L43" s="186">
        <f>50000/1000</f>
        <v>50</v>
      </c>
      <c r="M43" s="192">
        <f t="shared" ref="M43:M46" si="18">O43+N43</f>
        <v>112</v>
      </c>
      <c r="N43" s="184">
        <f>62000/1000</f>
        <v>62</v>
      </c>
      <c r="O43" s="184">
        <f>50000/1000</f>
        <v>50</v>
      </c>
      <c r="P43" s="185">
        <f t="shared" si="1"/>
        <v>-62</v>
      </c>
      <c r="Q43" s="185">
        <f t="shared" si="10"/>
        <v>-55.357142857142854</v>
      </c>
      <c r="R43" s="186">
        <f>50000/1000</f>
        <v>50</v>
      </c>
      <c r="S43" s="186">
        <f t="shared" ref="S43:S46" si="19">T43+U43</f>
        <v>111</v>
      </c>
      <c r="T43" s="184">
        <f>61000/1000</f>
        <v>61</v>
      </c>
      <c r="U43" s="184">
        <f>50000/1000</f>
        <v>50</v>
      </c>
      <c r="V43" s="187">
        <f t="shared" si="3"/>
        <v>-61</v>
      </c>
      <c r="W43" s="234">
        <f t="shared" si="4"/>
        <v>-54.954954954954957</v>
      </c>
      <c r="X43" s="210"/>
      <c r="Y43" s="179"/>
    </row>
    <row r="44" spans="1:25" ht="39.6" hidden="1" x14ac:dyDescent="0.25">
      <c r="A44" s="233" t="s">
        <v>168</v>
      </c>
      <c r="B44" s="181"/>
      <c r="C44" s="182"/>
      <c r="D44" s="182"/>
      <c r="E44" s="182"/>
      <c r="F44" s="183"/>
      <c r="G44" s="183">
        <f t="shared" si="5"/>
        <v>0</v>
      </c>
      <c r="H44" s="184"/>
      <c r="I44" s="184"/>
      <c r="J44" s="185">
        <f t="shared" si="6"/>
        <v>0</v>
      </c>
      <c r="K44" s="185" t="e">
        <f t="shared" si="7"/>
        <v>#DIV/0!</v>
      </c>
      <c r="L44" s="186"/>
      <c r="M44" s="192">
        <f t="shared" si="18"/>
        <v>0</v>
      </c>
      <c r="N44" s="184"/>
      <c r="O44" s="184"/>
      <c r="P44" s="185">
        <f t="shared" si="1"/>
        <v>0</v>
      </c>
      <c r="Q44" s="185" t="e">
        <f t="shared" si="10"/>
        <v>#DIV/0!</v>
      </c>
      <c r="R44" s="186"/>
      <c r="S44" s="186">
        <f t="shared" si="19"/>
        <v>0</v>
      </c>
      <c r="T44" s="184"/>
      <c r="U44" s="184"/>
      <c r="V44" s="187">
        <f t="shared" si="3"/>
        <v>0</v>
      </c>
      <c r="W44" s="234" t="e">
        <f t="shared" si="4"/>
        <v>#DIV/0!</v>
      </c>
      <c r="X44" s="210"/>
      <c r="Y44" s="179"/>
    </row>
    <row r="45" spans="1:25" ht="50.25" customHeight="1" x14ac:dyDescent="0.25">
      <c r="A45" s="233" t="s">
        <v>379</v>
      </c>
      <c r="B45" s="181"/>
      <c r="C45" s="182"/>
      <c r="D45" s="182"/>
      <c r="E45" s="182"/>
      <c r="F45" s="183"/>
      <c r="G45" s="183">
        <f t="shared" si="5"/>
        <v>0</v>
      </c>
      <c r="H45" s="184"/>
      <c r="I45" s="184"/>
      <c r="J45" s="185">
        <f t="shared" si="6"/>
        <v>0</v>
      </c>
      <c r="K45" s="185">
        <v>0</v>
      </c>
      <c r="L45" s="186">
        <v>0</v>
      </c>
      <c r="M45" s="192">
        <f t="shared" si="18"/>
        <v>0.44669999999999999</v>
      </c>
      <c r="N45" s="184">
        <f>446.7/1000</f>
        <v>0.44669999999999999</v>
      </c>
      <c r="O45" s="184"/>
      <c r="P45" s="185">
        <f t="shared" si="1"/>
        <v>-0.44669999999999999</v>
      </c>
      <c r="Q45" s="185">
        <f t="shared" si="10"/>
        <v>-100</v>
      </c>
      <c r="R45" s="186"/>
      <c r="S45" s="186">
        <f t="shared" si="19"/>
        <v>0.45039999999999997</v>
      </c>
      <c r="T45" s="184">
        <f>450.4/1000</f>
        <v>0.45039999999999997</v>
      </c>
      <c r="U45" s="184"/>
      <c r="V45" s="187">
        <f t="shared" si="3"/>
        <v>-0.45039999999999997</v>
      </c>
      <c r="W45" s="234">
        <f t="shared" si="4"/>
        <v>-100</v>
      </c>
      <c r="X45" s="210"/>
      <c r="Y45" s="179"/>
    </row>
    <row r="46" spans="1:25" ht="26.4" x14ac:dyDescent="0.25">
      <c r="A46" s="233" t="s">
        <v>158</v>
      </c>
      <c r="B46" s="181" t="s">
        <v>169</v>
      </c>
      <c r="C46" s="182">
        <v>137.82919999999999</v>
      </c>
      <c r="D46" s="182">
        <v>138.863</v>
      </c>
      <c r="E46" s="182">
        <v>142.86250000000001</v>
      </c>
      <c r="F46" s="183">
        <f>125295.1/1000</f>
        <v>125.29510000000001</v>
      </c>
      <c r="G46" s="183">
        <f t="shared" si="5"/>
        <v>125.29510000000001</v>
      </c>
      <c r="H46" s="184">
        <f>125295.1/1000</f>
        <v>125.29510000000001</v>
      </c>
      <c r="I46" s="184"/>
      <c r="J46" s="185">
        <f t="shared" si="6"/>
        <v>0</v>
      </c>
      <c r="K46" s="185">
        <f t="shared" si="7"/>
        <v>0</v>
      </c>
      <c r="L46" s="186">
        <f>122821.9/1000</f>
        <v>122.8219</v>
      </c>
      <c r="M46" s="192">
        <f t="shared" si="18"/>
        <v>121.44630000000001</v>
      </c>
      <c r="N46" s="184">
        <f>121446.3/1000</f>
        <v>121.44630000000001</v>
      </c>
      <c r="O46" s="184"/>
      <c r="P46" s="185">
        <f t="shared" si="1"/>
        <v>1.3755999999999915</v>
      </c>
      <c r="Q46" s="185">
        <f t="shared" si="10"/>
        <v>1.1326816872971932</v>
      </c>
      <c r="R46" s="186">
        <f>125326.2/1000</f>
        <v>125.3262</v>
      </c>
      <c r="S46" s="186">
        <f t="shared" si="19"/>
        <v>123.95060000000001</v>
      </c>
      <c r="T46" s="184">
        <f>123950.6/1000</f>
        <v>123.95060000000001</v>
      </c>
      <c r="U46" s="184"/>
      <c r="V46" s="187">
        <f t="shared" si="3"/>
        <v>1.3755999999999915</v>
      </c>
      <c r="W46" s="234">
        <f t="shared" si="4"/>
        <v>1.109796967501552</v>
      </c>
      <c r="X46" s="210"/>
      <c r="Y46" s="179"/>
    </row>
    <row r="47" spans="1:25" ht="52.8" x14ac:dyDescent="0.25">
      <c r="A47" s="225" t="s">
        <v>170</v>
      </c>
      <c r="B47" s="226" t="s">
        <v>171</v>
      </c>
      <c r="C47" s="227" t="e">
        <f>C48+C49+#REF!+C51</f>
        <v>#REF!</v>
      </c>
      <c r="D47" s="227" t="e">
        <f>D48+D49+#REF!+D51</f>
        <v>#REF!</v>
      </c>
      <c r="E47" s="227" t="e">
        <f>E48+E49+#REF!+E51</f>
        <v>#REF!</v>
      </c>
      <c r="F47" s="228">
        <f>F48+F49+F51+F50+F52</f>
        <v>865.79750000000001</v>
      </c>
      <c r="G47" s="190">
        <f t="shared" si="5"/>
        <v>865.79750000000001</v>
      </c>
      <c r="H47" s="229">
        <f>H48+H49+H51+H50+H52</f>
        <v>422.65379999999999</v>
      </c>
      <c r="I47" s="229">
        <f>I48+I49+I51+I50+I52</f>
        <v>443.14370000000002</v>
      </c>
      <c r="J47" s="191">
        <f t="shared" si="6"/>
        <v>0</v>
      </c>
      <c r="K47" s="191">
        <f t="shared" si="7"/>
        <v>0</v>
      </c>
      <c r="L47" s="228">
        <f>L48+L49+L51+L50+L52</f>
        <v>888.49079999999992</v>
      </c>
      <c r="M47" s="228">
        <f>M48+M49+M51+M50+M52</f>
        <v>888.49480000000005</v>
      </c>
      <c r="N47" s="229">
        <f>N48+N49+N51+N50+N52</f>
        <v>427.21189999999996</v>
      </c>
      <c r="O47" s="229">
        <f>O48+O49+O51+O50+O52</f>
        <v>461.28289999999998</v>
      </c>
      <c r="P47" s="230">
        <f t="shared" si="1"/>
        <v>-4.0000000001327862E-3</v>
      </c>
      <c r="Q47" s="230">
        <f t="shared" si="10"/>
        <v>-4.5019959600267612E-4</v>
      </c>
      <c r="R47" s="228">
        <f>R48+R49+R51+R50+R52</f>
        <v>907.98860000000002</v>
      </c>
      <c r="S47" s="228">
        <f>S48+S49+S51+S50+S52</f>
        <v>907.98860000000002</v>
      </c>
      <c r="T47" s="229">
        <f>T48+T49+T51+T50+T52</f>
        <v>438.31269999999995</v>
      </c>
      <c r="U47" s="229">
        <f>U48+U49+U51+U50+U52</f>
        <v>469.67590000000001</v>
      </c>
      <c r="V47" s="231">
        <f t="shared" si="3"/>
        <v>0</v>
      </c>
      <c r="W47" s="232">
        <f t="shared" si="4"/>
        <v>0</v>
      </c>
      <c r="X47" s="211">
        <f>M47+444.4174</f>
        <v>1332.9122</v>
      </c>
      <c r="Y47" s="180">
        <f>S47+454.4565</f>
        <v>1362.4450999999999</v>
      </c>
    </row>
    <row r="48" spans="1:25" ht="39.6" x14ac:dyDescent="0.25">
      <c r="A48" s="233" t="s">
        <v>172</v>
      </c>
      <c r="B48" s="181" t="s">
        <v>173</v>
      </c>
      <c r="C48" s="182">
        <v>828.43610000000001</v>
      </c>
      <c r="D48" s="182">
        <v>867.77940000000001</v>
      </c>
      <c r="E48" s="182">
        <v>871.60350000000005</v>
      </c>
      <c r="F48" s="183">
        <f>837034.5/1000</f>
        <v>837.03449999999998</v>
      </c>
      <c r="G48" s="183">
        <f t="shared" si="5"/>
        <v>837.03449999999998</v>
      </c>
      <c r="H48" s="184">
        <f>407390.8/1000</f>
        <v>407.39080000000001</v>
      </c>
      <c r="I48" s="184">
        <f>429643.7/1000</f>
        <v>429.64370000000002</v>
      </c>
      <c r="J48" s="185">
        <f t="shared" si="6"/>
        <v>0</v>
      </c>
      <c r="K48" s="185">
        <f t="shared" si="7"/>
        <v>0</v>
      </c>
      <c r="L48" s="186">
        <f>872227.1/1000</f>
        <v>872.22709999999995</v>
      </c>
      <c r="M48" s="186">
        <f>N48+O48</f>
        <v>872.22710000000006</v>
      </c>
      <c r="N48" s="184">
        <f>412047.3/1000</f>
        <v>412.04730000000001</v>
      </c>
      <c r="O48" s="184">
        <f>460179.8/1000</f>
        <v>460.1798</v>
      </c>
      <c r="P48" s="185">
        <f t="shared" si="1"/>
        <v>0</v>
      </c>
      <c r="Q48" s="185">
        <f t="shared" si="10"/>
        <v>0</v>
      </c>
      <c r="R48" s="186">
        <f>891727.4/1000</f>
        <v>891.72739999999999</v>
      </c>
      <c r="S48" s="186">
        <f>T48+U48</f>
        <v>891.72739999999999</v>
      </c>
      <c r="T48" s="184">
        <f>423152.4/1000</f>
        <v>423.1524</v>
      </c>
      <c r="U48" s="184">
        <f>468575/1000</f>
        <v>468.57499999999999</v>
      </c>
      <c r="V48" s="187">
        <f t="shared" si="3"/>
        <v>0</v>
      </c>
      <c r="W48" s="234">
        <f t="shared" si="4"/>
        <v>0</v>
      </c>
      <c r="X48" s="210"/>
      <c r="Y48" s="179"/>
    </row>
    <row r="49" spans="1:25" ht="39.6" x14ac:dyDescent="0.25">
      <c r="A49" s="233" t="s">
        <v>174</v>
      </c>
      <c r="B49" s="181" t="s">
        <v>175</v>
      </c>
      <c r="C49" s="182">
        <v>10.0901</v>
      </c>
      <c r="D49" s="182">
        <v>9.8375000000000004</v>
      </c>
      <c r="E49" s="182">
        <v>9.8488000000000007</v>
      </c>
      <c r="F49" s="183">
        <f>10203.8/1000</f>
        <v>10.203799999999999</v>
      </c>
      <c r="G49" s="183">
        <f t="shared" si="5"/>
        <v>10.203799999999999</v>
      </c>
      <c r="H49" s="184">
        <f>10203.8/1000</f>
        <v>10.203799999999999</v>
      </c>
      <c r="I49" s="184"/>
      <c r="J49" s="185">
        <f t="shared" si="6"/>
        <v>0</v>
      </c>
      <c r="K49" s="185">
        <f t="shared" si="7"/>
        <v>0</v>
      </c>
      <c r="L49" s="186">
        <f>10203.8/1000</f>
        <v>10.203799999999999</v>
      </c>
      <c r="M49" s="186">
        <f t="shared" ref="M49:M52" si="20">N49+O49</f>
        <v>10.203799999999999</v>
      </c>
      <c r="N49" s="184">
        <f>10203.8/1000</f>
        <v>10.203799999999999</v>
      </c>
      <c r="O49" s="184"/>
      <c r="P49" s="185">
        <f t="shared" si="1"/>
        <v>0</v>
      </c>
      <c r="Q49" s="185">
        <f t="shared" si="10"/>
        <v>0</v>
      </c>
      <c r="R49" s="186">
        <f>10203.8/1000</f>
        <v>10.203799999999999</v>
      </c>
      <c r="S49" s="186">
        <f t="shared" ref="S49:S52" si="21">T49+U49</f>
        <v>10.203799999999999</v>
      </c>
      <c r="T49" s="184">
        <f>10203.8/1000</f>
        <v>10.203799999999999</v>
      </c>
      <c r="U49" s="184"/>
      <c r="V49" s="187">
        <f t="shared" si="3"/>
        <v>0</v>
      </c>
      <c r="W49" s="234">
        <f t="shared" si="4"/>
        <v>0</v>
      </c>
      <c r="X49" s="210"/>
      <c r="Y49" s="179"/>
    </row>
    <row r="50" spans="1:25" ht="26.4" x14ac:dyDescent="0.25">
      <c r="A50" s="233" t="s">
        <v>176</v>
      </c>
      <c r="B50" s="181"/>
      <c r="C50" s="182"/>
      <c r="D50" s="182"/>
      <c r="E50" s="182"/>
      <c r="F50" s="183">
        <f>12750/1000</f>
        <v>12.75</v>
      </c>
      <c r="G50" s="183">
        <f t="shared" si="5"/>
        <v>12.75</v>
      </c>
      <c r="H50" s="184">
        <f>1275/1000</f>
        <v>1.2749999999999999</v>
      </c>
      <c r="I50" s="184">
        <f>11475/1000</f>
        <v>11.475</v>
      </c>
      <c r="J50" s="185">
        <f t="shared" si="6"/>
        <v>0</v>
      </c>
      <c r="K50" s="185">
        <f t="shared" si="7"/>
        <v>0</v>
      </c>
      <c r="L50" s="186">
        <f>1275/1000</f>
        <v>1.2749999999999999</v>
      </c>
      <c r="M50" s="186">
        <f t="shared" si="20"/>
        <v>1.2749999999999999</v>
      </c>
      <c r="N50" s="184">
        <f>1275/1000</f>
        <v>1.2749999999999999</v>
      </c>
      <c r="O50" s="184"/>
      <c r="P50" s="185">
        <f t="shared" si="1"/>
        <v>0</v>
      </c>
      <c r="Q50" s="185">
        <f t="shared" si="10"/>
        <v>0</v>
      </c>
      <c r="R50" s="186">
        <f>1275/1000</f>
        <v>1.2749999999999999</v>
      </c>
      <c r="S50" s="186">
        <f t="shared" si="21"/>
        <v>1.2749999999999999</v>
      </c>
      <c r="T50" s="184">
        <f>1275/1000</f>
        <v>1.2749999999999999</v>
      </c>
      <c r="U50" s="184"/>
      <c r="V50" s="187">
        <f t="shared" si="3"/>
        <v>0</v>
      </c>
      <c r="W50" s="234">
        <f t="shared" si="4"/>
        <v>0</v>
      </c>
      <c r="X50" s="210"/>
      <c r="Y50" s="179"/>
    </row>
    <row r="51" spans="1:25" ht="52.8" x14ac:dyDescent="0.25">
      <c r="A51" s="233" t="s">
        <v>177</v>
      </c>
      <c r="B51" s="181" t="s">
        <v>178</v>
      </c>
      <c r="C51" s="182">
        <v>0.66010000000000002</v>
      </c>
      <c r="D51" s="182">
        <v>1.996</v>
      </c>
      <c r="E51" s="182">
        <v>0.1173</v>
      </c>
      <c r="F51" s="183">
        <f>2250/1000</f>
        <v>2.25</v>
      </c>
      <c r="G51" s="183">
        <f t="shared" si="5"/>
        <v>2.25</v>
      </c>
      <c r="H51" s="184">
        <f>225/1000</f>
        <v>0.22500000000000001</v>
      </c>
      <c r="I51" s="184">
        <f>2025/1000</f>
        <v>2.0249999999999999</v>
      </c>
      <c r="J51" s="185">
        <f t="shared" si="6"/>
        <v>0</v>
      </c>
      <c r="K51" s="185">
        <f t="shared" si="7"/>
        <v>0</v>
      </c>
      <c r="L51" s="186">
        <f>1225.7/1000</f>
        <v>1.2257</v>
      </c>
      <c r="M51" s="186">
        <f t="shared" si="20"/>
        <v>1.2297</v>
      </c>
      <c r="N51" s="184">
        <f>126.6/1000</f>
        <v>0.12659999999999999</v>
      </c>
      <c r="O51" s="184">
        <f>1103.1/1000</f>
        <v>1.1031</v>
      </c>
      <c r="P51" s="185">
        <f t="shared" si="1"/>
        <v>-4.0000000000000036E-3</v>
      </c>
      <c r="Q51" s="185">
        <f t="shared" si="10"/>
        <v>-0.32528258924941156</v>
      </c>
      <c r="R51" s="186">
        <f>1223.2/1000</f>
        <v>1.2232000000000001</v>
      </c>
      <c r="S51" s="186">
        <f t="shared" si="21"/>
        <v>1.2232000000000001</v>
      </c>
      <c r="T51" s="184">
        <f>122.3/1000</f>
        <v>0.12229999999999999</v>
      </c>
      <c r="U51" s="184">
        <f>1100.9/1000</f>
        <v>1.1009</v>
      </c>
      <c r="V51" s="187">
        <f t="shared" si="3"/>
        <v>0</v>
      </c>
      <c r="W51" s="234">
        <f t="shared" si="4"/>
        <v>0</v>
      </c>
      <c r="X51" s="210"/>
      <c r="Y51" s="179"/>
    </row>
    <row r="52" spans="1:25" ht="92.4" x14ac:dyDescent="0.25">
      <c r="A52" s="233" t="s">
        <v>380</v>
      </c>
      <c r="B52" s="181"/>
      <c r="C52" s="182"/>
      <c r="D52" s="182"/>
      <c r="E52" s="182"/>
      <c r="F52" s="183">
        <f>3559.2/1000</f>
        <v>3.5591999999999997</v>
      </c>
      <c r="G52" s="183">
        <f t="shared" si="5"/>
        <v>3.5591999999999997</v>
      </c>
      <c r="H52" s="184">
        <f>3559.2/1000</f>
        <v>3.5591999999999997</v>
      </c>
      <c r="I52" s="184"/>
      <c r="J52" s="185">
        <f t="shared" si="6"/>
        <v>0</v>
      </c>
      <c r="K52" s="185">
        <f t="shared" si="7"/>
        <v>0</v>
      </c>
      <c r="L52" s="186">
        <f>3559.2/1000</f>
        <v>3.5591999999999997</v>
      </c>
      <c r="M52" s="186">
        <f t="shared" si="20"/>
        <v>3.5591999999999997</v>
      </c>
      <c r="N52" s="184">
        <f>3559.2/1000</f>
        <v>3.5591999999999997</v>
      </c>
      <c r="O52" s="184"/>
      <c r="P52" s="185">
        <f t="shared" si="1"/>
        <v>0</v>
      </c>
      <c r="Q52" s="185">
        <f t="shared" si="10"/>
        <v>0</v>
      </c>
      <c r="R52" s="186">
        <f>3559.2/1000</f>
        <v>3.5591999999999997</v>
      </c>
      <c r="S52" s="186">
        <f t="shared" si="21"/>
        <v>3.5591999999999997</v>
      </c>
      <c r="T52" s="184">
        <f>3559.2/1000</f>
        <v>3.5591999999999997</v>
      </c>
      <c r="U52" s="184"/>
      <c r="V52" s="187">
        <f t="shared" si="3"/>
        <v>0</v>
      </c>
      <c r="W52" s="234">
        <f t="shared" si="4"/>
        <v>0</v>
      </c>
      <c r="X52" s="210"/>
      <c r="Y52" s="179"/>
    </row>
    <row r="53" spans="1:25" ht="92.4" x14ac:dyDescent="0.25">
      <c r="A53" s="225" t="s">
        <v>179</v>
      </c>
      <c r="B53" s="226" t="s">
        <v>180</v>
      </c>
      <c r="C53" s="227">
        <f>SUM(C54:C56)</f>
        <v>17.060300000000002</v>
      </c>
      <c r="D53" s="227">
        <f>SUM(D54:D56)</f>
        <v>33.632599999999996</v>
      </c>
      <c r="E53" s="227">
        <f>SUM(E54:E56)</f>
        <v>9.7012999999999998</v>
      </c>
      <c r="F53" s="228">
        <f>SUM(F54:F56)</f>
        <v>8.4329999999999998</v>
      </c>
      <c r="G53" s="190">
        <f t="shared" si="5"/>
        <v>8.4329999999999998</v>
      </c>
      <c r="H53" s="229">
        <f>SUM(H54:H56)</f>
        <v>8.4329999999999998</v>
      </c>
      <c r="I53" s="229">
        <f>SUM(I54:I56)</f>
        <v>0</v>
      </c>
      <c r="J53" s="191">
        <f t="shared" si="6"/>
        <v>0</v>
      </c>
      <c r="K53" s="191">
        <f t="shared" si="7"/>
        <v>0</v>
      </c>
      <c r="L53" s="228">
        <f>SUM(L54:L56)</f>
        <v>4.1500000000000004</v>
      </c>
      <c r="M53" s="228">
        <f>SUM(M54:M56)</f>
        <v>4.1500000000000004</v>
      </c>
      <c r="N53" s="229">
        <f>SUM(N54:N56)</f>
        <v>4.1500000000000004</v>
      </c>
      <c r="O53" s="229">
        <f>SUM(O54:O56)</f>
        <v>0</v>
      </c>
      <c r="P53" s="230">
        <f t="shared" si="1"/>
        <v>0</v>
      </c>
      <c r="Q53" s="230">
        <f t="shared" si="10"/>
        <v>0</v>
      </c>
      <c r="R53" s="228">
        <f>SUM(R54:R56)</f>
        <v>4.1500000000000004</v>
      </c>
      <c r="S53" s="228">
        <f>SUM(S54:S57)</f>
        <v>67.346900000000019</v>
      </c>
      <c r="T53" s="229">
        <f>SUM(T54:T57)</f>
        <v>67.346900000000019</v>
      </c>
      <c r="U53" s="229">
        <f>SUM(U54:U57)</f>
        <v>0</v>
      </c>
      <c r="V53" s="231">
        <f>R53-S53</f>
        <v>-63.196900000000021</v>
      </c>
      <c r="W53" s="232">
        <f>R53/S53*100-100</f>
        <v>-93.837875239988776</v>
      </c>
      <c r="X53" s="211">
        <f>M53</f>
        <v>4.1500000000000004</v>
      </c>
      <c r="Y53" s="180">
        <f>S53</f>
        <v>67.346900000000019</v>
      </c>
    </row>
    <row r="54" spans="1:25" ht="66" x14ac:dyDescent="0.25">
      <c r="A54" s="233" t="s">
        <v>181</v>
      </c>
      <c r="B54" s="181" t="s">
        <v>182</v>
      </c>
      <c r="C54" s="182">
        <v>4.71</v>
      </c>
      <c r="D54" s="182">
        <v>1.1299999999999999</v>
      </c>
      <c r="E54" s="182">
        <v>1.212</v>
      </c>
      <c r="F54" s="183">
        <f>1100/1000</f>
        <v>1.1000000000000001</v>
      </c>
      <c r="G54" s="183">
        <f t="shared" si="5"/>
        <v>1.1000000000000001</v>
      </c>
      <c r="H54" s="184">
        <f>1100/1000</f>
        <v>1.1000000000000001</v>
      </c>
      <c r="I54" s="184"/>
      <c r="J54" s="185">
        <f t="shared" si="6"/>
        <v>0</v>
      </c>
      <c r="K54" s="185">
        <f t="shared" si="7"/>
        <v>0</v>
      </c>
      <c r="L54" s="186">
        <f>1030/1000</f>
        <v>1.03</v>
      </c>
      <c r="M54" s="186">
        <f>N54+O54</f>
        <v>1.03</v>
      </c>
      <c r="N54" s="184">
        <f>1030/1000</f>
        <v>1.03</v>
      </c>
      <c r="O54" s="184"/>
      <c r="P54" s="185">
        <f t="shared" si="1"/>
        <v>0</v>
      </c>
      <c r="Q54" s="185">
        <f t="shared" si="10"/>
        <v>0</v>
      </c>
      <c r="R54" s="186">
        <f>1000/1000</f>
        <v>1</v>
      </c>
      <c r="S54" s="186">
        <f>T54+U54</f>
        <v>1.85</v>
      </c>
      <c r="T54" s="184">
        <f>1850/1000</f>
        <v>1.85</v>
      </c>
      <c r="U54" s="184"/>
      <c r="V54" s="187">
        <f t="shared" si="3"/>
        <v>-0.85000000000000009</v>
      </c>
      <c r="W54" s="234">
        <f t="shared" si="4"/>
        <v>-45.945945945945951</v>
      </c>
      <c r="X54" s="210"/>
      <c r="Y54" s="179"/>
    </row>
    <row r="55" spans="1:25" ht="26.4" x14ac:dyDescent="0.25">
      <c r="A55" s="233" t="s">
        <v>183</v>
      </c>
      <c r="B55" s="181" t="s">
        <v>184</v>
      </c>
      <c r="C55" s="182">
        <v>8.5322999999999993</v>
      </c>
      <c r="D55" s="182">
        <v>30.027000000000001</v>
      </c>
      <c r="E55" s="182">
        <v>5.9893000000000001</v>
      </c>
      <c r="F55" s="183">
        <f>1233/1000</f>
        <v>1.2330000000000001</v>
      </c>
      <c r="G55" s="183">
        <f t="shared" si="5"/>
        <v>1.2330000000000001</v>
      </c>
      <c r="H55" s="184">
        <f>1233/1000</f>
        <v>1.2330000000000001</v>
      </c>
      <c r="I55" s="184"/>
      <c r="J55" s="185">
        <f t="shared" si="6"/>
        <v>0</v>
      </c>
      <c r="K55" s="185">
        <f t="shared" si="7"/>
        <v>0</v>
      </c>
      <c r="L55" s="186">
        <f>120/1000</f>
        <v>0.12</v>
      </c>
      <c r="M55" s="186">
        <f t="shared" ref="M55:M57" si="22">N55+O55</f>
        <v>0.12</v>
      </c>
      <c r="N55" s="184">
        <f>120/1000</f>
        <v>0.12</v>
      </c>
      <c r="O55" s="184"/>
      <c r="P55" s="185">
        <f t="shared" si="1"/>
        <v>0</v>
      </c>
      <c r="Q55" s="185">
        <f t="shared" si="10"/>
        <v>0</v>
      </c>
      <c r="R55" s="186">
        <f>150/1000</f>
        <v>0.15</v>
      </c>
      <c r="S55" s="186">
        <f t="shared" ref="S55:S57" si="23">T55+U55</f>
        <v>1.3</v>
      </c>
      <c r="T55" s="184">
        <f>1300/1000</f>
        <v>1.3</v>
      </c>
      <c r="U55" s="184"/>
      <c r="V55" s="187">
        <f t="shared" si="3"/>
        <v>-1.1500000000000001</v>
      </c>
      <c r="W55" s="234">
        <f t="shared" si="4"/>
        <v>-88.461538461538467</v>
      </c>
      <c r="X55" s="210"/>
      <c r="Y55" s="179"/>
    </row>
    <row r="56" spans="1:25" ht="26.4" x14ac:dyDescent="0.25">
      <c r="A56" s="235" t="s">
        <v>185</v>
      </c>
      <c r="B56" s="181"/>
      <c r="C56" s="182">
        <v>3.8180000000000001</v>
      </c>
      <c r="D56" s="182">
        <v>2.4756</v>
      </c>
      <c r="E56" s="182">
        <v>2.5</v>
      </c>
      <c r="F56" s="183">
        <f>6100/1000</f>
        <v>6.1</v>
      </c>
      <c r="G56" s="183">
        <f t="shared" si="5"/>
        <v>6.1</v>
      </c>
      <c r="H56" s="184">
        <f>6100/1000</f>
        <v>6.1</v>
      </c>
      <c r="I56" s="184"/>
      <c r="J56" s="185">
        <f t="shared" si="6"/>
        <v>0</v>
      </c>
      <c r="K56" s="185">
        <f t="shared" si="7"/>
        <v>0</v>
      </c>
      <c r="L56" s="186">
        <f>3000/1000</f>
        <v>3</v>
      </c>
      <c r="M56" s="186">
        <f t="shared" si="22"/>
        <v>3</v>
      </c>
      <c r="N56" s="184">
        <f>3000/1000</f>
        <v>3</v>
      </c>
      <c r="O56" s="184"/>
      <c r="P56" s="185">
        <f t="shared" si="1"/>
        <v>0</v>
      </c>
      <c r="Q56" s="185">
        <f t="shared" si="10"/>
        <v>0</v>
      </c>
      <c r="R56" s="186">
        <f>3000/1000</f>
        <v>3</v>
      </c>
      <c r="S56" s="186">
        <f t="shared" si="23"/>
        <v>64.046900000000008</v>
      </c>
      <c r="T56" s="184">
        <f>64046.9/1000</f>
        <v>64.046900000000008</v>
      </c>
      <c r="U56" s="184"/>
      <c r="V56" s="187">
        <f t="shared" si="3"/>
        <v>-61.046900000000008</v>
      </c>
      <c r="W56" s="234">
        <f t="shared" si="4"/>
        <v>-95.315932543183195</v>
      </c>
      <c r="X56" s="210"/>
      <c r="Y56" s="179"/>
    </row>
    <row r="57" spans="1:25" ht="26.4" x14ac:dyDescent="0.25">
      <c r="A57" s="235" t="s">
        <v>381</v>
      </c>
      <c r="B57" s="181"/>
      <c r="C57" s="182"/>
      <c r="D57" s="182"/>
      <c r="E57" s="182"/>
      <c r="F57" s="183"/>
      <c r="G57" s="183">
        <f t="shared" si="5"/>
        <v>0</v>
      </c>
      <c r="H57" s="184"/>
      <c r="I57" s="184"/>
      <c r="J57" s="185">
        <f t="shared" si="6"/>
        <v>0</v>
      </c>
      <c r="K57" s="185">
        <v>0</v>
      </c>
      <c r="L57" s="186"/>
      <c r="M57" s="186">
        <f t="shared" si="22"/>
        <v>0</v>
      </c>
      <c r="N57" s="184"/>
      <c r="O57" s="184"/>
      <c r="P57" s="185"/>
      <c r="Q57" s="185"/>
      <c r="R57" s="186"/>
      <c r="S57" s="186">
        <f t="shared" si="23"/>
        <v>0.15</v>
      </c>
      <c r="T57" s="184">
        <f>150/1000</f>
        <v>0.15</v>
      </c>
      <c r="U57" s="184"/>
      <c r="V57" s="187">
        <f t="shared" si="3"/>
        <v>-0.15</v>
      </c>
      <c r="W57" s="234">
        <f t="shared" si="4"/>
        <v>-100</v>
      </c>
      <c r="X57" s="210"/>
      <c r="Y57" s="179"/>
    </row>
    <row r="58" spans="1:25" s="196" customFormat="1" ht="79.2" x14ac:dyDescent="0.25">
      <c r="A58" s="225" t="s">
        <v>186</v>
      </c>
      <c r="B58" s="226" t="s">
        <v>187</v>
      </c>
      <c r="C58" s="227">
        <f>C59+C60+C61+C62</f>
        <v>1080.5881999999999</v>
      </c>
      <c r="D58" s="227">
        <f>D59+D60+D61+D62</f>
        <v>1143.0186000000001</v>
      </c>
      <c r="E58" s="227">
        <f>E59+E60+E61+E62</f>
        <v>1114.5907999999999</v>
      </c>
      <c r="F58" s="228">
        <f>F59+F60+F61+F62</f>
        <v>1361.1282000000001</v>
      </c>
      <c r="G58" s="228">
        <f t="shared" si="5"/>
        <v>1361.1282000000001</v>
      </c>
      <c r="H58" s="229">
        <f>H59+H60+H61+H62</f>
        <v>1361.1282000000001</v>
      </c>
      <c r="I58" s="229">
        <f>I59+I60+I61+I62</f>
        <v>0</v>
      </c>
      <c r="J58" s="230">
        <f t="shared" si="6"/>
        <v>0</v>
      </c>
      <c r="K58" s="230">
        <f t="shared" si="7"/>
        <v>0</v>
      </c>
      <c r="L58" s="228">
        <f>L59+L60+L61+L62</f>
        <v>1186.7917000000002</v>
      </c>
      <c r="M58" s="228">
        <f>M59+M60+M61+M62</f>
        <v>1273.5456000000001</v>
      </c>
      <c r="N58" s="229">
        <f>N59+N60+N61+N62</f>
        <v>1273.5456000000001</v>
      </c>
      <c r="O58" s="229">
        <f>O59+O60+O61+O62</f>
        <v>0</v>
      </c>
      <c r="P58" s="230">
        <f t="shared" ref="P58:P88" si="24">L58-M58</f>
        <v>-86.753899999999931</v>
      </c>
      <c r="Q58" s="230">
        <f t="shared" ref="Q58:Q83" si="25">L58/M58*100-100</f>
        <v>-6.8119979370978143</v>
      </c>
      <c r="R58" s="228">
        <f>R59+R60+R61+R62</f>
        <v>1232.2009</v>
      </c>
      <c r="S58" s="228">
        <f>S59+S60+S61+S62</f>
        <v>4431.1036000000004</v>
      </c>
      <c r="T58" s="229">
        <f>T59+T60+T61+T62</f>
        <v>4425.9997000000003</v>
      </c>
      <c r="U58" s="229">
        <f>U59+U60+U61+U62</f>
        <v>5.1038999999999994</v>
      </c>
      <c r="V58" s="231">
        <f t="shared" si="3"/>
        <v>-3198.9027000000006</v>
      </c>
      <c r="W58" s="232">
        <f t="shared" si="4"/>
        <v>-72.192008780837355</v>
      </c>
      <c r="X58" s="212">
        <f>M58</f>
        <v>1273.5456000000001</v>
      </c>
      <c r="Y58" s="195">
        <f>S58</f>
        <v>4431.1036000000004</v>
      </c>
    </row>
    <row r="59" spans="1:25" ht="26.4" x14ac:dyDescent="0.25">
      <c r="A59" s="233" t="s">
        <v>188</v>
      </c>
      <c r="B59" s="181" t="s">
        <v>189</v>
      </c>
      <c r="C59" s="182">
        <v>883.94449999999995</v>
      </c>
      <c r="D59" s="182">
        <v>860.24990000000003</v>
      </c>
      <c r="E59" s="182">
        <v>872.70979999999997</v>
      </c>
      <c r="F59" s="183">
        <f>930545/1000</f>
        <v>930.54499999999996</v>
      </c>
      <c r="G59" s="183">
        <f t="shared" si="5"/>
        <v>930.54499999999996</v>
      </c>
      <c r="H59" s="184">
        <f>930545/1000</f>
        <v>930.54499999999996</v>
      </c>
      <c r="I59" s="184"/>
      <c r="J59" s="185">
        <f t="shared" si="6"/>
        <v>0</v>
      </c>
      <c r="K59" s="185">
        <f t="shared" si="7"/>
        <v>0</v>
      </c>
      <c r="L59" s="186">
        <f>931190.3/1000</f>
        <v>931.19030000000009</v>
      </c>
      <c r="M59" s="186">
        <f>N59+O59</f>
        <v>1048.8881000000001</v>
      </c>
      <c r="N59" s="184">
        <f>1048888.1/1000</f>
        <v>1048.8881000000001</v>
      </c>
      <c r="O59" s="184"/>
      <c r="P59" s="185">
        <f t="shared" si="24"/>
        <v>-117.69780000000003</v>
      </c>
      <c r="Q59" s="185">
        <f t="shared" si="25"/>
        <v>-11.221196998993506</v>
      </c>
      <c r="R59" s="186">
        <f>966541.6/1000</f>
        <v>966.54160000000002</v>
      </c>
      <c r="S59" s="186">
        <f>T59+U59</f>
        <v>1246.3362</v>
      </c>
      <c r="T59" s="184">
        <f>1246336.2/1000</f>
        <v>1246.3362</v>
      </c>
      <c r="U59" s="184"/>
      <c r="V59" s="187">
        <f t="shared" si="3"/>
        <v>-279.79459999999995</v>
      </c>
      <c r="W59" s="234">
        <f t="shared" si="4"/>
        <v>-22.44936799556973</v>
      </c>
      <c r="X59" s="210"/>
      <c r="Y59" s="179"/>
    </row>
    <row r="60" spans="1:25" ht="66" x14ac:dyDescent="0.25">
      <c r="A60" s="233" t="s">
        <v>190</v>
      </c>
      <c r="B60" s="181" t="s">
        <v>191</v>
      </c>
      <c r="C60" s="182">
        <v>186.48390000000001</v>
      </c>
      <c r="D60" s="182">
        <v>272.7688</v>
      </c>
      <c r="E60" s="182">
        <v>180.65809999999999</v>
      </c>
      <c r="F60" s="183">
        <f>215037.2/1000</f>
        <v>215.03720000000001</v>
      </c>
      <c r="G60" s="183">
        <f t="shared" si="5"/>
        <v>215.03720000000001</v>
      </c>
      <c r="H60" s="184">
        <f>215037.2/1000</f>
        <v>215.03720000000001</v>
      </c>
      <c r="I60" s="184"/>
      <c r="J60" s="185">
        <f t="shared" si="6"/>
        <v>0</v>
      </c>
      <c r="K60" s="185">
        <f t="shared" si="7"/>
        <v>0</v>
      </c>
      <c r="L60" s="186">
        <f>212231.6/1000</f>
        <v>212.23160000000001</v>
      </c>
      <c r="M60" s="186">
        <f t="shared" ref="M60:M62" si="26">N60+O60</f>
        <v>199.98860000000002</v>
      </c>
      <c r="N60" s="184">
        <f>199988.6/1000</f>
        <v>199.98860000000002</v>
      </c>
      <c r="O60" s="184"/>
      <c r="P60" s="185">
        <f t="shared" si="24"/>
        <v>12.242999999999995</v>
      </c>
      <c r="Q60" s="185">
        <f t="shared" si="25"/>
        <v>6.1218489453898712</v>
      </c>
      <c r="R60" s="186">
        <f>218085.6/1000</f>
        <v>218.0856</v>
      </c>
      <c r="S60" s="186">
        <f t="shared" ref="S60:S62" si="27">T60+U60</f>
        <v>227.77679999999998</v>
      </c>
      <c r="T60" s="184">
        <f>227776.8/1000</f>
        <v>227.77679999999998</v>
      </c>
      <c r="U60" s="184"/>
      <c r="V60" s="187">
        <f t="shared" si="3"/>
        <v>-9.6911999999999807</v>
      </c>
      <c r="W60" s="234">
        <f t="shared" si="4"/>
        <v>-4.2546914347729796</v>
      </c>
      <c r="X60" s="210"/>
      <c r="Y60" s="179"/>
    </row>
    <row r="61" spans="1:25" ht="39.6" x14ac:dyDescent="0.25">
      <c r="A61" s="233" t="s">
        <v>192</v>
      </c>
      <c r="B61" s="181" t="s">
        <v>193</v>
      </c>
      <c r="C61" s="182">
        <v>10.159800000000001</v>
      </c>
      <c r="D61" s="182">
        <v>9.9999000000000002</v>
      </c>
      <c r="E61" s="182">
        <v>15.588900000000001</v>
      </c>
      <c r="F61" s="183">
        <f>16906.4/1000</f>
        <v>16.906400000000001</v>
      </c>
      <c r="G61" s="183">
        <f t="shared" si="5"/>
        <v>16.906400000000001</v>
      </c>
      <c r="H61" s="184">
        <f>16906.4/1000</f>
        <v>16.906400000000001</v>
      </c>
      <c r="I61" s="184"/>
      <c r="J61" s="185">
        <f t="shared" si="6"/>
        <v>0</v>
      </c>
      <c r="K61" s="185">
        <f t="shared" si="7"/>
        <v>0</v>
      </c>
      <c r="L61" s="186">
        <f>16906.4/1000</f>
        <v>16.906400000000001</v>
      </c>
      <c r="M61" s="186">
        <f t="shared" si="26"/>
        <v>15.6153</v>
      </c>
      <c r="N61" s="184">
        <f>15615.3/1000</f>
        <v>15.6153</v>
      </c>
      <c r="O61" s="184"/>
      <c r="P61" s="185">
        <f t="shared" si="24"/>
        <v>1.2911000000000019</v>
      </c>
      <c r="Q61" s="185">
        <f t="shared" si="25"/>
        <v>8.2681728817249933</v>
      </c>
      <c r="R61" s="186">
        <f>16906.4/1000</f>
        <v>16.906400000000001</v>
      </c>
      <c r="S61" s="186">
        <f t="shared" si="27"/>
        <v>16.185299999999998</v>
      </c>
      <c r="T61" s="184">
        <f>16185.3/1000</f>
        <v>16.185299999999998</v>
      </c>
      <c r="U61" s="184"/>
      <c r="V61" s="187">
        <f t="shared" si="3"/>
        <v>0.7211000000000034</v>
      </c>
      <c r="W61" s="234">
        <f t="shared" si="4"/>
        <v>4.4552773195430717</v>
      </c>
      <c r="X61" s="210"/>
      <c r="Y61" s="179"/>
    </row>
    <row r="62" spans="1:25" ht="52.8" x14ac:dyDescent="0.25">
      <c r="A62" s="233" t="s">
        <v>194</v>
      </c>
      <c r="B62" s="181" t="s">
        <v>195</v>
      </c>
      <c r="C62" s="182"/>
      <c r="D62" s="182"/>
      <c r="E62" s="182">
        <v>45.634</v>
      </c>
      <c r="F62" s="183">
        <f>198639.6/1000</f>
        <v>198.6396</v>
      </c>
      <c r="G62" s="183">
        <f t="shared" si="5"/>
        <v>198.6396</v>
      </c>
      <c r="H62" s="184">
        <f>198639.6/1000</f>
        <v>198.6396</v>
      </c>
      <c r="I62" s="184"/>
      <c r="J62" s="185">
        <f t="shared" si="6"/>
        <v>0</v>
      </c>
      <c r="K62" s="185">
        <f t="shared" si="7"/>
        <v>0</v>
      </c>
      <c r="L62" s="186">
        <f>26463.4/1000</f>
        <v>26.4634</v>
      </c>
      <c r="M62" s="186">
        <f t="shared" si="26"/>
        <v>9.0536000000000012</v>
      </c>
      <c r="N62" s="184">
        <f>9053.6/1000</f>
        <v>9.0536000000000012</v>
      </c>
      <c r="O62" s="184"/>
      <c r="P62" s="185">
        <f t="shared" si="24"/>
        <v>17.409799999999997</v>
      </c>
      <c r="Q62" s="185">
        <f t="shared" si="25"/>
        <v>192.29698683396657</v>
      </c>
      <c r="R62" s="186">
        <f>30667.3/1000</f>
        <v>30.667300000000001</v>
      </c>
      <c r="S62" s="186">
        <f t="shared" si="27"/>
        <v>2940.8053</v>
      </c>
      <c r="T62" s="184">
        <f>2935701.4/1000</f>
        <v>2935.7013999999999</v>
      </c>
      <c r="U62" s="236">
        <f>5103.9/1000</f>
        <v>5.1038999999999994</v>
      </c>
      <c r="V62" s="187">
        <f t="shared" si="3"/>
        <v>-2910.1379999999999</v>
      </c>
      <c r="W62" s="234">
        <f t="shared" si="4"/>
        <v>-98.957180198226652</v>
      </c>
      <c r="X62" s="210"/>
      <c r="Y62" s="179"/>
    </row>
    <row r="63" spans="1:25" s="196" customFormat="1" ht="66" x14ac:dyDescent="0.25">
      <c r="A63" s="225" t="s">
        <v>196</v>
      </c>
      <c r="B63" s="226" t="s">
        <v>197</v>
      </c>
      <c r="C63" s="227">
        <f>C64+C65+C66</f>
        <v>216.68349999999998</v>
      </c>
      <c r="D63" s="227">
        <f>D64+D65+D66</f>
        <v>132.7996</v>
      </c>
      <c r="E63" s="227">
        <f>E64+E65+E66</f>
        <v>76.723799999999997</v>
      </c>
      <c r="F63" s="228">
        <f>F64+F65+F66</f>
        <v>197.08439999999999</v>
      </c>
      <c r="G63" s="228">
        <f t="shared" si="5"/>
        <v>197.08439999999999</v>
      </c>
      <c r="H63" s="229">
        <f>H64+H65+H66</f>
        <v>60.504999999999995</v>
      </c>
      <c r="I63" s="229">
        <f>I64+I65+I66</f>
        <v>136.57939999999999</v>
      </c>
      <c r="J63" s="230">
        <f t="shared" si="6"/>
        <v>0</v>
      </c>
      <c r="K63" s="230">
        <f t="shared" si="7"/>
        <v>0</v>
      </c>
      <c r="L63" s="228">
        <f>L64+L65+L66</f>
        <v>214.64019999999999</v>
      </c>
      <c r="M63" s="228">
        <f>M64+M65+M66</f>
        <v>406.48540000000003</v>
      </c>
      <c r="N63" s="229">
        <f>N64+N65+N66</f>
        <v>287.35079999999999</v>
      </c>
      <c r="O63" s="229">
        <f>O64+O65+O66</f>
        <v>119.13460000000001</v>
      </c>
      <c r="P63" s="230">
        <f t="shared" si="24"/>
        <v>-191.84520000000003</v>
      </c>
      <c r="Q63" s="230">
        <f t="shared" si="25"/>
        <v>-47.196086255496517</v>
      </c>
      <c r="R63" s="228">
        <f>R64+R65+R66</f>
        <v>248.83369999999999</v>
      </c>
      <c r="S63" s="228">
        <f>S64+S65+S66</f>
        <v>408.24889999999999</v>
      </c>
      <c r="T63" s="229">
        <f>T64+T65+T66</f>
        <v>289.11430000000001</v>
      </c>
      <c r="U63" s="229">
        <f>U64+U65+U66</f>
        <v>119.13460000000001</v>
      </c>
      <c r="V63" s="231">
        <f t="shared" si="3"/>
        <v>-159.4152</v>
      </c>
      <c r="W63" s="232">
        <f t="shared" si="4"/>
        <v>-39.048531422864826</v>
      </c>
      <c r="X63" s="212">
        <f>M63+89.136</f>
        <v>495.62139999999999</v>
      </c>
      <c r="Y63" s="195">
        <f>S63+89.1346</f>
        <v>497.38350000000003</v>
      </c>
    </row>
    <row r="64" spans="1:25" ht="39.6" x14ac:dyDescent="0.25">
      <c r="A64" s="233" t="s">
        <v>198</v>
      </c>
      <c r="B64" s="181" t="s">
        <v>199</v>
      </c>
      <c r="C64" s="182">
        <v>68.801299999999998</v>
      </c>
      <c r="D64" s="182">
        <v>31.028600000000001</v>
      </c>
      <c r="E64" s="182">
        <v>41.275799999999997</v>
      </c>
      <c r="F64" s="183">
        <f>35941.2/1000</f>
        <v>35.941199999999995</v>
      </c>
      <c r="G64" s="183">
        <f t="shared" si="5"/>
        <v>35.941199999999995</v>
      </c>
      <c r="H64" s="184">
        <f>35941.2/1000</f>
        <v>35.941199999999995</v>
      </c>
      <c r="I64" s="184"/>
      <c r="J64" s="185">
        <f t="shared" si="6"/>
        <v>0</v>
      </c>
      <c r="K64" s="185">
        <f t="shared" si="7"/>
        <v>0</v>
      </c>
      <c r="L64" s="186">
        <f>34239.7/1000</f>
        <v>34.239699999999999</v>
      </c>
      <c r="M64" s="186">
        <f>N64+O64</f>
        <v>168.69</v>
      </c>
      <c r="N64" s="184">
        <f>168690/1000</f>
        <v>168.69</v>
      </c>
      <c r="O64" s="184"/>
      <c r="P64" s="185">
        <f t="shared" si="24"/>
        <v>-134.4503</v>
      </c>
      <c r="Q64" s="185">
        <f t="shared" si="25"/>
        <v>-79.702590550714319</v>
      </c>
      <c r="R64" s="186">
        <f>36146.7/1000</f>
        <v>36.146699999999996</v>
      </c>
      <c r="S64" s="186">
        <f>T64+U64</f>
        <v>142.70500000000001</v>
      </c>
      <c r="T64" s="184">
        <f>142705/1000</f>
        <v>142.70500000000001</v>
      </c>
      <c r="U64" s="184"/>
      <c r="V64" s="187">
        <f t="shared" si="3"/>
        <v>-106.55830000000002</v>
      </c>
      <c r="W64" s="234">
        <f t="shared" si="4"/>
        <v>-74.670333905609482</v>
      </c>
      <c r="X64" s="210"/>
      <c r="Y64" s="179"/>
    </row>
    <row r="65" spans="1:26" ht="26.4" x14ac:dyDescent="0.25">
      <c r="A65" s="233" t="s">
        <v>200</v>
      </c>
      <c r="B65" s="181" t="s">
        <v>201</v>
      </c>
      <c r="C65" s="182">
        <v>31.256</v>
      </c>
      <c r="D65" s="182">
        <v>23.8261</v>
      </c>
      <c r="E65" s="182">
        <v>21.134399999999999</v>
      </c>
      <c r="F65" s="183">
        <f>23104.7/1000</f>
        <v>23.104700000000001</v>
      </c>
      <c r="G65" s="183">
        <f t="shared" si="5"/>
        <v>23.104700000000001</v>
      </c>
      <c r="H65" s="184"/>
      <c r="I65" s="184">
        <f>23104.7/1000</f>
        <v>23.104700000000001</v>
      </c>
      <c r="J65" s="185">
        <f t="shared" si="6"/>
        <v>0</v>
      </c>
      <c r="K65" s="185">
        <f t="shared" si="7"/>
        <v>0</v>
      </c>
      <c r="L65" s="186">
        <f>31012.6/1000</f>
        <v>31.012599999999999</v>
      </c>
      <c r="M65" s="186">
        <f t="shared" ref="M65:M66" si="28">N65+O65</f>
        <v>42.762999999999998</v>
      </c>
      <c r="N65" s="184">
        <f>13180/1000</f>
        <v>13.18</v>
      </c>
      <c r="O65" s="184">
        <f>29583/1000</f>
        <v>29.582999999999998</v>
      </c>
      <c r="P65" s="185">
        <f t="shared" si="24"/>
        <v>-11.750399999999999</v>
      </c>
      <c r="Q65" s="185">
        <f t="shared" si="25"/>
        <v>-27.477959918621238</v>
      </c>
      <c r="R65" s="186">
        <f>34299/1000</f>
        <v>34.298999999999999</v>
      </c>
      <c r="S65" s="186">
        <f t="shared" ref="S65:S66" si="29">T65+U65</f>
        <v>69.011499999999998</v>
      </c>
      <c r="T65" s="184">
        <f>39428.5/1000</f>
        <v>39.4285</v>
      </c>
      <c r="U65" s="184">
        <f>29583/1000</f>
        <v>29.582999999999998</v>
      </c>
      <c r="V65" s="187">
        <f t="shared" si="3"/>
        <v>-34.712499999999999</v>
      </c>
      <c r="W65" s="234">
        <f t="shared" si="4"/>
        <v>-50.299587749867776</v>
      </c>
      <c r="X65" s="210"/>
      <c r="Y65" s="179"/>
    </row>
    <row r="66" spans="1:26" ht="26.4" x14ac:dyDescent="0.25">
      <c r="A66" s="233" t="s">
        <v>202</v>
      </c>
      <c r="B66" s="181" t="s">
        <v>203</v>
      </c>
      <c r="C66" s="182">
        <v>116.6262</v>
      </c>
      <c r="D66" s="182">
        <v>77.944900000000004</v>
      </c>
      <c r="E66" s="182">
        <v>14.313599999999999</v>
      </c>
      <c r="F66" s="183">
        <f>138038.5/1000</f>
        <v>138.0385</v>
      </c>
      <c r="G66" s="183">
        <f t="shared" si="5"/>
        <v>138.0385</v>
      </c>
      <c r="H66" s="184">
        <f>24563.8/1000</f>
        <v>24.563800000000001</v>
      </c>
      <c r="I66" s="184">
        <f>113474.7/1000</f>
        <v>113.4747</v>
      </c>
      <c r="J66" s="185">
        <f t="shared" si="6"/>
        <v>0</v>
      </c>
      <c r="K66" s="185">
        <f t="shared" si="7"/>
        <v>0</v>
      </c>
      <c r="L66" s="186">
        <f>149387.9/1000</f>
        <v>149.3879</v>
      </c>
      <c r="M66" s="186">
        <f t="shared" si="28"/>
        <v>195.0324</v>
      </c>
      <c r="N66" s="184">
        <f>105480.8/1000</f>
        <v>105.4808</v>
      </c>
      <c r="O66" s="184">
        <f>89551.6/1000</f>
        <v>89.551600000000008</v>
      </c>
      <c r="P66" s="185">
        <f t="shared" si="24"/>
        <v>-45.644499999999994</v>
      </c>
      <c r="Q66" s="185">
        <f t="shared" si="25"/>
        <v>-23.40354730803702</v>
      </c>
      <c r="R66" s="186">
        <f>178388/1000</f>
        <v>178.38800000000001</v>
      </c>
      <c r="S66" s="186">
        <f t="shared" si="29"/>
        <v>196.5324</v>
      </c>
      <c r="T66" s="184">
        <f>106980.8/1000</f>
        <v>106.9808</v>
      </c>
      <c r="U66" s="184">
        <f>89551.6/1000</f>
        <v>89.551600000000008</v>
      </c>
      <c r="V66" s="187">
        <f t="shared" si="3"/>
        <v>-18.14439999999999</v>
      </c>
      <c r="W66" s="234">
        <f t="shared" si="4"/>
        <v>-9.2322690813321344</v>
      </c>
      <c r="X66" s="210"/>
      <c r="Y66" s="179"/>
    </row>
    <row r="67" spans="1:26" ht="79.2" x14ac:dyDescent="0.25">
      <c r="A67" s="225" t="s">
        <v>204</v>
      </c>
      <c r="B67" s="226" t="s">
        <v>205</v>
      </c>
      <c r="C67" s="227">
        <f>SUM(C68:C72)</f>
        <v>984.41959999999995</v>
      </c>
      <c r="D67" s="227">
        <f>SUM(D68:D72)</f>
        <v>763.40359999999998</v>
      </c>
      <c r="E67" s="227">
        <f>SUM(E68:E72)</f>
        <v>636.13679999999988</v>
      </c>
      <c r="F67" s="228">
        <f>SUM(F68:F72)</f>
        <v>725.40589999999997</v>
      </c>
      <c r="G67" s="190">
        <f t="shared" si="5"/>
        <v>725.40590000000009</v>
      </c>
      <c r="H67" s="229">
        <f>SUM(H68:H72)</f>
        <v>668.21120000000008</v>
      </c>
      <c r="I67" s="229">
        <f>SUM(I68:I72)</f>
        <v>57.194699999999997</v>
      </c>
      <c r="J67" s="191">
        <f t="shared" si="6"/>
        <v>0</v>
      </c>
      <c r="K67" s="191">
        <f t="shared" si="7"/>
        <v>0</v>
      </c>
      <c r="L67" s="228">
        <f>SUM(L68:L72)</f>
        <v>542.63990000000001</v>
      </c>
      <c r="M67" s="228">
        <f>SUM(M68:M72)</f>
        <v>3016.2514000000001</v>
      </c>
      <c r="N67" s="229">
        <f>SUM(N68:N72)</f>
        <v>2863.0724</v>
      </c>
      <c r="O67" s="229">
        <f>SUM(O68:O72)</f>
        <v>153.179</v>
      </c>
      <c r="P67" s="230">
        <f t="shared" si="24"/>
        <v>-2473.6115</v>
      </c>
      <c r="Q67" s="230">
        <f t="shared" si="25"/>
        <v>-82.009460484626715</v>
      </c>
      <c r="R67" s="228">
        <f>SUM(R68:R72)</f>
        <v>543.87270000000012</v>
      </c>
      <c r="S67" s="228">
        <f>SUM(S68:S72)</f>
        <v>3420.1994</v>
      </c>
      <c r="T67" s="229">
        <f>SUM(T68:T72)</f>
        <v>3315.3143</v>
      </c>
      <c r="U67" s="229">
        <f>SUM(U68:U72)</f>
        <v>104.88510000000001</v>
      </c>
      <c r="V67" s="231">
        <f t="shared" si="3"/>
        <v>-2876.3266999999996</v>
      </c>
      <c r="W67" s="232">
        <f t="shared" si="4"/>
        <v>-84.098216612750704</v>
      </c>
      <c r="X67" s="211">
        <f>M67+202.7821</f>
        <v>3219.0335</v>
      </c>
      <c r="Y67" s="180">
        <f>S67+4.758</f>
        <v>3424.9573999999998</v>
      </c>
    </row>
    <row r="68" spans="1:26" ht="26.4" x14ac:dyDescent="0.25">
      <c r="A68" s="233" t="s">
        <v>206</v>
      </c>
      <c r="B68" s="181" t="s">
        <v>207</v>
      </c>
      <c r="C68" s="182">
        <v>866.0104</v>
      </c>
      <c r="D68" s="182">
        <v>602.53539999999998</v>
      </c>
      <c r="E68" s="182">
        <v>502.53429999999997</v>
      </c>
      <c r="F68" s="183">
        <f>575977.6/1000</f>
        <v>575.97759999999994</v>
      </c>
      <c r="G68" s="183">
        <f t="shared" si="5"/>
        <v>575.97760000000005</v>
      </c>
      <c r="H68" s="184">
        <f>518782.9/1000</f>
        <v>518.78290000000004</v>
      </c>
      <c r="I68" s="184">
        <f>57194.7/1000</f>
        <v>57.194699999999997</v>
      </c>
      <c r="J68" s="185">
        <f t="shared" si="6"/>
        <v>0</v>
      </c>
      <c r="K68" s="185">
        <f t="shared" si="7"/>
        <v>0</v>
      </c>
      <c r="L68" s="186">
        <f>422644.4/1000</f>
        <v>422.64440000000002</v>
      </c>
      <c r="M68" s="186">
        <f>N68+O68</f>
        <v>2873.4360000000001</v>
      </c>
      <c r="N68" s="184">
        <f>2720257/1000</f>
        <v>2720.2570000000001</v>
      </c>
      <c r="O68" s="184">
        <f>153179/1000</f>
        <v>153.179</v>
      </c>
      <c r="P68" s="185">
        <f t="shared" si="24"/>
        <v>-2450.7916</v>
      </c>
      <c r="Q68" s="185">
        <f t="shared" si="25"/>
        <v>-85.291323697482738</v>
      </c>
      <c r="R68" s="186">
        <f>422302.3/1000</f>
        <v>422.3023</v>
      </c>
      <c r="S68" s="186">
        <f>T68+U68</f>
        <v>3273.5302000000001</v>
      </c>
      <c r="T68" s="184">
        <f>3168645.1/1000</f>
        <v>3168.6451000000002</v>
      </c>
      <c r="U68" s="184">
        <f>104885.1/1000</f>
        <v>104.88510000000001</v>
      </c>
      <c r="V68" s="187">
        <f t="shared" si="3"/>
        <v>-2851.2279000000003</v>
      </c>
      <c r="W68" s="234">
        <f t="shared" si="4"/>
        <v>-87.099483609468464</v>
      </c>
      <c r="X68" s="210"/>
      <c r="Y68" s="179"/>
    </row>
    <row r="69" spans="1:26" ht="26.4" x14ac:dyDescent="0.25">
      <c r="A69" s="233" t="s">
        <v>208</v>
      </c>
      <c r="B69" s="181" t="s">
        <v>209</v>
      </c>
      <c r="C69" s="182">
        <v>47.276200000000003</v>
      </c>
      <c r="D69" s="182">
        <v>63.624000000000002</v>
      </c>
      <c r="E69" s="182">
        <v>55.242699999999999</v>
      </c>
      <c r="F69" s="183">
        <f>77224.1/1000</f>
        <v>77.224100000000007</v>
      </c>
      <c r="G69" s="183">
        <f t="shared" si="5"/>
        <v>77.224100000000007</v>
      </c>
      <c r="H69" s="184">
        <f>77224.1/1000</f>
        <v>77.224100000000007</v>
      </c>
      <c r="I69" s="184"/>
      <c r="J69" s="185">
        <f t="shared" si="6"/>
        <v>0</v>
      </c>
      <c r="K69" s="185">
        <f t="shared" si="7"/>
        <v>0</v>
      </c>
      <c r="L69" s="186">
        <f>61708/1000</f>
        <v>61.707999999999998</v>
      </c>
      <c r="M69" s="186">
        <f t="shared" ref="M69:M72" si="30">N69+O69</f>
        <v>61.707999999999998</v>
      </c>
      <c r="N69" s="184">
        <f>61708/1000</f>
        <v>61.707999999999998</v>
      </c>
      <c r="O69" s="184"/>
      <c r="P69" s="185">
        <f t="shared" si="24"/>
        <v>0</v>
      </c>
      <c r="Q69" s="185">
        <f t="shared" si="25"/>
        <v>0</v>
      </c>
      <c r="R69" s="186">
        <f>63081.2/1000</f>
        <v>63.081199999999995</v>
      </c>
      <c r="S69" s="186">
        <f t="shared" ref="S69:S72" si="31">T69+U69</f>
        <v>63.081199999999995</v>
      </c>
      <c r="T69" s="184">
        <f>63081.2/1000</f>
        <v>63.081199999999995</v>
      </c>
      <c r="U69" s="184"/>
      <c r="V69" s="187">
        <f t="shared" si="3"/>
        <v>0</v>
      </c>
      <c r="W69" s="234">
        <f t="shared" si="4"/>
        <v>0</v>
      </c>
      <c r="X69" s="210"/>
      <c r="Y69" s="179"/>
    </row>
    <row r="70" spans="1:26" ht="52.8" x14ac:dyDescent="0.25">
      <c r="A70" s="233" t="s">
        <v>210</v>
      </c>
      <c r="B70" s="181" t="s">
        <v>211</v>
      </c>
      <c r="C70" s="182">
        <v>26.403600000000001</v>
      </c>
      <c r="D70" s="182">
        <v>34.715499999999999</v>
      </c>
      <c r="E70" s="182">
        <v>46.735500000000002</v>
      </c>
      <c r="F70" s="183">
        <f>56400/1000</f>
        <v>56.4</v>
      </c>
      <c r="G70" s="183">
        <f t="shared" si="5"/>
        <v>56.4</v>
      </c>
      <c r="H70" s="184">
        <f>56400/1000</f>
        <v>56.4</v>
      </c>
      <c r="I70" s="184"/>
      <c r="J70" s="185">
        <f t="shared" si="6"/>
        <v>0</v>
      </c>
      <c r="K70" s="185">
        <f t="shared" si="7"/>
        <v>0</v>
      </c>
      <c r="L70" s="186">
        <f>42483.3/1000</f>
        <v>42.4833</v>
      </c>
      <c r="M70" s="186">
        <f t="shared" si="30"/>
        <v>42.4833</v>
      </c>
      <c r="N70" s="184">
        <f>42483.3/1000</f>
        <v>42.4833</v>
      </c>
      <c r="O70" s="184"/>
      <c r="P70" s="185">
        <f t="shared" si="24"/>
        <v>0</v>
      </c>
      <c r="Q70" s="185">
        <f t="shared" si="25"/>
        <v>0</v>
      </c>
      <c r="R70" s="186">
        <f>42685/1000</f>
        <v>42.685000000000002</v>
      </c>
      <c r="S70" s="186">
        <f t="shared" si="31"/>
        <v>42.685000000000002</v>
      </c>
      <c r="T70" s="184">
        <f>42685/1000</f>
        <v>42.685000000000002</v>
      </c>
      <c r="U70" s="184"/>
      <c r="V70" s="187">
        <f t="shared" si="3"/>
        <v>0</v>
      </c>
      <c r="W70" s="234">
        <f t="shared" si="4"/>
        <v>0</v>
      </c>
      <c r="X70" s="210"/>
      <c r="Y70" s="179"/>
    </row>
    <row r="71" spans="1:26" ht="39.6" hidden="1" x14ac:dyDescent="0.25">
      <c r="A71" s="235" t="s">
        <v>212</v>
      </c>
      <c r="B71" s="181"/>
      <c r="C71" s="182">
        <v>18.808599999999998</v>
      </c>
      <c r="D71" s="182">
        <v>34.636299999999999</v>
      </c>
      <c r="E71" s="182"/>
      <c r="F71" s="183"/>
      <c r="G71" s="183">
        <f t="shared" si="5"/>
        <v>0</v>
      </c>
      <c r="H71" s="184"/>
      <c r="I71" s="184"/>
      <c r="J71" s="185">
        <f t="shared" si="6"/>
        <v>0</v>
      </c>
      <c r="K71" s="185" t="e">
        <f t="shared" si="7"/>
        <v>#DIV/0!</v>
      </c>
      <c r="L71" s="186"/>
      <c r="M71" s="186">
        <f t="shared" si="30"/>
        <v>0</v>
      </c>
      <c r="N71" s="184"/>
      <c r="O71" s="184"/>
      <c r="P71" s="185">
        <f t="shared" si="24"/>
        <v>0</v>
      </c>
      <c r="Q71" s="185" t="e">
        <f t="shared" si="25"/>
        <v>#DIV/0!</v>
      </c>
      <c r="R71" s="186"/>
      <c r="S71" s="186">
        <f t="shared" si="31"/>
        <v>0</v>
      </c>
      <c r="T71" s="184"/>
      <c r="U71" s="184"/>
      <c r="V71" s="187">
        <f t="shared" si="3"/>
        <v>0</v>
      </c>
      <c r="W71" s="234" t="e">
        <f t="shared" si="4"/>
        <v>#DIV/0!</v>
      </c>
      <c r="X71" s="213"/>
      <c r="Y71" s="197"/>
      <c r="Z71" s="198"/>
    </row>
    <row r="72" spans="1:26" ht="26.4" x14ac:dyDescent="0.25">
      <c r="A72" s="233" t="s">
        <v>158</v>
      </c>
      <c r="B72" s="181" t="s">
        <v>213</v>
      </c>
      <c r="C72" s="182">
        <v>25.9208</v>
      </c>
      <c r="D72" s="182">
        <v>27.892399999999999</v>
      </c>
      <c r="E72" s="182">
        <v>31.624300000000002</v>
      </c>
      <c r="F72" s="183">
        <f>15804.2/1000</f>
        <v>15.804200000000002</v>
      </c>
      <c r="G72" s="183">
        <f t="shared" si="5"/>
        <v>15.804200000000002</v>
      </c>
      <c r="H72" s="184">
        <f>15804.2/1000</f>
        <v>15.804200000000002</v>
      </c>
      <c r="I72" s="184"/>
      <c r="J72" s="185">
        <f t="shared" si="6"/>
        <v>0</v>
      </c>
      <c r="K72" s="185">
        <f t="shared" si="7"/>
        <v>0</v>
      </c>
      <c r="L72" s="186">
        <f>15804.2/1000</f>
        <v>15.804200000000002</v>
      </c>
      <c r="M72" s="186">
        <f t="shared" si="30"/>
        <v>38.624099999999999</v>
      </c>
      <c r="N72" s="184">
        <f>38624.1/1000</f>
        <v>38.624099999999999</v>
      </c>
      <c r="O72" s="184"/>
      <c r="P72" s="185">
        <f t="shared" si="24"/>
        <v>-22.819899999999997</v>
      </c>
      <c r="Q72" s="185">
        <f t="shared" si="25"/>
        <v>-59.082023917709407</v>
      </c>
      <c r="R72" s="186">
        <f>15804.2/1000</f>
        <v>15.804200000000002</v>
      </c>
      <c r="S72" s="186">
        <f t="shared" si="31"/>
        <v>40.902999999999999</v>
      </c>
      <c r="T72" s="184">
        <f>40903/1000</f>
        <v>40.902999999999999</v>
      </c>
      <c r="U72" s="184"/>
      <c r="V72" s="187">
        <f t="shared" si="3"/>
        <v>-25.098799999999997</v>
      </c>
      <c r="W72" s="234">
        <f t="shared" si="4"/>
        <v>-61.361758306236702</v>
      </c>
      <c r="X72" s="210"/>
      <c r="Y72" s="179"/>
    </row>
    <row r="73" spans="1:26" ht="52.8" x14ac:dyDescent="0.25">
      <c r="A73" s="225" t="s">
        <v>214</v>
      </c>
      <c r="B73" s="226" t="s">
        <v>215</v>
      </c>
      <c r="C73" s="227">
        <f>C74+C75+C76+C77+C78+C79</f>
        <v>432.7937</v>
      </c>
      <c r="D73" s="227">
        <f>D74+D75+D76+D77+D78+D79</f>
        <v>457.29500000000007</v>
      </c>
      <c r="E73" s="227">
        <f>E74+E75+E76+E77+E78+E79</f>
        <v>222.2149</v>
      </c>
      <c r="F73" s="228">
        <f>F74+F75+F76+F77+F78+F79</f>
        <v>323.09530000000001</v>
      </c>
      <c r="G73" s="190">
        <f t="shared" si="5"/>
        <v>323.09530000000001</v>
      </c>
      <c r="H73" s="229">
        <f>H74+H75+H76+H77+H78+H79</f>
        <v>323.09530000000001</v>
      </c>
      <c r="I73" s="229">
        <f>I74+I75+I76+I77+I78+I79</f>
        <v>0</v>
      </c>
      <c r="J73" s="191">
        <f t="shared" si="6"/>
        <v>0</v>
      </c>
      <c r="K73" s="191">
        <f t="shared" si="7"/>
        <v>0</v>
      </c>
      <c r="L73" s="228">
        <f>L74+L75+L76+L77+L78+L79</f>
        <v>218.64829999999998</v>
      </c>
      <c r="M73" s="228">
        <f>M74+M75+M76+M77+M78+M79</f>
        <v>724.08319999999992</v>
      </c>
      <c r="N73" s="229">
        <f>N74+N75+N76+N77+N78+N79</f>
        <v>445.45960000000002</v>
      </c>
      <c r="O73" s="229">
        <f>O74+O75+O76+O77+O78+O79</f>
        <v>278.62359999999995</v>
      </c>
      <c r="P73" s="230">
        <f t="shared" si="24"/>
        <v>-505.43489999999997</v>
      </c>
      <c r="Q73" s="230">
        <f t="shared" si="25"/>
        <v>-69.803428666760951</v>
      </c>
      <c r="R73" s="228">
        <f>R74+R75+R76+R77+R78+R79</f>
        <v>220.61579999999998</v>
      </c>
      <c r="S73" s="228">
        <f>S74+S75+S76+S77+S78+S79</f>
        <v>769.37950000000012</v>
      </c>
      <c r="T73" s="229">
        <f>T74+T75+T76+T77+T78+T79</f>
        <v>469.03550000000001</v>
      </c>
      <c r="U73" s="229">
        <f>U74+U75+U76+U77+U78+U79</f>
        <v>300.34399999999999</v>
      </c>
      <c r="V73" s="231">
        <f t="shared" si="3"/>
        <v>-548.7637000000002</v>
      </c>
      <c r="W73" s="232">
        <f t="shared" si="4"/>
        <v>-71.325490216466648</v>
      </c>
      <c r="X73" s="211">
        <f>M73+251.4124</f>
        <v>975.49559999999997</v>
      </c>
      <c r="Y73" s="180">
        <f>S73+271.5236</f>
        <v>1040.9031</v>
      </c>
    </row>
    <row r="74" spans="1:26" ht="39.6" x14ac:dyDescent="0.25">
      <c r="A74" s="233" t="s">
        <v>216</v>
      </c>
      <c r="B74" s="181" t="s">
        <v>217</v>
      </c>
      <c r="C74" s="182">
        <v>71.180999999999997</v>
      </c>
      <c r="D74" s="182">
        <v>106.9837</v>
      </c>
      <c r="E74" s="182">
        <v>11.6075</v>
      </c>
      <c r="F74" s="183">
        <f>10200/1000</f>
        <v>10.199999999999999</v>
      </c>
      <c r="G74" s="183">
        <f t="shared" ref="G74:G115" si="32">H74+I74</f>
        <v>10.199999999999999</v>
      </c>
      <c r="H74" s="184">
        <f>10200/1000</f>
        <v>10.199999999999999</v>
      </c>
      <c r="I74" s="184"/>
      <c r="J74" s="185">
        <f t="shared" ref="J74:J116" si="33">F74-G74</f>
        <v>0</v>
      </c>
      <c r="K74" s="185">
        <f t="shared" ref="K74:K116" si="34">F74/G74*100-100</f>
        <v>0</v>
      </c>
      <c r="L74" s="186">
        <f>2200/1000</f>
        <v>2.2000000000000002</v>
      </c>
      <c r="M74" s="186">
        <f>N74+O74</f>
        <v>115.16</v>
      </c>
      <c r="N74" s="184">
        <f>115160/1000</f>
        <v>115.16</v>
      </c>
      <c r="O74" s="184"/>
      <c r="P74" s="185">
        <f t="shared" si="24"/>
        <v>-112.96</v>
      </c>
      <c r="Q74" s="185">
        <f t="shared" si="25"/>
        <v>-98.089614449461621</v>
      </c>
      <c r="R74" s="186">
        <f>2200/1000</f>
        <v>2.2000000000000002</v>
      </c>
      <c r="S74" s="186">
        <f>T74+U74</f>
        <v>113.86</v>
      </c>
      <c r="T74" s="184">
        <f>113860/1000</f>
        <v>113.86</v>
      </c>
      <c r="U74" s="184"/>
      <c r="V74" s="187">
        <f t="shared" si="3"/>
        <v>-111.66</v>
      </c>
      <c r="W74" s="234">
        <f t="shared" si="4"/>
        <v>-98.067802564552963</v>
      </c>
      <c r="X74" s="210"/>
      <c r="Y74" s="179"/>
    </row>
    <row r="75" spans="1:26" ht="39.6" x14ac:dyDescent="0.25">
      <c r="A75" s="233" t="s">
        <v>218</v>
      </c>
      <c r="B75" s="181" t="s">
        <v>219</v>
      </c>
      <c r="C75" s="182">
        <v>215.65100000000001</v>
      </c>
      <c r="D75" s="182">
        <v>185.26849999999999</v>
      </c>
      <c r="E75" s="182">
        <v>48.843200000000003</v>
      </c>
      <c r="F75" s="183">
        <f>72926.7/1000</f>
        <v>72.926699999999997</v>
      </c>
      <c r="G75" s="183">
        <f t="shared" si="32"/>
        <v>72.926699999999997</v>
      </c>
      <c r="H75" s="184">
        <f>72926.7/1000</f>
        <v>72.926699999999997</v>
      </c>
      <c r="I75" s="184"/>
      <c r="J75" s="185">
        <f t="shared" si="33"/>
        <v>0</v>
      </c>
      <c r="K75" s="185">
        <f t="shared" si="34"/>
        <v>0</v>
      </c>
      <c r="L75" s="186">
        <f>40769/1000</f>
        <v>40.768999999999998</v>
      </c>
      <c r="M75" s="186">
        <f t="shared" ref="M75:M79" si="35">N75+O75</f>
        <v>369.73689999999999</v>
      </c>
      <c r="N75" s="184">
        <f>91113.3/1000</f>
        <v>91.11330000000001</v>
      </c>
      <c r="O75" s="184">
        <f>278623.6/1000</f>
        <v>278.62359999999995</v>
      </c>
      <c r="P75" s="185">
        <f t="shared" si="24"/>
        <v>-328.96789999999999</v>
      </c>
      <c r="Q75" s="185">
        <f t="shared" si="25"/>
        <v>-88.973510623364888</v>
      </c>
      <c r="R75" s="186">
        <f>41112.5/1000</f>
        <v>41.112499999999997</v>
      </c>
      <c r="S75" s="186">
        <f t="shared" ref="S75:S79" si="36">T75+U75</f>
        <v>398.72320000000002</v>
      </c>
      <c r="T75" s="184">
        <f>98379.2/1000</f>
        <v>98.379199999999997</v>
      </c>
      <c r="U75" s="184">
        <f>300344/1000</f>
        <v>300.34399999999999</v>
      </c>
      <c r="V75" s="187">
        <f t="shared" si="3"/>
        <v>-357.61070000000001</v>
      </c>
      <c r="W75" s="234">
        <f t="shared" si="4"/>
        <v>-89.688962167237833</v>
      </c>
      <c r="X75" s="210"/>
      <c r="Y75" s="179"/>
    </row>
    <row r="76" spans="1:26" ht="39.6" x14ac:dyDescent="0.25">
      <c r="A76" s="233" t="s">
        <v>220</v>
      </c>
      <c r="B76" s="181" t="s">
        <v>221</v>
      </c>
      <c r="C76" s="182">
        <v>48.4878</v>
      </c>
      <c r="D76" s="182">
        <v>57.347700000000003</v>
      </c>
      <c r="E76" s="182">
        <v>56.264899999999997</v>
      </c>
      <c r="F76" s="183">
        <f>83333.3/1000</f>
        <v>83.333300000000008</v>
      </c>
      <c r="G76" s="183">
        <f t="shared" si="32"/>
        <v>83.333300000000008</v>
      </c>
      <c r="H76" s="184">
        <f>83333.3/1000</f>
        <v>83.333300000000008</v>
      </c>
      <c r="I76" s="184"/>
      <c r="J76" s="185">
        <f t="shared" si="33"/>
        <v>0</v>
      </c>
      <c r="K76" s="185">
        <f t="shared" si="34"/>
        <v>0</v>
      </c>
      <c r="L76" s="186">
        <f>70190.8/1000</f>
        <v>70.190799999999996</v>
      </c>
      <c r="M76" s="186">
        <f t="shared" si="35"/>
        <v>72.319100000000006</v>
      </c>
      <c r="N76" s="184">
        <f>72319.1/1000</f>
        <v>72.319100000000006</v>
      </c>
      <c r="O76" s="184"/>
      <c r="P76" s="185">
        <f t="shared" si="24"/>
        <v>-2.1283000000000101</v>
      </c>
      <c r="Q76" s="185">
        <f t="shared" si="25"/>
        <v>-2.9429293229589604</v>
      </c>
      <c r="R76" s="186">
        <f>71182.2/1000</f>
        <v>71.182199999999995</v>
      </c>
      <c r="S76" s="186">
        <f t="shared" si="36"/>
        <v>72.319100000000006</v>
      </c>
      <c r="T76" s="184">
        <f>72319.1/1000</f>
        <v>72.319100000000006</v>
      </c>
      <c r="U76" s="184"/>
      <c r="V76" s="187">
        <f t="shared" si="3"/>
        <v>-1.1369000000000113</v>
      </c>
      <c r="W76" s="234">
        <f t="shared" si="4"/>
        <v>-1.5720604930094737</v>
      </c>
      <c r="X76" s="210"/>
      <c r="Y76" s="179"/>
    </row>
    <row r="77" spans="1:26" ht="39.6" x14ac:dyDescent="0.25">
      <c r="A77" s="233" t="s">
        <v>222</v>
      </c>
      <c r="B77" s="181" t="s">
        <v>223</v>
      </c>
      <c r="C77" s="182">
        <v>45.968299999999999</v>
      </c>
      <c r="D77" s="182">
        <v>58.924599999999998</v>
      </c>
      <c r="E77" s="182">
        <v>57.519100000000002</v>
      </c>
      <c r="F77" s="183">
        <f>54946.7/1000</f>
        <v>54.9467</v>
      </c>
      <c r="G77" s="183">
        <f t="shared" si="32"/>
        <v>54.9467</v>
      </c>
      <c r="H77" s="184">
        <f>54946.7/1000</f>
        <v>54.9467</v>
      </c>
      <c r="I77" s="184"/>
      <c r="J77" s="185">
        <f t="shared" si="33"/>
        <v>0</v>
      </c>
      <c r="K77" s="185">
        <f t="shared" si="34"/>
        <v>0</v>
      </c>
      <c r="L77" s="186">
        <f>53799.9/1000</f>
        <v>53.799900000000001</v>
      </c>
      <c r="M77" s="186">
        <f t="shared" si="35"/>
        <v>79.382199999999997</v>
      </c>
      <c r="N77" s="184">
        <f>79382.2/1000</f>
        <v>79.382199999999997</v>
      </c>
      <c r="O77" s="184"/>
      <c r="P77" s="185">
        <f t="shared" si="24"/>
        <v>-25.582299999999996</v>
      </c>
      <c r="Q77" s="185">
        <f t="shared" si="25"/>
        <v>-32.226746046342882</v>
      </c>
      <c r="R77" s="186">
        <f>54432.5/1000</f>
        <v>54.432499999999997</v>
      </c>
      <c r="S77" s="186">
        <f t="shared" si="36"/>
        <v>79.382199999999997</v>
      </c>
      <c r="T77" s="184">
        <f>79382.2/1000</f>
        <v>79.382199999999997</v>
      </c>
      <c r="U77" s="184"/>
      <c r="V77" s="187">
        <f t="shared" si="3"/>
        <v>-24.9497</v>
      </c>
      <c r="W77" s="234">
        <f t="shared" si="4"/>
        <v>-31.429841954493583</v>
      </c>
      <c r="X77" s="210"/>
      <c r="Y77" s="179"/>
    </row>
    <row r="78" spans="1:26" ht="52.8" x14ac:dyDescent="0.25">
      <c r="A78" s="233" t="s">
        <v>224</v>
      </c>
      <c r="B78" s="181" t="s">
        <v>225</v>
      </c>
      <c r="C78" s="182">
        <v>51.505600000000001</v>
      </c>
      <c r="D78" s="182">
        <v>48.770499999999998</v>
      </c>
      <c r="E78" s="182">
        <v>47.980200000000004</v>
      </c>
      <c r="F78" s="183">
        <f>48720.6/1000</f>
        <v>48.720599999999997</v>
      </c>
      <c r="G78" s="183">
        <f t="shared" si="32"/>
        <v>48.720599999999997</v>
      </c>
      <c r="H78" s="184">
        <f>48720.6/1000</f>
        <v>48.720599999999997</v>
      </c>
      <c r="I78" s="184"/>
      <c r="J78" s="185">
        <f t="shared" si="33"/>
        <v>0</v>
      </c>
      <c r="K78" s="185">
        <f t="shared" si="34"/>
        <v>0</v>
      </c>
      <c r="L78" s="186">
        <f>48720.6/1000</f>
        <v>48.720599999999997</v>
      </c>
      <c r="M78" s="186">
        <f t="shared" si="35"/>
        <v>78.016999999999996</v>
      </c>
      <c r="N78" s="184">
        <f>78017/1000</f>
        <v>78.016999999999996</v>
      </c>
      <c r="O78" s="184"/>
      <c r="P78" s="185">
        <f t="shared" si="24"/>
        <v>-29.296399999999998</v>
      </c>
      <c r="Q78" s="185">
        <f t="shared" si="25"/>
        <v>-37.551302921158211</v>
      </c>
      <c r="R78" s="186">
        <f>48720.6/1000</f>
        <v>48.720599999999997</v>
      </c>
      <c r="S78" s="186">
        <f t="shared" si="36"/>
        <v>85.495000000000005</v>
      </c>
      <c r="T78" s="184">
        <f>85495/1000</f>
        <v>85.495000000000005</v>
      </c>
      <c r="U78" s="184"/>
      <c r="V78" s="187">
        <f t="shared" ref="V78:V116" si="37">R78-S78</f>
        <v>-36.774400000000007</v>
      </c>
      <c r="W78" s="234">
        <f t="shared" ref="W78:W116" si="38">R78/S78*100-100</f>
        <v>-43.013509561962692</v>
      </c>
      <c r="X78" s="210"/>
      <c r="Y78" s="179"/>
    </row>
    <row r="79" spans="1:26" ht="26.4" x14ac:dyDescent="0.25">
      <c r="A79" s="233" t="s">
        <v>226</v>
      </c>
      <c r="B79" s="181" t="s">
        <v>227</v>
      </c>
      <c r="C79" s="182"/>
      <c r="D79" s="182"/>
      <c r="E79" s="182"/>
      <c r="F79" s="183">
        <f>52968/1000</f>
        <v>52.968000000000004</v>
      </c>
      <c r="G79" s="183">
        <f t="shared" si="32"/>
        <v>52.968000000000004</v>
      </c>
      <c r="H79" s="184">
        <f>52968/1000</f>
        <v>52.968000000000004</v>
      </c>
      <c r="I79" s="184"/>
      <c r="J79" s="185">
        <f t="shared" si="33"/>
        <v>0</v>
      </c>
      <c r="K79" s="185">
        <f t="shared" si="34"/>
        <v>0</v>
      </c>
      <c r="L79" s="186">
        <f>2968/1000</f>
        <v>2.968</v>
      </c>
      <c r="M79" s="186">
        <f t="shared" si="35"/>
        <v>9.468</v>
      </c>
      <c r="N79" s="184">
        <f>9468/1000</f>
        <v>9.468</v>
      </c>
      <c r="O79" s="184"/>
      <c r="P79" s="185">
        <f t="shared" si="24"/>
        <v>-6.5</v>
      </c>
      <c r="Q79" s="185">
        <f t="shared" si="25"/>
        <v>-68.65230249260668</v>
      </c>
      <c r="R79" s="186">
        <f>2968/1000</f>
        <v>2.968</v>
      </c>
      <c r="S79" s="186">
        <f t="shared" si="36"/>
        <v>19.600000000000001</v>
      </c>
      <c r="T79" s="184">
        <f>19600/1000</f>
        <v>19.600000000000001</v>
      </c>
      <c r="U79" s="184"/>
      <c r="V79" s="187">
        <f t="shared" si="37"/>
        <v>-16.632000000000001</v>
      </c>
      <c r="W79" s="234">
        <f t="shared" si="38"/>
        <v>-84.857142857142861</v>
      </c>
      <c r="X79" s="210"/>
      <c r="Y79" s="179"/>
    </row>
    <row r="80" spans="1:26" ht="52.8" x14ac:dyDescent="0.25">
      <c r="A80" s="225" t="s">
        <v>382</v>
      </c>
      <c r="B80" s="226" t="s">
        <v>229</v>
      </c>
      <c r="C80" s="227">
        <v>2.6831999999999998</v>
      </c>
      <c r="D80" s="227">
        <v>2.6576</v>
      </c>
      <c r="E80" s="227">
        <v>3.1190000000000002</v>
      </c>
      <c r="F80" s="228">
        <f>302310.8/1000</f>
        <v>302.31079999999997</v>
      </c>
      <c r="G80" s="190">
        <f t="shared" si="32"/>
        <v>302.31079999999997</v>
      </c>
      <c r="H80" s="229">
        <f>52258.5/1000</f>
        <v>52.258499999999998</v>
      </c>
      <c r="I80" s="228">
        <f>250052.3/1000</f>
        <v>250.0523</v>
      </c>
      <c r="J80" s="191">
        <f t="shared" si="33"/>
        <v>0</v>
      </c>
      <c r="K80" s="191">
        <f t="shared" si="34"/>
        <v>0</v>
      </c>
      <c r="L80" s="228">
        <f>27674.9/1000</f>
        <v>27.674900000000001</v>
      </c>
      <c r="M80" s="228">
        <f>N80+O80</f>
        <v>27.674900000000001</v>
      </c>
      <c r="N80" s="229">
        <f>27674.9/1000</f>
        <v>27.674900000000001</v>
      </c>
      <c r="O80" s="229">
        <v>0</v>
      </c>
      <c r="P80" s="230">
        <f t="shared" si="24"/>
        <v>0</v>
      </c>
      <c r="Q80" s="230">
        <f t="shared" si="25"/>
        <v>0</v>
      </c>
      <c r="R80" s="228">
        <f>42847.4/1000</f>
        <v>42.8474</v>
      </c>
      <c r="S80" s="228">
        <f>T80+U80</f>
        <v>42.8474</v>
      </c>
      <c r="T80" s="229">
        <f>42847.4/1000</f>
        <v>42.8474</v>
      </c>
      <c r="U80" s="229">
        <v>0</v>
      </c>
      <c r="V80" s="231">
        <f t="shared" si="37"/>
        <v>0</v>
      </c>
      <c r="W80" s="232">
        <f t="shared" si="38"/>
        <v>0</v>
      </c>
      <c r="X80" s="210"/>
      <c r="Y80" s="179"/>
    </row>
    <row r="81" spans="1:26" ht="39.6" x14ac:dyDescent="0.25">
      <c r="A81" s="225" t="s">
        <v>228</v>
      </c>
      <c r="B81" s="226" t="s">
        <v>229</v>
      </c>
      <c r="C81" s="227">
        <v>2.6831999999999998</v>
      </c>
      <c r="D81" s="227">
        <v>2.6576</v>
      </c>
      <c r="E81" s="227">
        <v>3.1190000000000002</v>
      </c>
      <c r="F81" s="228">
        <f>1494/1000</f>
        <v>1.494</v>
      </c>
      <c r="G81" s="190">
        <f t="shared" si="32"/>
        <v>1.494</v>
      </c>
      <c r="H81" s="229">
        <f>1494/1000</f>
        <v>1.494</v>
      </c>
      <c r="I81" s="228">
        <v>0</v>
      </c>
      <c r="J81" s="191">
        <f t="shared" si="33"/>
        <v>0</v>
      </c>
      <c r="K81" s="191">
        <f t="shared" si="34"/>
        <v>0</v>
      </c>
      <c r="L81" s="228">
        <f>3.494</f>
        <v>3.4940000000000002</v>
      </c>
      <c r="M81" s="228">
        <f>N81+O81</f>
        <v>3.4940000000000002</v>
      </c>
      <c r="N81" s="229">
        <f>3494/1000</f>
        <v>3.4940000000000002</v>
      </c>
      <c r="O81" s="229">
        <v>0</v>
      </c>
      <c r="P81" s="230">
        <f t="shared" si="24"/>
        <v>0</v>
      </c>
      <c r="Q81" s="230">
        <f t="shared" si="25"/>
        <v>0</v>
      </c>
      <c r="R81" s="228">
        <f>3494/1000</f>
        <v>3.4940000000000002</v>
      </c>
      <c r="S81" s="228">
        <f>T81+U81</f>
        <v>3.9940000000000002</v>
      </c>
      <c r="T81" s="229">
        <f>3994/1000</f>
        <v>3.9940000000000002</v>
      </c>
      <c r="U81" s="229">
        <v>0</v>
      </c>
      <c r="V81" s="231">
        <f t="shared" si="37"/>
        <v>-0.5</v>
      </c>
      <c r="W81" s="232">
        <f t="shared" si="38"/>
        <v>-12.518778167250872</v>
      </c>
      <c r="X81" s="211">
        <f>M81</f>
        <v>3.4940000000000002</v>
      </c>
      <c r="Y81" s="180">
        <f>S81</f>
        <v>3.9940000000000002</v>
      </c>
    </row>
    <row r="82" spans="1:26" ht="39.6" x14ac:dyDescent="0.25">
      <c r="A82" s="225" t="s">
        <v>230</v>
      </c>
      <c r="B82" s="226" t="s">
        <v>231</v>
      </c>
      <c r="C82" s="227">
        <f>C83+C84+C85+C86</f>
        <v>898.46069999999997</v>
      </c>
      <c r="D82" s="227">
        <f>D83+D84+D85+D86</f>
        <v>894.75549999999998</v>
      </c>
      <c r="E82" s="227">
        <f>E83+E84+E85+E86</f>
        <v>1835.5234</v>
      </c>
      <c r="F82" s="228">
        <f>F83+F84+F85+F86</f>
        <v>974.10130000000004</v>
      </c>
      <c r="G82" s="190">
        <f t="shared" si="32"/>
        <v>974.10130000000004</v>
      </c>
      <c r="H82" s="229">
        <f>H83+H84+H85+H86</f>
        <v>368.37579999999997</v>
      </c>
      <c r="I82" s="229">
        <f>I83+I84+I85+I86</f>
        <v>605.72550000000001</v>
      </c>
      <c r="J82" s="191">
        <f t="shared" si="33"/>
        <v>0</v>
      </c>
      <c r="K82" s="191">
        <f t="shared" si="34"/>
        <v>0</v>
      </c>
      <c r="L82" s="228">
        <f>L83+L84+L85+L86</f>
        <v>993.46810000000005</v>
      </c>
      <c r="M82" s="228">
        <f>M83+M84+M85+M86</f>
        <v>913.13750000000005</v>
      </c>
      <c r="N82" s="229">
        <f>N83+N84+N85+N86</f>
        <v>362.3202</v>
      </c>
      <c r="O82" s="229">
        <f>O83+O84+O85+O86</f>
        <v>550.81730000000005</v>
      </c>
      <c r="P82" s="230">
        <f t="shared" si="24"/>
        <v>80.330600000000004</v>
      </c>
      <c r="Q82" s="230">
        <f t="shared" si="25"/>
        <v>8.7972074304253169</v>
      </c>
      <c r="R82" s="228">
        <f>R83+R84+R85+R86</f>
        <v>1003.12</v>
      </c>
      <c r="S82" s="228">
        <f>S83+S84+S85+S86</f>
        <v>913.13750000000005</v>
      </c>
      <c r="T82" s="229">
        <f>T83+T84+T85+T86</f>
        <v>362.3202</v>
      </c>
      <c r="U82" s="229">
        <f>U83+U84+U85+U86</f>
        <v>550.81730000000005</v>
      </c>
      <c r="V82" s="231">
        <f t="shared" si="37"/>
        <v>89.982499999999959</v>
      </c>
      <c r="W82" s="232">
        <f t="shared" si="38"/>
        <v>9.8542114413218087</v>
      </c>
      <c r="X82" s="211">
        <f>M82+541.0829</f>
        <v>1454.2204000000002</v>
      </c>
      <c r="Y82" s="180">
        <f>S82+550.8173</f>
        <v>1463.9548</v>
      </c>
    </row>
    <row r="83" spans="1:26" ht="26.4" x14ac:dyDescent="0.25">
      <c r="A83" s="233" t="s">
        <v>232</v>
      </c>
      <c r="B83" s="181" t="s">
        <v>233</v>
      </c>
      <c r="C83" s="182">
        <v>82.896199999999993</v>
      </c>
      <c r="D83" s="182">
        <v>80.765299999999996</v>
      </c>
      <c r="E83" s="182">
        <v>1003.171</v>
      </c>
      <c r="F83" s="183">
        <f>102191.2/1000</f>
        <v>102.19119999999999</v>
      </c>
      <c r="G83" s="183">
        <f t="shared" si="32"/>
        <v>102.19120000000001</v>
      </c>
      <c r="H83" s="184">
        <f>17473.1/1000</f>
        <v>17.473099999999999</v>
      </c>
      <c r="I83" s="184">
        <f>84718.1/1000</f>
        <v>84.718100000000007</v>
      </c>
      <c r="J83" s="185">
        <f t="shared" si="33"/>
        <v>0</v>
      </c>
      <c r="K83" s="185">
        <f t="shared" si="34"/>
        <v>0</v>
      </c>
      <c r="L83" s="186">
        <f>121288.4/1000</f>
        <v>121.2884</v>
      </c>
      <c r="M83" s="186">
        <f>N83+O83</f>
        <v>70.603100000000012</v>
      </c>
      <c r="N83" s="184">
        <f>500/1000</f>
        <v>0.5</v>
      </c>
      <c r="O83" s="184">
        <f>70103.1/1000</f>
        <v>70.103100000000012</v>
      </c>
      <c r="P83" s="185">
        <f t="shared" si="24"/>
        <v>50.685299999999984</v>
      </c>
      <c r="Q83" s="185">
        <f t="shared" si="25"/>
        <v>71.789057420991412</v>
      </c>
      <c r="R83" s="186">
        <f>108871.6/1000</f>
        <v>108.8716</v>
      </c>
      <c r="S83" s="186">
        <f>T83+U83</f>
        <v>70.603100000000012</v>
      </c>
      <c r="T83" s="184">
        <f>500/1000</f>
        <v>0.5</v>
      </c>
      <c r="U83" s="184">
        <f>70103.1/1000</f>
        <v>70.103100000000012</v>
      </c>
      <c r="V83" s="187">
        <f t="shared" si="37"/>
        <v>38.268499999999989</v>
      </c>
      <c r="W83" s="234">
        <f t="shared" si="38"/>
        <v>54.202294233539305</v>
      </c>
      <c r="X83" s="210"/>
      <c r="Y83" s="179"/>
    </row>
    <row r="84" spans="1:26" ht="13.95" customHeight="1" x14ac:dyDescent="0.25">
      <c r="A84" s="233" t="s">
        <v>234</v>
      </c>
      <c r="B84" s="181" t="s">
        <v>235</v>
      </c>
      <c r="C84" s="182">
        <v>18.754899999999999</v>
      </c>
      <c r="D84" s="182">
        <v>26.574300000000001</v>
      </c>
      <c r="E84" s="182">
        <v>23.965399999999999</v>
      </c>
      <c r="F84" s="183">
        <f>19904/1000</f>
        <v>19.904</v>
      </c>
      <c r="G84" s="183">
        <f t="shared" si="32"/>
        <v>19.904</v>
      </c>
      <c r="H84" s="184">
        <f>2000/1000</f>
        <v>2</v>
      </c>
      <c r="I84" s="184">
        <f>17904/1000</f>
        <v>17.904</v>
      </c>
      <c r="J84" s="185">
        <f t="shared" si="33"/>
        <v>0</v>
      </c>
      <c r="K84" s="185">
        <f t="shared" si="34"/>
        <v>0</v>
      </c>
      <c r="L84" s="186">
        <f>19889/1000</f>
        <v>19.888999999999999</v>
      </c>
      <c r="M84" s="186">
        <f t="shared" ref="M84:M86" si="39">N84+O84</f>
        <v>0.1875</v>
      </c>
      <c r="N84" s="184"/>
      <c r="O84" s="184">
        <f>187.5/1000</f>
        <v>0.1875</v>
      </c>
      <c r="P84" s="185">
        <f t="shared" si="24"/>
        <v>19.701499999999999</v>
      </c>
      <c r="Q84" s="185">
        <v>0</v>
      </c>
      <c r="R84" s="186">
        <f>19889/1000</f>
        <v>19.888999999999999</v>
      </c>
      <c r="S84" s="186">
        <f t="shared" ref="S84:S86" si="40">T84+U84</f>
        <v>0.1875</v>
      </c>
      <c r="T84" s="184"/>
      <c r="U84" s="184">
        <f>187.5/1000</f>
        <v>0.1875</v>
      </c>
      <c r="V84" s="187">
        <f t="shared" si="37"/>
        <v>19.701499999999999</v>
      </c>
      <c r="W84" s="234">
        <v>0</v>
      </c>
      <c r="X84" s="210"/>
      <c r="Y84" s="179"/>
    </row>
    <row r="85" spans="1:26" x14ac:dyDescent="0.25">
      <c r="A85" s="233" t="s">
        <v>236</v>
      </c>
      <c r="B85" s="181" t="s">
        <v>237</v>
      </c>
      <c r="C85" s="182">
        <v>294.12709999999998</v>
      </c>
      <c r="D85" s="182">
        <v>231.69450000000001</v>
      </c>
      <c r="E85" s="182">
        <v>249.39</v>
      </c>
      <c r="F85" s="183">
        <f>267413.2/1000</f>
        <v>267.41320000000002</v>
      </c>
      <c r="G85" s="183">
        <f t="shared" si="32"/>
        <v>267.41319999999996</v>
      </c>
      <c r="H85" s="184">
        <f>185950.3/1000</f>
        <v>185.9503</v>
      </c>
      <c r="I85" s="184">
        <f>81462.9/1000</f>
        <v>81.462899999999991</v>
      </c>
      <c r="J85" s="185">
        <f t="shared" si="33"/>
        <v>0</v>
      </c>
      <c r="K85" s="185">
        <f t="shared" si="34"/>
        <v>0</v>
      </c>
      <c r="L85" s="186">
        <f>268830.3/1000</f>
        <v>268.83029999999997</v>
      </c>
      <c r="M85" s="186">
        <f t="shared" si="39"/>
        <v>255.17329999999998</v>
      </c>
      <c r="N85" s="184">
        <f>167931.8/1000</f>
        <v>167.93179999999998</v>
      </c>
      <c r="O85" s="184">
        <f>87241.5/1000</f>
        <v>87.241500000000002</v>
      </c>
      <c r="P85" s="185">
        <f t="shared" si="24"/>
        <v>13.656999999999982</v>
      </c>
      <c r="Q85" s="185">
        <f>L85/M85*100-100</f>
        <v>5.3520489800461064</v>
      </c>
      <c r="R85" s="186">
        <f>276785.1/1000</f>
        <v>276.7851</v>
      </c>
      <c r="S85" s="186">
        <f t="shared" si="40"/>
        <v>255.17329999999998</v>
      </c>
      <c r="T85" s="184">
        <f>167931.8/1000</f>
        <v>167.93179999999998</v>
      </c>
      <c r="U85" s="184">
        <f>87241.5/1000</f>
        <v>87.241500000000002</v>
      </c>
      <c r="V85" s="187">
        <f t="shared" si="37"/>
        <v>21.611800000000017</v>
      </c>
      <c r="W85" s="234">
        <f t="shared" si="38"/>
        <v>8.4694597749843012</v>
      </c>
      <c r="X85" s="210"/>
      <c r="Y85" s="179"/>
    </row>
    <row r="86" spans="1:26" ht="52.8" x14ac:dyDescent="0.25">
      <c r="A86" s="233" t="s">
        <v>238</v>
      </c>
      <c r="B86" s="181" t="s">
        <v>239</v>
      </c>
      <c r="C86" s="182">
        <v>502.6825</v>
      </c>
      <c r="D86" s="182">
        <v>555.72140000000002</v>
      </c>
      <c r="E86" s="182">
        <v>558.99699999999996</v>
      </c>
      <c r="F86" s="183">
        <f>584592.9/1000</f>
        <v>584.59289999999999</v>
      </c>
      <c r="G86" s="183">
        <f t="shared" si="32"/>
        <v>584.59289999999999</v>
      </c>
      <c r="H86" s="184">
        <f>162952.4/1000</f>
        <v>162.95239999999998</v>
      </c>
      <c r="I86" s="184">
        <f>421640.5/1000</f>
        <v>421.64049999999997</v>
      </c>
      <c r="J86" s="185">
        <f t="shared" si="33"/>
        <v>0</v>
      </c>
      <c r="K86" s="185">
        <f t="shared" si="34"/>
        <v>0</v>
      </c>
      <c r="L86" s="186">
        <f>583460.4/1000</f>
        <v>583.46040000000005</v>
      </c>
      <c r="M86" s="186">
        <f t="shared" si="39"/>
        <v>587.17360000000008</v>
      </c>
      <c r="N86" s="184">
        <f>193888.4/1000</f>
        <v>193.88839999999999</v>
      </c>
      <c r="O86" s="184">
        <f>393285.2/1000</f>
        <v>393.28520000000003</v>
      </c>
      <c r="P86" s="185">
        <f t="shared" si="24"/>
        <v>-3.7132000000000289</v>
      </c>
      <c r="Q86" s="185">
        <f>L86/M86*100-100</f>
        <v>-0.63238537972416964</v>
      </c>
      <c r="R86" s="186">
        <f>597574.3/1000</f>
        <v>597.57429999999999</v>
      </c>
      <c r="S86" s="186">
        <f t="shared" si="40"/>
        <v>587.17360000000008</v>
      </c>
      <c r="T86" s="184">
        <f>193888.4/1000</f>
        <v>193.88839999999999</v>
      </c>
      <c r="U86" s="184">
        <f>393285.2/1000</f>
        <v>393.28520000000003</v>
      </c>
      <c r="V86" s="187">
        <f t="shared" si="37"/>
        <v>10.400699999999915</v>
      </c>
      <c r="W86" s="234">
        <f t="shared" si="38"/>
        <v>1.7713160128452614</v>
      </c>
      <c r="X86" s="210"/>
      <c r="Y86" s="179"/>
    </row>
    <row r="87" spans="1:26" ht="52.8" x14ac:dyDescent="0.25">
      <c r="A87" s="225" t="s">
        <v>240</v>
      </c>
      <c r="B87" s="226" t="s">
        <v>241</v>
      </c>
      <c r="C87" s="227">
        <f>SUM(C88:C90)</f>
        <v>3153.0568999999996</v>
      </c>
      <c r="D87" s="227">
        <f>SUM(D88:D90)</f>
        <v>3053.2147999999997</v>
      </c>
      <c r="E87" s="227">
        <f>SUM(E88:E90)</f>
        <v>3327.645</v>
      </c>
      <c r="F87" s="228">
        <f>SUM(F88:F90)</f>
        <v>3194.8978999999999</v>
      </c>
      <c r="G87" s="190">
        <f t="shared" si="32"/>
        <v>3194.8978999999999</v>
      </c>
      <c r="H87" s="229">
        <f>SUM(H88:H90)</f>
        <v>3194.8978999999999</v>
      </c>
      <c r="I87" s="229">
        <f>SUM(I88:I90)</f>
        <v>0</v>
      </c>
      <c r="J87" s="191">
        <f t="shared" si="33"/>
        <v>0</v>
      </c>
      <c r="K87" s="191">
        <f t="shared" si="34"/>
        <v>0</v>
      </c>
      <c r="L87" s="228">
        <f>SUM(L88:L90)</f>
        <v>2476.7258999999999</v>
      </c>
      <c r="M87" s="228">
        <f>SUM(M88:M90)</f>
        <v>3478.6677</v>
      </c>
      <c r="N87" s="229">
        <f>SUM(N88:N90)</f>
        <v>3478.6677</v>
      </c>
      <c r="O87" s="229">
        <f>SUM(O88:O90)</f>
        <v>0</v>
      </c>
      <c r="P87" s="230">
        <f t="shared" si="24"/>
        <v>-1001.9418000000001</v>
      </c>
      <c r="Q87" s="230">
        <f>L87/M87*100-100</f>
        <v>-28.802457906514036</v>
      </c>
      <c r="R87" s="228">
        <f>SUM(R88:R90)</f>
        <v>4006.8912999999998</v>
      </c>
      <c r="S87" s="228">
        <f>SUM(S88:S90)</f>
        <v>4287.8423999999995</v>
      </c>
      <c r="T87" s="229">
        <f>SUM(T88:T90)</f>
        <v>4287.8423999999995</v>
      </c>
      <c r="U87" s="229">
        <f>SUM(U88:U90)</f>
        <v>0</v>
      </c>
      <c r="V87" s="231">
        <f t="shared" si="37"/>
        <v>-280.95109999999977</v>
      </c>
      <c r="W87" s="232">
        <f t="shared" si="38"/>
        <v>-6.5522720704473585</v>
      </c>
      <c r="X87" s="211">
        <f>M87</f>
        <v>3478.6677</v>
      </c>
      <c r="Y87" s="180">
        <f>S87</f>
        <v>4287.8423999999995</v>
      </c>
      <c r="Z87" s="198"/>
    </row>
    <row r="88" spans="1:26" ht="39.6" x14ac:dyDescent="0.25">
      <c r="A88" s="233" t="s">
        <v>242</v>
      </c>
      <c r="B88" s="181" t="s">
        <v>243</v>
      </c>
      <c r="C88" s="182">
        <v>353.71460000000002</v>
      </c>
      <c r="D88" s="182">
        <v>186.55500000000001</v>
      </c>
      <c r="E88" s="182">
        <v>132.53749999999999</v>
      </c>
      <c r="F88" s="183">
        <f>900/1000</f>
        <v>0.9</v>
      </c>
      <c r="G88" s="183">
        <f t="shared" si="32"/>
        <v>0.9</v>
      </c>
      <c r="H88" s="184">
        <f>900/1000</f>
        <v>0.9</v>
      </c>
      <c r="I88" s="184"/>
      <c r="J88" s="185">
        <f t="shared" si="33"/>
        <v>0</v>
      </c>
      <c r="K88" s="185">
        <f t="shared" si="34"/>
        <v>0</v>
      </c>
      <c r="L88" s="186">
        <f>900/1000</f>
        <v>0.9</v>
      </c>
      <c r="M88" s="186">
        <f>N88+O88</f>
        <v>192.19749999999999</v>
      </c>
      <c r="N88" s="184">
        <f>192.1975</f>
        <v>192.19749999999999</v>
      </c>
      <c r="O88" s="184"/>
      <c r="P88" s="185">
        <f t="shared" si="24"/>
        <v>-191.29749999999999</v>
      </c>
      <c r="Q88" s="185">
        <f>L88/M88*100-100</f>
        <v>-99.531731682253934</v>
      </c>
      <c r="R88" s="186">
        <f>900/1000</f>
        <v>0.9</v>
      </c>
      <c r="S88" s="186">
        <f>T88+U88</f>
        <v>326.334</v>
      </c>
      <c r="T88" s="184">
        <v>326.334</v>
      </c>
      <c r="U88" s="184"/>
      <c r="V88" s="187">
        <f t="shared" si="37"/>
        <v>-325.43400000000003</v>
      </c>
      <c r="W88" s="234">
        <f t="shared" si="38"/>
        <v>-99.724208939307587</v>
      </c>
      <c r="X88" s="210"/>
      <c r="Y88" s="179"/>
    </row>
    <row r="89" spans="1:26" ht="26.4" x14ac:dyDescent="0.25">
      <c r="A89" s="233" t="s">
        <v>383</v>
      </c>
      <c r="B89" s="181"/>
      <c r="C89" s="182"/>
      <c r="D89" s="182"/>
      <c r="E89" s="182"/>
      <c r="F89" s="183">
        <f>2310/1000</f>
        <v>2.31</v>
      </c>
      <c r="G89" s="183">
        <f t="shared" si="32"/>
        <v>2.31</v>
      </c>
      <c r="H89" s="184">
        <f>2310/1000</f>
        <v>2.31</v>
      </c>
      <c r="I89" s="184"/>
      <c r="J89" s="185">
        <f t="shared" si="33"/>
        <v>0</v>
      </c>
      <c r="K89" s="185">
        <f t="shared" si="34"/>
        <v>0</v>
      </c>
      <c r="L89" s="186">
        <f>3840/1000</f>
        <v>3.84</v>
      </c>
      <c r="M89" s="186">
        <f t="shared" ref="M89:M90" si="41">N89+O89</f>
        <v>0</v>
      </c>
      <c r="N89" s="184"/>
      <c r="O89" s="184"/>
      <c r="P89" s="185"/>
      <c r="Q89" s="185"/>
      <c r="R89" s="186"/>
      <c r="S89" s="186">
        <f t="shared" ref="S89:S90" si="42">T89+U89</f>
        <v>146.30000000000001</v>
      </c>
      <c r="T89" s="184">
        <f>146300/1000</f>
        <v>146.30000000000001</v>
      </c>
      <c r="U89" s="184"/>
      <c r="V89" s="187">
        <f t="shared" si="37"/>
        <v>-146.30000000000001</v>
      </c>
      <c r="W89" s="234">
        <f t="shared" si="38"/>
        <v>-100</v>
      </c>
      <c r="X89" s="210"/>
      <c r="Y89" s="179"/>
    </row>
    <row r="90" spans="1:26" ht="52.8" x14ac:dyDescent="0.25">
      <c r="A90" s="233" t="s">
        <v>244</v>
      </c>
      <c r="B90" s="181" t="s">
        <v>245</v>
      </c>
      <c r="C90" s="182">
        <v>2799.3422999999998</v>
      </c>
      <c r="D90" s="182">
        <v>2866.6597999999999</v>
      </c>
      <c r="E90" s="182">
        <v>3195.1075000000001</v>
      </c>
      <c r="F90" s="183">
        <f>3191687.9/1000</f>
        <v>3191.6878999999999</v>
      </c>
      <c r="G90" s="183">
        <f t="shared" si="32"/>
        <v>3191.6878999999999</v>
      </c>
      <c r="H90" s="184">
        <f>3191687.9/1000</f>
        <v>3191.6878999999999</v>
      </c>
      <c r="I90" s="184"/>
      <c r="J90" s="185">
        <f t="shared" si="33"/>
        <v>0</v>
      </c>
      <c r="K90" s="185">
        <f t="shared" si="34"/>
        <v>0</v>
      </c>
      <c r="L90" s="186">
        <f>2471985.9/1000</f>
        <v>2471.9859000000001</v>
      </c>
      <c r="M90" s="186">
        <f t="shared" si="41"/>
        <v>3286.4702000000002</v>
      </c>
      <c r="N90" s="184">
        <f>3286470.2/1000</f>
        <v>3286.4702000000002</v>
      </c>
      <c r="O90" s="184"/>
      <c r="P90" s="185">
        <f t="shared" ref="P90:P116" si="43">L90-M90</f>
        <v>-814.48430000000008</v>
      </c>
      <c r="Q90" s="185">
        <f t="shared" ref="Q90:Q117" si="44">L90/M90*100-100</f>
        <v>-24.782951021433277</v>
      </c>
      <c r="R90" s="186">
        <f>4005991.3/1000</f>
        <v>4005.9912999999997</v>
      </c>
      <c r="S90" s="186">
        <f t="shared" si="42"/>
        <v>3815.2084</v>
      </c>
      <c r="T90" s="184">
        <f>3815208.4/1000</f>
        <v>3815.2084</v>
      </c>
      <c r="U90" s="184"/>
      <c r="V90" s="187">
        <f t="shared" si="37"/>
        <v>190.7828999999997</v>
      </c>
      <c r="W90" s="234">
        <f t="shared" si="38"/>
        <v>5.0005892207618245</v>
      </c>
      <c r="X90" s="210"/>
      <c r="Y90" s="179"/>
    </row>
    <row r="91" spans="1:26" ht="79.2" x14ac:dyDescent="0.25">
      <c r="A91" s="225" t="s">
        <v>246</v>
      </c>
      <c r="B91" s="226" t="s">
        <v>247</v>
      </c>
      <c r="C91" s="227">
        <f>C92+C93+C94+C95</f>
        <v>80.991399999999999</v>
      </c>
      <c r="D91" s="227">
        <f>D92+D93+D94+D95</f>
        <v>81.4542</v>
      </c>
      <c r="E91" s="227">
        <f>E92+E93+E94+E95</f>
        <v>76.150800000000004</v>
      </c>
      <c r="F91" s="228">
        <f>F92+F93+F94+F95</f>
        <v>52.059500000000007</v>
      </c>
      <c r="G91" s="190">
        <f t="shared" si="32"/>
        <v>52.0595</v>
      </c>
      <c r="H91" s="229">
        <f>H92+H93+H94+H95</f>
        <v>49.777700000000003</v>
      </c>
      <c r="I91" s="229">
        <f>I92+I93+I94+I95</f>
        <v>2.2818000000000001</v>
      </c>
      <c r="J91" s="191">
        <f t="shared" si="33"/>
        <v>0</v>
      </c>
      <c r="K91" s="191">
        <f t="shared" si="34"/>
        <v>0</v>
      </c>
      <c r="L91" s="228">
        <f>L92+L93+L94+L95</f>
        <v>37.356000000000002</v>
      </c>
      <c r="M91" s="228">
        <f>M92+M93+M94+M95</f>
        <v>78.076000000000008</v>
      </c>
      <c r="N91" s="229">
        <f>N92+N93+N94+N95</f>
        <v>78.076000000000008</v>
      </c>
      <c r="O91" s="229">
        <f>O92+O93+O94+O95</f>
        <v>0</v>
      </c>
      <c r="P91" s="230">
        <f t="shared" si="43"/>
        <v>-40.720000000000006</v>
      </c>
      <c r="Q91" s="230">
        <f t="shared" si="44"/>
        <v>-52.154311183974592</v>
      </c>
      <c r="R91" s="228">
        <f>R92+R93+R94+R95</f>
        <v>39.043900000000001</v>
      </c>
      <c r="S91" s="228">
        <f>S92+S93+S94+S95</f>
        <v>81.372699999999995</v>
      </c>
      <c r="T91" s="229">
        <f>T92+T93+T94+T95</f>
        <v>81.372699999999995</v>
      </c>
      <c r="U91" s="229">
        <f>U92+U93+U94+U95</f>
        <v>0</v>
      </c>
      <c r="V91" s="231">
        <f t="shared" si="37"/>
        <v>-42.328799999999994</v>
      </c>
      <c r="W91" s="232">
        <f t="shared" si="38"/>
        <v>-52.018428785083934</v>
      </c>
      <c r="X91" s="211">
        <f>M91</f>
        <v>78.076000000000008</v>
      </c>
      <c r="Y91" s="180">
        <f>S91</f>
        <v>81.372699999999995</v>
      </c>
    </row>
    <row r="92" spans="1:26" ht="39.6" x14ac:dyDescent="0.25">
      <c r="A92" s="233" t="s">
        <v>248</v>
      </c>
      <c r="B92" s="181" t="s">
        <v>249</v>
      </c>
      <c r="C92" s="182">
        <v>26.431000000000001</v>
      </c>
      <c r="D92" s="182">
        <v>21.0898</v>
      </c>
      <c r="E92" s="182">
        <v>10</v>
      </c>
      <c r="F92" s="183">
        <f>15790.6/1000</f>
        <v>15.7906</v>
      </c>
      <c r="G92" s="183">
        <f t="shared" si="32"/>
        <v>15.7906</v>
      </c>
      <c r="H92" s="184">
        <f>15790.6/1000</f>
        <v>15.7906</v>
      </c>
      <c r="I92" s="184"/>
      <c r="J92" s="185">
        <f t="shared" si="33"/>
        <v>0</v>
      </c>
      <c r="K92" s="185">
        <f t="shared" si="34"/>
        <v>0</v>
      </c>
      <c r="L92" s="186">
        <f>10492.8/1000</f>
        <v>10.492799999999999</v>
      </c>
      <c r="M92" s="186">
        <f>N92+O92</f>
        <v>31.7835</v>
      </c>
      <c r="N92" s="184">
        <f>31783.5/1000</f>
        <v>31.7835</v>
      </c>
      <c r="O92" s="184"/>
      <c r="P92" s="185">
        <f t="shared" si="43"/>
        <v>-21.290700000000001</v>
      </c>
      <c r="Q92" s="185">
        <f t="shared" si="44"/>
        <v>-66.986644013403179</v>
      </c>
      <c r="R92" s="186">
        <f>10492.9/1000</f>
        <v>10.492899999999999</v>
      </c>
      <c r="S92" s="186">
        <f>T92+U92</f>
        <v>34.9619</v>
      </c>
      <c r="T92" s="184">
        <f>34961.9/1000</f>
        <v>34.9619</v>
      </c>
      <c r="U92" s="184"/>
      <c r="V92" s="187">
        <f t="shared" si="37"/>
        <v>-24.469000000000001</v>
      </c>
      <c r="W92" s="234">
        <f t="shared" si="38"/>
        <v>-69.987615089568934</v>
      </c>
      <c r="X92" s="210"/>
      <c r="Y92" s="179"/>
    </row>
    <row r="93" spans="1:26" ht="39.6" x14ac:dyDescent="0.25">
      <c r="A93" s="233" t="s">
        <v>250</v>
      </c>
      <c r="B93" s="181" t="s">
        <v>251</v>
      </c>
      <c r="C93" s="199">
        <v>22</v>
      </c>
      <c r="D93" s="182">
        <v>12.495100000000001</v>
      </c>
      <c r="E93" s="182">
        <v>12.5</v>
      </c>
      <c r="F93" s="183">
        <f>15752.1/1000</f>
        <v>15.7521</v>
      </c>
      <c r="G93" s="183">
        <f t="shared" si="32"/>
        <v>15.7521</v>
      </c>
      <c r="H93" s="184">
        <f>15752.1/1000</f>
        <v>15.7521</v>
      </c>
      <c r="I93" s="184"/>
      <c r="J93" s="185">
        <f t="shared" si="33"/>
        <v>0</v>
      </c>
      <c r="K93" s="185">
        <f t="shared" si="34"/>
        <v>0</v>
      </c>
      <c r="L93" s="186">
        <f>10060.1/1000</f>
        <v>10.0601</v>
      </c>
      <c r="M93" s="186">
        <f t="shared" ref="M93:M95" si="45">N93+O93</f>
        <v>27.2</v>
      </c>
      <c r="N93" s="184">
        <f>27200/1000</f>
        <v>27.2</v>
      </c>
      <c r="O93" s="184"/>
      <c r="P93" s="185">
        <f t="shared" si="43"/>
        <v>-17.139899999999997</v>
      </c>
      <c r="Q93" s="185">
        <f t="shared" si="44"/>
        <v>-63.014338235294112</v>
      </c>
      <c r="R93" s="186">
        <f>10060/1000</f>
        <v>10.06</v>
      </c>
      <c r="S93" s="186">
        <f t="shared" ref="S93:S95" si="46">T93+U93</f>
        <v>27.2</v>
      </c>
      <c r="T93" s="184">
        <f>27200/1000</f>
        <v>27.2</v>
      </c>
      <c r="U93" s="184"/>
      <c r="V93" s="187">
        <f t="shared" si="37"/>
        <v>-17.14</v>
      </c>
      <c r="W93" s="234">
        <f t="shared" si="38"/>
        <v>-63.014705882352942</v>
      </c>
      <c r="X93" s="210"/>
      <c r="Y93" s="179"/>
    </row>
    <row r="94" spans="1:26" ht="26.4" x14ac:dyDescent="0.25">
      <c r="A94" s="233" t="s">
        <v>252</v>
      </c>
      <c r="B94" s="181" t="s">
        <v>253</v>
      </c>
      <c r="C94" s="182">
        <v>32.560400000000001</v>
      </c>
      <c r="D94" s="182">
        <v>46.869399999999999</v>
      </c>
      <c r="E94" s="182">
        <v>52.650799999999997</v>
      </c>
      <c r="F94" s="183">
        <f>17389.4/1000</f>
        <v>17.389400000000002</v>
      </c>
      <c r="G94" s="183">
        <f t="shared" si="32"/>
        <v>17.389400000000002</v>
      </c>
      <c r="H94" s="184">
        <f>17389.4/1000</f>
        <v>17.389400000000002</v>
      </c>
      <c r="I94" s="184"/>
      <c r="J94" s="185">
        <f t="shared" si="33"/>
        <v>0</v>
      </c>
      <c r="K94" s="185">
        <f t="shared" si="34"/>
        <v>0</v>
      </c>
      <c r="L94" s="186">
        <f>13514/1000</f>
        <v>13.513999999999999</v>
      </c>
      <c r="M94" s="186">
        <f t="shared" si="45"/>
        <v>17.389400000000002</v>
      </c>
      <c r="N94" s="184">
        <f>17389.4/1000</f>
        <v>17.389400000000002</v>
      </c>
      <c r="O94" s="184"/>
      <c r="P94" s="185">
        <f t="shared" si="43"/>
        <v>-3.8754000000000026</v>
      </c>
      <c r="Q94" s="185">
        <f t="shared" si="44"/>
        <v>-22.285990315939614</v>
      </c>
      <c r="R94" s="186">
        <f>15202.1/1000</f>
        <v>15.2021</v>
      </c>
      <c r="S94" s="186">
        <f t="shared" si="46"/>
        <v>17.389400000000002</v>
      </c>
      <c r="T94" s="184">
        <f>17389.4/1000</f>
        <v>17.389400000000002</v>
      </c>
      <c r="U94" s="184"/>
      <c r="V94" s="187">
        <f t="shared" si="37"/>
        <v>-2.1873000000000022</v>
      </c>
      <c r="W94" s="234">
        <f t="shared" si="38"/>
        <v>-12.578352329580099</v>
      </c>
      <c r="X94" s="210"/>
      <c r="Y94" s="179"/>
    </row>
    <row r="95" spans="1:26" ht="52.8" x14ac:dyDescent="0.25">
      <c r="A95" s="233" t="s">
        <v>254</v>
      </c>
      <c r="B95" s="181" t="s">
        <v>255</v>
      </c>
      <c r="C95" s="182"/>
      <c r="D95" s="182">
        <v>0.99990000000000001</v>
      </c>
      <c r="E95" s="182">
        <v>1</v>
      </c>
      <c r="F95" s="183">
        <f>3127.4/1000</f>
        <v>3.1274000000000002</v>
      </c>
      <c r="G95" s="183">
        <f t="shared" si="32"/>
        <v>3.1274000000000002</v>
      </c>
      <c r="H95" s="184">
        <f>845.6/1000</f>
        <v>0.84560000000000002</v>
      </c>
      <c r="I95" s="184">
        <f>2281.8/1000</f>
        <v>2.2818000000000001</v>
      </c>
      <c r="J95" s="185">
        <f t="shared" si="33"/>
        <v>0</v>
      </c>
      <c r="K95" s="185">
        <f t="shared" si="34"/>
        <v>0</v>
      </c>
      <c r="L95" s="186">
        <f>3289.1/1000</f>
        <v>3.2890999999999999</v>
      </c>
      <c r="M95" s="186">
        <f t="shared" si="45"/>
        <v>1.7030999999999998</v>
      </c>
      <c r="N95" s="184">
        <f>1703.1/1000</f>
        <v>1.7030999999999998</v>
      </c>
      <c r="O95" s="184"/>
      <c r="P95" s="185">
        <f t="shared" si="43"/>
        <v>1.5860000000000001</v>
      </c>
      <c r="Q95" s="185">
        <f t="shared" si="44"/>
        <v>93.124302742058603</v>
      </c>
      <c r="R95" s="186">
        <f>3288.9/1000</f>
        <v>3.2888999999999999</v>
      </c>
      <c r="S95" s="186">
        <f t="shared" si="46"/>
        <v>1.8214000000000001</v>
      </c>
      <c r="T95" s="184">
        <f>1821.4/1000</f>
        <v>1.8214000000000001</v>
      </c>
      <c r="U95" s="184"/>
      <c r="V95" s="187">
        <f t="shared" si="37"/>
        <v>1.4674999999999998</v>
      </c>
      <c r="W95" s="234">
        <f t="shared" si="38"/>
        <v>80.569891292412422</v>
      </c>
      <c r="X95" s="210"/>
      <c r="Y95" s="179"/>
    </row>
    <row r="96" spans="1:26" ht="39.6" x14ac:dyDescent="0.25">
      <c r="A96" s="225" t="s">
        <v>256</v>
      </c>
      <c r="B96" s="226" t="s">
        <v>257</v>
      </c>
      <c r="C96" s="227">
        <f>C97+C98+C99+C100+C101+C102</f>
        <v>4272.0410000000002</v>
      </c>
      <c r="D96" s="227">
        <f>D97+D98+D99+D100+D101+D102</f>
        <v>4894.067</v>
      </c>
      <c r="E96" s="227">
        <f>E97+E98+E99+E100+E101+E102</f>
        <v>6513.4591</v>
      </c>
      <c r="F96" s="228">
        <f>F97+F98+F99+F100+F101+F102</f>
        <v>4583.4340000000002</v>
      </c>
      <c r="G96" s="190">
        <f t="shared" si="32"/>
        <v>4691.2442000000001</v>
      </c>
      <c r="H96" s="229">
        <f>H97+H98+H99+H100+H101+H102</f>
        <v>4583.4340000000002</v>
      </c>
      <c r="I96" s="229">
        <f>I97+I98+I99+I100+I101+I102</f>
        <v>107.81019999999999</v>
      </c>
      <c r="J96" s="191">
        <f t="shared" si="33"/>
        <v>-107.8101999999999</v>
      </c>
      <c r="K96" s="191">
        <f t="shared" si="34"/>
        <v>-2.2981152846402608</v>
      </c>
      <c r="L96" s="228">
        <f>L97+L98+L99+L100+L101+L102</f>
        <v>4440.6147000000001</v>
      </c>
      <c r="M96" s="228">
        <f>M97+M98+M99+M100+M101+M102</f>
        <v>5282.5802000000003</v>
      </c>
      <c r="N96" s="229">
        <f>N97+N98+N99+N100+N101+N102</f>
        <v>5282.5802000000003</v>
      </c>
      <c r="O96" s="229">
        <f>O97+O98+O99+O100+O101+O102</f>
        <v>0</v>
      </c>
      <c r="P96" s="230">
        <f t="shared" si="43"/>
        <v>-841.96550000000025</v>
      </c>
      <c r="Q96" s="230">
        <f t="shared" si="44"/>
        <v>-15.938527540007811</v>
      </c>
      <c r="R96" s="228">
        <f>R97+R98+R99+R100+R101+R102</f>
        <v>4861.6310000000003</v>
      </c>
      <c r="S96" s="228">
        <f>S97+S98+S99+S100+S101+S102</f>
        <v>21451.012500000001</v>
      </c>
      <c r="T96" s="229">
        <f>T97+T98+T99+T100+T101+T102</f>
        <v>14693.265100000001</v>
      </c>
      <c r="U96" s="229">
        <f>U97+U98+U99+U100+U101+U102</f>
        <v>6757.7474000000002</v>
      </c>
      <c r="V96" s="231">
        <f t="shared" si="37"/>
        <v>-16589.3815</v>
      </c>
      <c r="W96" s="232">
        <f t="shared" si="38"/>
        <v>-77.336123411424055</v>
      </c>
      <c r="X96" s="211">
        <f>M96+1205.2781</f>
        <v>6487.8582999999999</v>
      </c>
      <c r="Y96" s="180">
        <f>S96+1890.2883</f>
        <v>23341.300800000001</v>
      </c>
      <c r="Z96" s="198"/>
    </row>
    <row r="97" spans="1:25" ht="39.6" x14ac:dyDescent="0.25">
      <c r="A97" s="233" t="s">
        <v>258</v>
      </c>
      <c r="B97" s="181" t="s">
        <v>259</v>
      </c>
      <c r="C97" s="182">
        <v>432.82580000000002</v>
      </c>
      <c r="D97" s="182">
        <v>431.10300000000001</v>
      </c>
      <c r="E97" s="182">
        <v>484.04730000000001</v>
      </c>
      <c r="F97" s="183">
        <f>492742.4/1000</f>
        <v>492.74240000000003</v>
      </c>
      <c r="G97" s="183">
        <f t="shared" si="32"/>
        <v>492.74240000000003</v>
      </c>
      <c r="H97" s="184">
        <f>492742.4/1000</f>
        <v>492.74240000000003</v>
      </c>
      <c r="I97" s="184"/>
      <c r="J97" s="185">
        <f t="shared" si="33"/>
        <v>0</v>
      </c>
      <c r="K97" s="185">
        <f t="shared" si="34"/>
        <v>0</v>
      </c>
      <c r="L97" s="186">
        <f>284787.7/1000</f>
        <v>284.78770000000003</v>
      </c>
      <c r="M97" s="186">
        <f>N97+O97</f>
        <v>326.95909999999998</v>
      </c>
      <c r="N97" s="184">
        <f>326959.1/1000</f>
        <v>326.95909999999998</v>
      </c>
      <c r="O97" s="184"/>
      <c r="P97" s="185">
        <f t="shared" si="43"/>
        <v>-42.171399999999949</v>
      </c>
      <c r="Q97" s="185">
        <f t="shared" si="44"/>
        <v>-12.898065843709489</v>
      </c>
      <c r="R97" s="186">
        <f>586472.4/1000</f>
        <v>586.47239999999999</v>
      </c>
      <c r="S97" s="186">
        <f>T97+U97</f>
        <v>341.01840000000004</v>
      </c>
      <c r="T97" s="184">
        <f>341018.4/1000</f>
        <v>341.01840000000004</v>
      </c>
      <c r="U97" s="184"/>
      <c r="V97" s="187">
        <f t="shared" si="37"/>
        <v>245.45399999999995</v>
      </c>
      <c r="W97" s="234">
        <f t="shared" si="38"/>
        <v>71.976761371233891</v>
      </c>
      <c r="X97" s="210"/>
      <c r="Y97" s="179"/>
    </row>
    <row r="98" spans="1:25" ht="39.6" x14ac:dyDescent="0.25">
      <c r="A98" s="233" t="s">
        <v>260</v>
      </c>
      <c r="B98" s="181" t="s">
        <v>261</v>
      </c>
      <c r="C98" s="182">
        <v>29.0063</v>
      </c>
      <c r="D98" s="182">
        <v>147.38210000000001</v>
      </c>
      <c r="E98" s="182">
        <v>436.5016</v>
      </c>
      <c r="F98" s="183">
        <f>182525.8/1000</f>
        <v>182.52579999999998</v>
      </c>
      <c r="G98" s="183">
        <f t="shared" si="32"/>
        <v>182.52579999999998</v>
      </c>
      <c r="H98" s="184">
        <f>182525.8/1000</f>
        <v>182.52579999999998</v>
      </c>
      <c r="I98" s="184"/>
      <c r="J98" s="185">
        <f t="shared" si="33"/>
        <v>0</v>
      </c>
      <c r="K98" s="185">
        <f t="shared" si="34"/>
        <v>0</v>
      </c>
      <c r="L98" s="186">
        <f>161164.7/1000</f>
        <v>161.16470000000001</v>
      </c>
      <c r="M98" s="186">
        <f t="shared" ref="M98:M102" si="47">N98+O98</f>
        <v>782.76469999999995</v>
      </c>
      <c r="N98" s="184">
        <f>782764.7/1000</f>
        <v>782.76469999999995</v>
      </c>
      <c r="O98" s="184"/>
      <c r="P98" s="185">
        <f t="shared" si="43"/>
        <v>-621.59999999999991</v>
      </c>
      <c r="Q98" s="185">
        <f t="shared" si="44"/>
        <v>-79.410836998653622</v>
      </c>
      <c r="R98" s="186">
        <f>96390.9/1000</f>
        <v>96.390899999999988</v>
      </c>
      <c r="S98" s="186">
        <f t="shared" ref="S98:S102" si="48">T98+U98</f>
        <v>922.34090000000003</v>
      </c>
      <c r="T98" s="184">
        <f>922340.9/1000</f>
        <v>922.34090000000003</v>
      </c>
      <c r="U98" s="184"/>
      <c r="V98" s="187">
        <f t="shared" si="37"/>
        <v>-825.95</v>
      </c>
      <c r="W98" s="234">
        <f t="shared" si="38"/>
        <v>-89.54931956286444</v>
      </c>
      <c r="X98" s="210"/>
      <c r="Y98" s="179"/>
    </row>
    <row r="99" spans="1:25" ht="39.6" x14ac:dyDescent="0.25">
      <c r="A99" s="233" t="s">
        <v>262</v>
      </c>
      <c r="B99" s="181" t="s">
        <v>263</v>
      </c>
      <c r="C99" s="182">
        <v>579.03949999999998</v>
      </c>
      <c r="D99" s="182">
        <v>1135.4845</v>
      </c>
      <c r="E99" s="182">
        <v>1147.3747000000001</v>
      </c>
      <c r="F99" s="183">
        <f>183158.5/1000</f>
        <v>183.1585</v>
      </c>
      <c r="G99" s="183">
        <f t="shared" si="32"/>
        <v>183.1585</v>
      </c>
      <c r="H99" s="184">
        <f>183158.5/1000</f>
        <v>183.1585</v>
      </c>
      <c r="I99" s="184"/>
      <c r="J99" s="185">
        <f t="shared" si="33"/>
        <v>0</v>
      </c>
      <c r="K99" s="185">
        <f t="shared" si="34"/>
        <v>0</v>
      </c>
      <c r="L99" s="186">
        <f>191929/1000</f>
        <v>191.929</v>
      </c>
      <c r="M99" s="186">
        <f t="shared" si="47"/>
        <v>191.929</v>
      </c>
      <c r="N99" s="184">
        <f>191929/1000</f>
        <v>191.929</v>
      </c>
      <c r="O99" s="184"/>
      <c r="P99" s="185">
        <f t="shared" si="43"/>
        <v>0</v>
      </c>
      <c r="Q99" s="185">
        <f t="shared" si="44"/>
        <v>0</v>
      </c>
      <c r="R99" s="186">
        <f>199730.2/1000</f>
        <v>199.73020000000002</v>
      </c>
      <c r="S99" s="186">
        <f t="shared" si="48"/>
        <v>12788.344000000001</v>
      </c>
      <c r="T99" s="184">
        <f>6030596.6/1000</f>
        <v>6030.5965999999999</v>
      </c>
      <c r="U99" s="184">
        <f>6757747.4/1000</f>
        <v>6757.7474000000002</v>
      </c>
      <c r="V99" s="187">
        <f t="shared" si="37"/>
        <v>-12588.613800000001</v>
      </c>
      <c r="W99" s="234">
        <f t="shared" si="38"/>
        <v>-98.438185585248561</v>
      </c>
      <c r="X99" s="210"/>
      <c r="Y99" s="179"/>
    </row>
    <row r="100" spans="1:25" ht="52.8" x14ac:dyDescent="0.25">
      <c r="A100" s="233" t="s">
        <v>264</v>
      </c>
      <c r="B100" s="181" t="s">
        <v>265</v>
      </c>
      <c r="C100" s="182">
        <v>2555.8744000000002</v>
      </c>
      <c r="D100" s="182">
        <v>2551.587</v>
      </c>
      <c r="E100" s="182">
        <v>3780.9002</v>
      </c>
      <c r="F100" s="183">
        <f>3066005.2/1000</f>
        <v>3066.0052000000001</v>
      </c>
      <c r="G100" s="183">
        <f t="shared" si="32"/>
        <v>3173.8154</v>
      </c>
      <c r="H100" s="184">
        <f>3066005.2/1000</f>
        <v>3066.0052000000001</v>
      </c>
      <c r="I100" s="184">
        <f>107810.2/1000</f>
        <v>107.81019999999999</v>
      </c>
      <c r="J100" s="185">
        <f t="shared" si="33"/>
        <v>-107.8101999999999</v>
      </c>
      <c r="K100" s="185">
        <f t="shared" si="34"/>
        <v>-3.3968642284614248</v>
      </c>
      <c r="L100" s="186">
        <f>3268568.9/1000</f>
        <v>3268.5688999999998</v>
      </c>
      <c r="M100" s="186">
        <f t="shared" si="47"/>
        <v>3268.5688999999998</v>
      </c>
      <c r="N100" s="184">
        <f>3268568.9/1000</f>
        <v>3268.5688999999998</v>
      </c>
      <c r="O100" s="184"/>
      <c r="P100" s="185">
        <f t="shared" si="43"/>
        <v>0</v>
      </c>
      <c r="Q100" s="185">
        <f t="shared" si="44"/>
        <v>0</v>
      </c>
      <c r="R100" s="186">
        <f>3413367.1/1000</f>
        <v>3413.3670999999999</v>
      </c>
      <c r="S100" s="186">
        <f t="shared" si="48"/>
        <v>6716.5977999999996</v>
      </c>
      <c r="T100" s="184">
        <f>6716597.8/1000</f>
        <v>6716.5977999999996</v>
      </c>
      <c r="U100" s="184"/>
      <c r="V100" s="187">
        <f t="shared" si="37"/>
        <v>-3303.2306999999996</v>
      </c>
      <c r="W100" s="234">
        <f t="shared" si="38"/>
        <v>-49.180117648253407</v>
      </c>
      <c r="X100" s="210"/>
      <c r="Y100" s="179"/>
    </row>
    <row r="101" spans="1:25" ht="39.6" x14ac:dyDescent="0.25">
      <c r="A101" s="233" t="s">
        <v>266</v>
      </c>
      <c r="B101" s="181" t="s">
        <v>267</v>
      </c>
      <c r="C101" s="182">
        <v>675.29499999999996</v>
      </c>
      <c r="D101" s="182">
        <v>628.5104</v>
      </c>
      <c r="E101" s="182">
        <v>616.69640000000004</v>
      </c>
      <c r="F101" s="183">
        <f>574232.2/1000</f>
        <v>574.23219999999992</v>
      </c>
      <c r="G101" s="183">
        <f t="shared" si="32"/>
        <v>574.23219999999992</v>
      </c>
      <c r="H101" s="184">
        <f>574232.2/1000</f>
        <v>574.23219999999992</v>
      </c>
      <c r="I101" s="184"/>
      <c r="J101" s="185">
        <f t="shared" si="33"/>
        <v>0</v>
      </c>
      <c r="K101" s="185">
        <f t="shared" si="34"/>
        <v>0</v>
      </c>
      <c r="L101" s="186">
        <f>524035.3/1000</f>
        <v>524.03530000000001</v>
      </c>
      <c r="M101" s="186">
        <f t="shared" si="47"/>
        <v>650.97940000000006</v>
      </c>
      <c r="N101" s="184">
        <f>650979.4/1000</f>
        <v>650.97940000000006</v>
      </c>
      <c r="O101" s="184"/>
      <c r="P101" s="185">
        <f t="shared" si="43"/>
        <v>-126.94410000000005</v>
      </c>
      <c r="Q101" s="185">
        <f t="shared" si="44"/>
        <v>-19.500478816994828</v>
      </c>
      <c r="R101" s="186">
        <f>555541.3/1000</f>
        <v>555.54130000000009</v>
      </c>
      <c r="S101" s="186">
        <f t="shared" si="48"/>
        <v>647.05730000000005</v>
      </c>
      <c r="T101" s="184">
        <f>647057.3/1000</f>
        <v>647.05730000000005</v>
      </c>
      <c r="U101" s="184"/>
      <c r="V101" s="187">
        <f t="shared" si="37"/>
        <v>-91.515999999999963</v>
      </c>
      <c r="W101" s="234">
        <f t="shared" si="38"/>
        <v>-14.1434151194956</v>
      </c>
      <c r="X101" s="210"/>
      <c r="Y101" s="179"/>
    </row>
    <row r="102" spans="1:25" ht="26.4" x14ac:dyDescent="0.25">
      <c r="A102" s="233" t="s">
        <v>268</v>
      </c>
      <c r="B102" s="181" t="s">
        <v>269</v>
      </c>
      <c r="C102" s="182"/>
      <c r="D102" s="182"/>
      <c r="E102" s="182">
        <v>47.938899999999997</v>
      </c>
      <c r="F102" s="183">
        <f>84769.9/1000</f>
        <v>84.769899999999993</v>
      </c>
      <c r="G102" s="183">
        <f t="shared" si="32"/>
        <v>84.769899999999993</v>
      </c>
      <c r="H102" s="184">
        <f>84769.9/1000</f>
        <v>84.769899999999993</v>
      </c>
      <c r="I102" s="184"/>
      <c r="J102" s="185">
        <f t="shared" si="33"/>
        <v>0</v>
      </c>
      <c r="K102" s="185">
        <f t="shared" si="34"/>
        <v>0</v>
      </c>
      <c r="L102" s="186">
        <f>10129.1/1000</f>
        <v>10.129100000000001</v>
      </c>
      <c r="M102" s="186">
        <f t="shared" si="47"/>
        <v>61.379100000000001</v>
      </c>
      <c r="N102" s="184">
        <f>61379.1/1000</f>
        <v>61.379100000000001</v>
      </c>
      <c r="O102" s="184"/>
      <c r="P102" s="185">
        <f t="shared" si="43"/>
        <v>-51.25</v>
      </c>
      <c r="Q102" s="185">
        <f t="shared" si="44"/>
        <v>-83.497477154275643</v>
      </c>
      <c r="R102" s="186">
        <f>10129.1/1000</f>
        <v>10.129100000000001</v>
      </c>
      <c r="S102" s="186">
        <f t="shared" si="48"/>
        <v>35.6541</v>
      </c>
      <c r="T102" s="184">
        <f>35654.1/1000</f>
        <v>35.6541</v>
      </c>
      <c r="U102" s="184"/>
      <c r="V102" s="187">
        <f t="shared" si="37"/>
        <v>-25.524999999999999</v>
      </c>
      <c r="W102" s="234">
        <f t="shared" si="38"/>
        <v>-71.59064455420274</v>
      </c>
      <c r="X102" s="210"/>
      <c r="Y102" s="179"/>
    </row>
    <row r="103" spans="1:25" ht="39.6" x14ac:dyDescent="0.25">
      <c r="A103" s="225" t="s">
        <v>270</v>
      </c>
      <c r="B103" s="226" t="s">
        <v>271</v>
      </c>
      <c r="C103" s="227">
        <v>47.294699999999999</v>
      </c>
      <c r="D103" s="227">
        <v>381.26400000000001</v>
      </c>
      <c r="E103" s="227">
        <v>106.0838</v>
      </c>
      <c r="F103" s="228">
        <f>66940/1000</f>
        <v>66.94</v>
      </c>
      <c r="G103" s="190">
        <f t="shared" si="32"/>
        <v>66.94</v>
      </c>
      <c r="H103" s="229">
        <f>66940/1000</f>
        <v>66.94</v>
      </c>
      <c r="I103" s="228"/>
      <c r="J103" s="191">
        <f t="shared" si="33"/>
        <v>0</v>
      </c>
      <c r="K103" s="191">
        <f t="shared" si="34"/>
        <v>0</v>
      </c>
      <c r="L103" s="228">
        <f>20893/1000</f>
        <v>20.893000000000001</v>
      </c>
      <c r="M103" s="228">
        <f>404733/1000</f>
        <v>404.733</v>
      </c>
      <c r="N103" s="229">
        <f>404733/1000</f>
        <v>404.733</v>
      </c>
      <c r="O103" s="228">
        <f>4069891.64/1000</f>
        <v>4069.8916400000003</v>
      </c>
      <c r="P103" s="230">
        <f t="shared" si="43"/>
        <v>-383.84000000000003</v>
      </c>
      <c r="Q103" s="230">
        <f t="shared" si="44"/>
        <v>-94.837831360427742</v>
      </c>
      <c r="R103" s="228">
        <f>21322.3/1000</f>
        <v>21.322299999999998</v>
      </c>
      <c r="S103" s="228">
        <f>21322.3/1000</f>
        <v>21.322299999999998</v>
      </c>
      <c r="T103" s="229">
        <f>21322.3/1000</f>
        <v>21.322299999999998</v>
      </c>
      <c r="U103" s="229"/>
      <c r="V103" s="231">
        <f t="shared" si="37"/>
        <v>0</v>
      </c>
      <c r="W103" s="232">
        <f t="shared" si="38"/>
        <v>0</v>
      </c>
      <c r="X103" s="214">
        <f>M103+1687.48</f>
        <v>2092.2130000000002</v>
      </c>
      <c r="Y103" s="180">
        <f>S103+2275.86</f>
        <v>2297.1822999999999</v>
      </c>
    </row>
    <row r="104" spans="1:25" ht="52.8" x14ac:dyDescent="0.25">
      <c r="A104" s="225" t="s">
        <v>272</v>
      </c>
      <c r="B104" s="226" t="s">
        <v>273</v>
      </c>
      <c r="C104" s="227">
        <v>57.308599999999998</v>
      </c>
      <c r="D104" s="227">
        <v>54.190899999999999</v>
      </c>
      <c r="E104" s="227">
        <v>56.384700000000002</v>
      </c>
      <c r="F104" s="228">
        <f>83175.4/1000</f>
        <v>83.175399999999996</v>
      </c>
      <c r="G104" s="190">
        <f t="shared" si="32"/>
        <v>83.175399999999996</v>
      </c>
      <c r="H104" s="229">
        <f>83175.4/1000</f>
        <v>83.175399999999996</v>
      </c>
      <c r="I104" s="228"/>
      <c r="J104" s="191">
        <f t="shared" si="33"/>
        <v>0</v>
      </c>
      <c r="K104" s="191">
        <f t="shared" si="34"/>
        <v>0</v>
      </c>
      <c r="L104" s="228">
        <f>76896/1000</f>
        <v>76.896000000000001</v>
      </c>
      <c r="M104" s="228">
        <f>76896/1000</f>
        <v>76.896000000000001</v>
      </c>
      <c r="N104" s="229">
        <f>76896/1000</f>
        <v>76.896000000000001</v>
      </c>
      <c r="O104" s="228"/>
      <c r="P104" s="230">
        <f t="shared" si="43"/>
        <v>0</v>
      </c>
      <c r="Q104" s="230">
        <f t="shared" si="44"/>
        <v>0</v>
      </c>
      <c r="R104" s="228">
        <f>78057.3/1000</f>
        <v>78.057299999999998</v>
      </c>
      <c r="S104" s="228">
        <f>78057.3/1000</f>
        <v>78.057299999999998</v>
      </c>
      <c r="T104" s="229">
        <f>78057.3/1000</f>
        <v>78.057299999999998</v>
      </c>
      <c r="U104" s="229"/>
      <c r="V104" s="231">
        <f t="shared" si="37"/>
        <v>0</v>
      </c>
      <c r="W104" s="232">
        <f t="shared" si="38"/>
        <v>0</v>
      </c>
      <c r="X104" s="211">
        <f>M104</f>
        <v>76.896000000000001</v>
      </c>
      <c r="Y104" s="180">
        <f>S104</f>
        <v>78.057299999999998</v>
      </c>
    </row>
    <row r="105" spans="1:25" ht="52.8" x14ac:dyDescent="0.25">
      <c r="A105" s="225" t="s">
        <v>274</v>
      </c>
      <c r="B105" s="226" t="s">
        <v>275</v>
      </c>
      <c r="C105" s="227">
        <f>C106+C107+C108+C109</f>
        <v>6005.9546</v>
      </c>
      <c r="D105" s="227">
        <f>D106+D107+D108+D109</f>
        <v>4815.4683000000005</v>
      </c>
      <c r="E105" s="227">
        <f>E106+E107+E108+E109</f>
        <v>4928.2129999999997</v>
      </c>
      <c r="F105" s="228">
        <f>F106+F107+F108+F109</f>
        <v>5944.6904000000004</v>
      </c>
      <c r="G105" s="190">
        <f t="shared" si="32"/>
        <v>5944.6903999999995</v>
      </c>
      <c r="H105" s="229">
        <f>H106+H107+H108+H109</f>
        <v>5739.6755999999996</v>
      </c>
      <c r="I105" s="229">
        <f>I106+I107+I108+I109</f>
        <v>205.01480000000001</v>
      </c>
      <c r="J105" s="191">
        <f t="shared" si="33"/>
        <v>0</v>
      </c>
      <c r="K105" s="191">
        <f t="shared" si="34"/>
        <v>0</v>
      </c>
      <c r="L105" s="228">
        <f t="shared" ref="L105:U105" si="49">L106+L107+L108+L109</f>
        <v>5459.3321999999998</v>
      </c>
      <c r="M105" s="228">
        <f t="shared" si="49"/>
        <v>5459.3321999999998</v>
      </c>
      <c r="N105" s="229">
        <f t="shared" si="49"/>
        <v>5318.7055</v>
      </c>
      <c r="O105" s="229">
        <f t="shared" si="49"/>
        <v>140.6267</v>
      </c>
      <c r="P105" s="230">
        <f t="shared" si="43"/>
        <v>0</v>
      </c>
      <c r="Q105" s="230">
        <f t="shared" si="44"/>
        <v>0</v>
      </c>
      <c r="R105" s="228">
        <f t="shared" si="49"/>
        <v>4931.3989000000001</v>
      </c>
      <c r="S105" s="228">
        <f t="shared" si="49"/>
        <v>4931.3989000000001</v>
      </c>
      <c r="T105" s="229">
        <f t="shared" si="49"/>
        <v>4765.9901</v>
      </c>
      <c r="U105" s="229">
        <f t="shared" si="49"/>
        <v>165.40879999999999</v>
      </c>
      <c r="V105" s="231">
        <f t="shared" si="37"/>
        <v>0</v>
      </c>
      <c r="W105" s="232">
        <f t="shared" si="38"/>
        <v>0</v>
      </c>
      <c r="X105" s="211">
        <f>M105+143.5863</f>
        <v>5602.9184999999998</v>
      </c>
      <c r="Y105" s="180">
        <f>S105+139.6993</f>
        <v>5071.0982000000004</v>
      </c>
    </row>
    <row r="106" spans="1:25" ht="52.8" x14ac:dyDescent="0.25">
      <c r="A106" s="233" t="s">
        <v>276</v>
      </c>
      <c r="B106" s="181" t="s">
        <v>277</v>
      </c>
      <c r="C106" s="182">
        <v>218.13419999999999</v>
      </c>
      <c r="D106" s="182">
        <v>195.96010000000001</v>
      </c>
      <c r="E106" s="182">
        <v>195.04769999999999</v>
      </c>
      <c r="F106" s="183">
        <f>208235.8/1000</f>
        <v>208.23579999999998</v>
      </c>
      <c r="G106" s="183">
        <f t="shared" si="32"/>
        <v>208.23580000000001</v>
      </c>
      <c r="H106" s="184">
        <f>171985/1000</f>
        <v>171.98500000000001</v>
      </c>
      <c r="I106" s="184">
        <f>36250.8/1000</f>
        <v>36.250800000000005</v>
      </c>
      <c r="J106" s="185">
        <f t="shared" si="33"/>
        <v>0</v>
      </c>
      <c r="K106" s="185">
        <f t="shared" si="34"/>
        <v>0</v>
      </c>
      <c r="L106" s="186">
        <f>191530.6/1000</f>
        <v>191.53059999999999</v>
      </c>
      <c r="M106" s="186">
        <f>N106+O106</f>
        <v>191.53059999999999</v>
      </c>
      <c r="N106" s="184">
        <f>160189.9/1000</f>
        <v>160.18989999999999</v>
      </c>
      <c r="O106" s="184">
        <f>31340.7/1000</f>
        <v>31.340700000000002</v>
      </c>
      <c r="P106" s="185">
        <f t="shared" si="43"/>
        <v>0</v>
      </c>
      <c r="Q106" s="185">
        <f t="shared" si="44"/>
        <v>0</v>
      </c>
      <c r="R106" s="186">
        <f>193262.7/1000</f>
        <v>193.26270000000002</v>
      </c>
      <c r="S106" s="186">
        <f>T106+U106</f>
        <v>193.2627</v>
      </c>
      <c r="T106" s="184">
        <f>160549.9/1000</f>
        <v>160.54990000000001</v>
      </c>
      <c r="U106" s="184">
        <f>32712.8/1000</f>
        <v>32.712800000000001</v>
      </c>
      <c r="V106" s="187">
        <f t="shared" si="37"/>
        <v>0</v>
      </c>
      <c r="W106" s="234">
        <f t="shared" si="38"/>
        <v>0</v>
      </c>
      <c r="X106" s="210"/>
      <c r="Y106" s="179"/>
    </row>
    <row r="107" spans="1:25" ht="26.4" x14ac:dyDescent="0.25">
      <c r="A107" s="233" t="s">
        <v>278</v>
      </c>
      <c r="B107" s="181" t="s">
        <v>279</v>
      </c>
      <c r="C107" s="182">
        <v>1754.2739999999999</v>
      </c>
      <c r="D107" s="182">
        <v>1413.9712999999999</v>
      </c>
      <c r="E107" s="182">
        <v>1230.1610000000001</v>
      </c>
      <c r="F107" s="183">
        <f>2039451.9/1000</f>
        <v>2039.4518999999998</v>
      </c>
      <c r="G107" s="183">
        <f t="shared" si="32"/>
        <v>2039.4518999999998</v>
      </c>
      <c r="H107" s="184">
        <f>2039451.9/1000</f>
        <v>2039.4518999999998</v>
      </c>
      <c r="I107" s="184"/>
      <c r="J107" s="185">
        <f t="shared" si="33"/>
        <v>0</v>
      </c>
      <c r="K107" s="185">
        <f t="shared" si="34"/>
        <v>0</v>
      </c>
      <c r="L107" s="186">
        <f>1996635.4/1000</f>
        <v>1996.6353999999999</v>
      </c>
      <c r="M107" s="186">
        <f t="shared" ref="M107:M109" si="50">N107+O107</f>
        <v>1996.6353999999999</v>
      </c>
      <c r="N107" s="184">
        <f>1996635.4/1000</f>
        <v>1996.6353999999999</v>
      </c>
      <c r="O107" s="184"/>
      <c r="P107" s="185">
        <f t="shared" si="43"/>
        <v>0</v>
      </c>
      <c r="Q107" s="185">
        <f t="shared" si="44"/>
        <v>0</v>
      </c>
      <c r="R107" s="186">
        <f>1820392.3/1000</f>
        <v>1820.3923</v>
      </c>
      <c r="S107" s="186">
        <f t="shared" ref="S107:S109" si="51">T107+U107</f>
        <v>1820.3923</v>
      </c>
      <c r="T107" s="184">
        <f>1820392.3/1000</f>
        <v>1820.3923</v>
      </c>
      <c r="U107" s="184"/>
      <c r="V107" s="187">
        <f t="shared" si="37"/>
        <v>0</v>
      </c>
      <c r="W107" s="234">
        <f t="shared" si="38"/>
        <v>0</v>
      </c>
      <c r="X107" s="210"/>
      <c r="Y107" s="179"/>
    </row>
    <row r="108" spans="1:25" ht="39.6" x14ac:dyDescent="0.25">
      <c r="A108" s="233" t="s">
        <v>280</v>
      </c>
      <c r="B108" s="181" t="s">
        <v>281</v>
      </c>
      <c r="C108" s="182">
        <v>4011.0753</v>
      </c>
      <c r="D108" s="182">
        <v>3177.7903000000001</v>
      </c>
      <c r="E108" s="182">
        <v>3475.2044999999998</v>
      </c>
      <c r="F108" s="183">
        <f>3670476.6/1000</f>
        <v>3670.4766</v>
      </c>
      <c r="G108" s="183">
        <f t="shared" si="32"/>
        <v>3670.4766000000004</v>
      </c>
      <c r="H108" s="184">
        <f>3501712.6/1000</f>
        <v>3501.7126000000003</v>
      </c>
      <c r="I108" s="184">
        <f>168764/1000</f>
        <v>168.76400000000001</v>
      </c>
      <c r="J108" s="185">
        <f t="shared" si="33"/>
        <v>0</v>
      </c>
      <c r="K108" s="185">
        <f t="shared" si="34"/>
        <v>0</v>
      </c>
      <c r="L108" s="186">
        <f>3244640.1/1000</f>
        <v>3244.6401000000001</v>
      </c>
      <c r="M108" s="186">
        <f t="shared" si="50"/>
        <v>3244.6401000000001</v>
      </c>
      <c r="N108" s="184">
        <f>3135354.1/1000</f>
        <v>3135.3541</v>
      </c>
      <c r="O108" s="184">
        <f>109286/1000</f>
        <v>109.286</v>
      </c>
      <c r="P108" s="185">
        <f t="shared" si="43"/>
        <v>0</v>
      </c>
      <c r="Q108" s="185">
        <f t="shared" si="44"/>
        <v>0</v>
      </c>
      <c r="R108" s="186">
        <f>2891217.8/1000</f>
        <v>2891.2177999999999</v>
      </c>
      <c r="S108" s="186">
        <f t="shared" si="51"/>
        <v>2891.2177999999999</v>
      </c>
      <c r="T108" s="184">
        <f>2758521.8/1000</f>
        <v>2758.5218</v>
      </c>
      <c r="U108" s="184">
        <f>132696/1000</f>
        <v>132.696</v>
      </c>
      <c r="V108" s="187">
        <f t="shared" si="37"/>
        <v>0</v>
      </c>
      <c r="W108" s="234">
        <f t="shared" si="38"/>
        <v>0</v>
      </c>
      <c r="X108" s="210"/>
      <c r="Y108" s="179"/>
    </row>
    <row r="109" spans="1:25" ht="39.6" x14ac:dyDescent="0.25">
      <c r="A109" s="233" t="s">
        <v>282</v>
      </c>
      <c r="B109" s="181" t="s">
        <v>283</v>
      </c>
      <c r="C109" s="182">
        <v>22.4711</v>
      </c>
      <c r="D109" s="182">
        <v>27.746600000000001</v>
      </c>
      <c r="E109" s="182">
        <v>27.799800000000001</v>
      </c>
      <c r="F109" s="183">
        <f>26526.1/1000</f>
        <v>26.5261</v>
      </c>
      <c r="G109" s="183">
        <f t="shared" si="32"/>
        <v>26.5261</v>
      </c>
      <c r="H109" s="184">
        <f>26526.1/1000</f>
        <v>26.5261</v>
      </c>
      <c r="I109" s="184"/>
      <c r="J109" s="185">
        <f t="shared" si="33"/>
        <v>0</v>
      </c>
      <c r="K109" s="185">
        <f t="shared" si="34"/>
        <v>0</v>
      </c>
      <c r="L109" s="186">
        <f>26526.1/1000</f>
        <v>26.5261</v>
      </c>
      <c r="M109" s="186">
        <f t="shared" si="50"/>
        <v>26.5261</v>
      </c>
      <c r="N109" s="184">
        <f>26526.1/1000</f>
        <v>26.5261</v>
      </c>
      <c r="O109" s="184"/>
      <c r="P109" s="185">
        <f t="shared" si="43"/>
        <v>0</v>
      </c>
      <c r="Q109" s="185">
        <f t="shared" si="44"/>
        <v>0</v>
      </c>
      <c r="R109" s="186">
        <f>26526.1/1000</f>
        <v>26.5261</v>
      </c>
      <c r="S109" s="186">
        <f t="shared" si="51"/>
        <v>26.5261</v>
      </c>
      <c r="T109" s="184">
        <f>26526.1/1000</f>
        <v>26.5261</v>
      </c>
      <c r="U109" s="184"/>
      <c r="V109" s="187">
        <f t="shared" si="37"/>
        <v>0</v>
      </c>
      <c r="W109" s="234">
        <f t="shared" si="38"/>
        <v>0</v>
      </c>
      <c r="X109" s="210"/>
      <c r="Y109" s="179"/>
    </row>
    <row r="110" spans="1:25" ht="52.8" x14ac:dyDescent="0.25">
      <c r="A110" s="225" t="s">
        <v>284</v>
      </c>
      <c r="B110" s="226" t="s">
        <v>285</v>
      </c>
      <c r="C110" s="227">
        <f>C111+C112+C113+C114+C115</f>
        <v>1205.1885</v>
      </c>
      <c r="D110" s="227">
        <f>D111+D112+D113+D114+D115</f>
        <v>1404.0587</v>
      </c>
      <c r="E110" s="227">
        <f>E111+E112+E113+E114+E115</f>
        <v>1374.4317000000001</v>
      </c>
      <c r="F110" s="228">
        <f>F111+F112+F113+F114+F115</f>
        <v>1643.7349000000002</v>
      </c>
      <c r="G110" s="190">
        <f t="shared" si="32"/>
        <v>1643.7348999999999</v>
      </c>
      <c r="H110" s="229">
        <f>H111+H112+H113+H114+H115</f>
        <v>1520.3806</v>
      </c>
      <c r="I110" s="229">
        <f>I111+I112+I113+I114+I115</f>
        <v>123.35429999999999</v>
      </c>
      <c r="J110" s="191">
        <f t="shared" si="33"/>
        <v>0</v>
      </c>
      <c r="K110" s="191">
        <f t="shared" si="34"/>
        <v>0</v>
      </c>
      <c r="L110" s="228">
        <f>L111+L112+L113+L114+L115</f>
        <v>1347.4855</v>
      </c>
      <c r="M110" s="228">
        <f>M111+M112+M113+M114+M115</f>
        <v>1526.9267</v>
      </c>
      <c r="N110" s="229">
        <f>N111+N112+N113+N114+N115</f>
        <v>1235.1495</v>
      </c>
      <c r="O110" s="229">
        <f>O111+O112+O113+O114+O115</f>
        <v>112.336</v>
      </c>
      <c r="P110" s="230">
        <f t="shared" si="43"/>
        <v>-179.44119999999998</v>
      </c>
      <c r="Q110" s="230">
        <f t="shared" si="44"/>
        <v>-11.751788740088173</v>
      </c>
      <c r="R110" s="228">
        <f>R111+R112+R113+R114+R115</f>
        <v>1358.6605</v>
      </c>
      <c r="S110" s="228">
        <f>S111+S112+S113+S114+S115</f>
        <v>1358.6605</v>
      </c>
      <c r="T110" s="229">
        <f>T111+T112+T113+T114+T115</f>
        <v>1280.1291000000001</v>
      </c>
      <c r="U110" s="229">
        <f>U111+U112+U113+U114+U115</f>
        <v>78.531399999999991</v>
      </c>
      <c r="V110" s="231">
        <f t="shared" si="37"/>
        <v>0</v>
      </c>
      <c r="W110" s="232">
        <f t="shared" si="38"/>
        <v>0</v>
      </c>
      <c r="X110" s="211">
        <f>M110+112.1319</f>
        <v>1639.0586000000001</v>
      </c>
      <c r="Y110" s="180">
        <f>S110+112.1164</f>
        <v>1470.7768999999998</v>
      </c>
    </row>
    <row r="111" spans="1:25" ht="79.2" x14ac:dyDescent="0.25">
      <c r="A111" s="233" t="s">
        <v>286</v>
      </c>
      <c r="B111" s="181" t="s">
        <v>287</v>
      </c>
      <c r="C111" s="182">
        <v>10.781599999999999</v>
      </c>
      <c r="D111" s="182">
        <v>10.1622</v>
      </c>
      <c r="E111" s="182">
        <v>8.4924999999999997</v>
      </c>
      <c r="F111" s="183">
        <f>9257/1000</f>
        <v>9.2569999999999997</v>
      </c>
      <c r="G111" s="183">
        <f t="shared" si="32"/>
        <v>9.2569999999999997</v>
      </c>
      <c r="H111" s="184">
        <f>8131.7/1000</f>
        <v>8.1317000000000004</v>
      </c>
      <c r="I111" s="184">
        <f>1125.3/1000</f>
        <v>1.1253</v>
      </c>
      <c r="J111" s="185">
        <f t="shared" si="33"/>
        <v>0</v>
      </c>
      <c r="K111" s="185">
        <f t="shared" si="34"/>
        <v>0</v>
      </c>
      <c r="L111" s="186">
        <f>7048.3/1000</f>
        <v>7.0483000000000002</v>
      </c>
      <c r="M111" s="186">
        <f>N11+O111</f>
        <v>281.56190000000004</v>
      </c>
      <c r="N111" s="184">
        <f>7048.3/1000</f>
        <v>7.0483000000000002</v>
      </c>
      <c r="O111" s="184"/>
      <c r="P111" s="185">
        <f t="shared" si="43"/>
        <v>-274.51360000000005</v>
      </c>
      <c r="Q111" s="185">
        <f t="shared" si="44"/>
        <v>-97.496713866471282</v>
      </c>
      <c r="R111" s="186">
        <f>6990.1/1000</f>
        <v>6.9901</v>
      </c>
      <c r="S111" s="186">
        <f>T111+U111</f>
        <v>6.9901</v>
      </c>
      <c r="T111" s="184">
        <f>6990.1/1000</f>
        <v>6.9901</v>
      </c>
      <c r="U111" s="184"/>
      <c r="V111" s="187">
        <f t="shared" si="37"/>
        <v>0</v>
      </c>
      <c r="W111" s="234">
        <f t="shared" si="38"/>
        <v>0</v>
      </c>
      <c r="X111" s="210"/>
      <c r="Y111" s="179"/>
    </row>
    <row r="112" spans="1:25" ht="66" x14ac:dyDescent="0.25">
      <c r="A112" s="233" t="s">
        <v>288</v>
      </c>
      <c r="B112" s="181" t="s">
        <v>289</v>
      </c>
      <c r="C112" s="182">
        <v>161.90950000000001</v>
      </c>
      <c r="D112" s="182">
        <v>273.71600000000001</v>
      </c>
      <c r="E112" s="182">
        <v>353.41520000000003</v>
      </c>
      <c r="F112" s="183">
        <f>244893.9/1000</f>
        <v>244.8939</v>
      </c>
      <c r="G112" s="183">
        <f t="shared" si="32"/>
        <v>244.8939</v>
      </c>
      <c r="H112" s="184">
        <f>244893.9/1000</f>
        <v>244.8939</v>
      </c>
      <c r="I112" s="184"/>
      <c r="J112" s="185">
        <f t="shared" si="33"/>
        <v>0</v>
      </c>
      <c r="K112" s="185">
        <f t="shared" si="34"/>
        <v>0</v>
      </c>
      <c r="L112" s="186">
        <f>208067.6/1000</f>
        <v>208.0676</v>
      </c>
      <c r="M112" s="186">
        <f t="shared" ref="M112:M115" si="52">N12+O112</f>
        <v>143.37870000000001</v>
      </c>
      <c r="N112" s="184">
        <f>208067.6/1000</f>
        <v>208.0676</v>
      </c>
      <c r="O112" s="184"/>
      <c r="P112" s="185">
        <f t="shared" si="43"/>
        <v>64.68889999999999</v>
      </c>
      <c r="Q112" s="185">
        <f t="shared" si="44"/>
        <v>45.117510480984947</v>
      </c>
      <c r="R112" s="186">
        <f>220000/1000</f>
        <v>220</v>
      </c>
      <c r="S112" s="186">
        <f t="shared" ref="S112:S115" si="53">T112+U112</f>
        <v>220</v>
      </c>
      <c r="T112" s="184">
        <f>220000/1000</f>
        <v>220</v>
      </c>
      <c r="U112" s="184"/>
      <c r="V112" s="187">
        <f t="shared" si="37"/>
        <v>0</v>
      </c>
      <c r="W112" s="234">
        <f t="shared" si="38"/>
        <v>0</v>
      </c>
      <c r="X112" s="210"/>
      <c r="Y112" s="179"/>
    </row>
    <row r="113" spans="1:25" ht="39.6" x14ac:dyDescent="0.25">
      <c r="A113" s="233" t="s">
        <v>290</v>
      </c>
      <c r="B113" s="181" t="s">
        <v>291</v>
      </c>
      <c r="C113" s="182">
        <v>80.241200000000006</v>
      </c>
      <c r="D113" s="182">
        <v>135.5172</v>
      </c>
      <c r="E113" s="182">
        <v>78.809600000000003</v>
      </c>
      <c r="F113" s="183">
        <f>174970.6/1000</f>
        <v>174.97060000000002</v>
      </c>
      <c r="G113" s="183">
        <f t="shared" si="32"/>
        <v>174.97059999999999</v>
      </c>
      <c r="H113" s="184">
        <f>161984.5/1000</f>
        <v>161.9845</v>
      </c>
      <c r="I113" s="184">
        <f>12986.1/1000</f>
        <v>12.9861</v>
      </c>
      <c r="J113" s="185">
        <f t="shared" si="33"/>
        <v>0</v>
      </c>
      <c r="K113" s="185">
        <f t="shared" si="34"/>
        <v>0</v>
      </c>
      <c r="L113" s="186">
        <f>127174.5/1000</f>
        <v>127.17449999999999</v>
      </c>
      <c r="M113" s="186">
        <f t="shared" si="52"/>
        <v>288.774</v>
      </c>
      <c r="N113" s="184">
        <f>127174.5/1000</f>
        <v>127.17449999999999</v>
      </c>
      <c r="O113" s="184"/>
      <c r="P113" s="185">
        <f t="shared" si="43"/>
        <v>-161.59950000000001</v>
      </c>
      <c r="Q113" s="185">
        <f t="shared" si="44"/>
        <v>-55.960543539238301</v>
      </c>
      <c r="R113" s="186">
        <f>135554.1/1000</f>
        <v>135.55410000000001</v>
      </c>
      <c r="S113" s="186">
        <f t="shared" si="53"/>
        <v>135.55410000000001</v>
      </c>
      <c r="T113" s="184">
        <f>135554.1/1000</f>
        <v>135.55410000000001</v>
      </c>
      <c r="U113" s="184"/>
      <c r="V113" s="187">
        <f t="shared" si="37"/>
        <v>0</v>
      </c>
      <c r="W113" s="234">
        <f t="shared" si="38"/>
        <v>0</v>
      </c>
      <c r="X113" s="210"/>
      <c r="Y113" s="179"/>
    </row>
    <row r="114" spans="1:25" ht="52.8" x14ac:dyDescent="0.25">
      <c r="A114" s="233" t="s">
        <v>292</v>
      </c>
      <c r="B114" s="181" t="s">
        <v>293</v>
      </c>
      <c r="C114" s="182">
        <v>92.161900000000003</v>
      </c>
      <c r="D114" s="182">
        <v>79.840500000000006</v>
      </c>
      <c r="E114" s="182">
        <v>86.6434</v>
      </c>
      <c r="F114" s="183">
        <f>62322.9/1000</f>
        <v>62.322900000000004</v>
      </c>
      <c r="G114" s="183">
        <f t="shared" si="32"/>
        <v>62.322900000000004</v>
      </c>
      <c r="H114" s="184">
        <f>62322.9/1000</f>
        <v>62.322900000000004</v>
      </c>
      <c r="I114" s="184"/>
      <c r="J114" s="185">
        <f t="shared" si="33"/>
        <v>0</v>
      </c>
      <c r="K114" s="185">
        <f t="shared" si="34"/>
        <v>0</v>
      </c>
      <c r="L114" s="186">
        <f>53360.7/1000</f>
        <v>53.360699999999994</v>
      </c>
      <c r="M114" s="186">
        <f t="shared" si="52"/>
        <v>143.97550000000001</v>
      </c>
      <c r="N114" s="184">
        <f>53360.7/1000</f>
        <v>53.360699999999994</v>
      </c>
      <c r="O114" s="184"/>
      <c r="P114" s="185">
        <f t="shared" si="43"/>
        <v>-90.614800000000017</v>
      </c>
      <c r="Q114" s="185">
        <f t="shared" si="44"/>
        <v>-62.93765258672483</v>
      </c>
      <c r="R114" s="186">
        <f>54294/1000</f>
        <v>54.293999999999997</v>
      </c>
      <c r="S114" s="186">
        <f t="shared" si="53"/>
        <v>54.293999999999997</v>
      </c>
      <c r="T114" s="184">
        <f>54294/1000</f>
        <v>54.293999999999997</v>
      </c>
      <c r="U114" s="184"/>
      <c r="V114" s="187">
        <f t="shared" si="37"/>
        <v>0</v>
      </c>
      <c r="W114" s="234">
        <f t="shared" si="38"/>
        <v>0</v>
      </c>
      <c r="X114" s="210"/>
      <c r="Y114" s="179"/>
    </row>
    <row r="115" spans="1:25" ht="39.6" x14ac:dyDescent="0.25">
      <c r="A115" s="233" t="s">
        <v>294</v>
      </c>
      <c r="B115" s="181" t="s">
        <v>295</v>
      </c>
      <c r="C115" s="182">
        <v>860.09429999999998</v>
      </c>
      <c r="D115" s="182">
        <v>904.82280000000003</v>
      </c>
      <c r="E115" s="182">
        <v>847.07100000000003</v>
      </c>
      <c r="F115" s="183">
        <f>1152290.5/1000</f>
        <v>1152.2905000000001</v>
      </c>
      <c r="G115" s="183">
        <f t="shared" si="32"/>
        <v>1152.2904999999998</v>
      </c>
      <c r="H115" s="184">
        <f>1043047.6/1000</f>
        <v>1043.0475999999999</v>
      </c>
      <c r="I115" s="184">
        <f>109242.9/1000</f>
        <v>109.24289999999999</v>
      </c>
      <c r="J115" s="185">
        <f t="shared" si="33"/>
        <v>0</v>
      </c>
      <c r="K115" s="185">
        <f t="shared" si="34"/>
        <v>0</v>
      </c>
      <c r="L115" s="186">
        <f>951834.4/1000</f>
        <v>951.83440000000007</v>
      </c>
      <c r="M115" s="186">
        <f t="shared" si="52"/>
        <v>669.23659999999995</v>
      </c>
      <c r="N115" s="184">
        <f>839498.4/1000</f>
        <v>839.49840000000006</v>
      </c>
      <c r="O115" s="184">
        <f>112336/1000</f>
        <v>112.336</v>
      </c>
      <c r="P115" s="185">
        <f t="shared" si="43"/>
        <v>282.59780000000012</v>
      </c>
      <c r="Q115" s="185">
        <f t="shared" si="44"/>
        <v>42.226889563421963</v>
      </c>
      <c r="R115" s="186">
        <f>941822.3/1000</f>
        <v>941.82230000000004</v>
      </c>
      <c r="S115" s="186">
        <f t="shared" si="53"/>
        <v>941.82230000000004</v>
      </c>
      <c r="T115" s="184">
        <f>863290.9/1000</f>
        <v>863.29090000000008</v>
      </c>
      <c r="U115" s="184">
        <f>78531.4/1000</f>
        <v>78.531399999999991</v>
      </c>
      <c r="V115" s="187">
        <f t="shared" si="37"/>
        <v>0</v>
      </c>
      <c r="W115" s="234">
        <f t="shared" si="38"/>
        <v>0</v>
      </c>
      <c r="X115" s="210"/>
      <c r="Y115" s="179"/>
    </row>
    <row r="116" spans="1:25" ht="52.8" x14ac:dyDescent="0.25">
      <c r="A116" s="225" t="s">
        <v>296</v>
      </c>
      <c r="B116" s="226" t="s">
        <v>297</v>
      </c>
      <c r="C116" s="227">
        <v>108.4</v>
      </c>
      <c r="D116" s="227">
        <v>158.20480000000001</v>
      </c>
      <c r="E116" s="227">
        <v>132.28450000000001</v>
      </c>
      <c r="F116" s="228">
        <f>121775.9/1000</f>
        <v>121.77589999999999</v>
      </c>
      <c r="G116" s="190">
        <f>H116+I116</f>
        <v>121.77590000000001</v>
      </c>
      <c r="H116" s="229">
        <f>65436.1/1000</f>
        <v>65.436099999999996</v>
      </c>
      <c r="I116" s="228">
        <f>56339.8/1000</f>
        <v>56.339800000000004</v>
      </c>
      <c r="J116" s="191">
        <f t="shared" si="33"/>
        <v>0</v>
      </c>
      <c r="K116" s="191">
        <f t="shared" si="34"/>
        <v>0</v>
      </c>
      <c r="L116" s="228">
        <f>323849.4/1000</f>
        <v>323.8494</v>
      </c>
      <c r="M116" s="228">
        <f>N116+O116</f>
        <v>130.23919999999998</v>
      </c>
      <c r="N116" s="229">
        <f>65020/1000</f>
        <v>65.02</v>
      </c>
      <c r="O116" s="229">
        <f>65219.2/1000</f>
        <v>65.219200000000001</v>
      </c>
      <c r="P116" s="230">
        <f t="shared" si="43"/>
        <v>193.61020000000002</v>
      </c>
      <c r="Q116" s="230">
        <f t="shared" si="44"/>
        <v>148.65739347293291</v>
      </c>
      <c r="R116" s="228">
        <f>334018.9/1000</f>
        <v>334.01890000000003</v>
      </c>
      <c r="S116" s="228">
        <f>T116+U116</f>
        <v>295.6902</v>
      </c>
      <c r="T116" s="229">
        <f>159180/1000</f>
        <v>159.18</v>
      </c>
      <c r="U116" s="229">
        <f>136510.2/1000</f>
        <v>136.5102</v>
      </c>
      <c r="V116" s="231">
        <f t="shared" si="37"/>
        <v>38.328700000000026</v>
      </c>
      <c r="W116" s="232">
        <f t="shared" si="38"/>
        <v>12.962451917581319</v>
      </c>
      <c r="X116" s="211">
        <f>M116+33</f>
        <v>163.23919999999998</v>
      </c>
      <c r="Y116" s="180">
        <f>S116+33</f>
        <v>328.6902</v>
      </c>
    </row>
    <row r="117" spans="1:25" s="198" customFormat="1" ht="13.8" thickBot="1" x14ac:dyDescent="0.3">
      <c r="A117" s="237" t="s">
        <v>62</v>
      </c>
      <c r="B117" s="238"/>
      <c r="C117" s="239" t="e">
        <f t="shared" ref="C117:E117" si="54">C8+C18+C26+C35+C36+C41+C47+C53+C58+C63+C67+C73+C81+C82+C87+C91+C96+C103+C104+C105+C110+C116</f>
        <v>#REF!</v>
      </c>
      <c r="D117" s="239" t="e">
        <f t="shared" si="54"/>
        <v>#REF!</v>
      </c>
      <c r="E117" s="239" t="e">
        <f t="shared" si="54"/>
        <v>#REF!</v>
      </c>
      <c r="F117" s="240">
        <f>F8+F18+F26+F35+F36+F41+F47+F53+F58+F63+F67+F73+F81+F82+F87+F91+F96+F103+F104+F105+F110+F116+F80</f>
        <v>67866.994900000005</v>
      </c>
      <c r="G117" s="240">
        <f>G8+G18+G26+G35+G36+G41+G47+G53+G58+G63+G67+G73+G81+G82+G87+G91+G96+G103+G104+G105+G110+G116+G80</f>
        <v>67974.805300000007</v>
      </c>
      <c r="H117" s="241">
        <f>H8+H18+H26+H35+H36+H41+H47+H53+H58+H63+H67+H73+H81+H82+H87+H91+H96+H103+H104+H105+H110+H116+H80</f>
        <v>62617.301500000001</v>
      </c>
      <c r="I117" s="241">
        <f>I8+I18+I26+I35+I36+I41+I47+I53+I58+I63+I67+I73+I81+I82+I87+I91+I96+I103+I104+I105+I110+I116+I80</f>
        <v>5357.5037999999995</v>
      </c>
      <c r="J117" s="244">
        <f t="shared" ref="J117:P117" si="55">J8+J18+J26+J35+J36+J41+J47+J53+J58+J63+J67+J73+J81+J82+J87+J91+J96+J103+J104+J105+J110+J116+J80</f>
        <v>-107.8104000000003</v>
      </c>
      <c r="K117" s="242">
        <f>F117/G117*100-100</f>
        <v>-0.15860347010071507</v>
      </c>
      <c r="L117" s="240">
        <f>L8+L18+L26+L35+L36+L41+L47+L53+L58+L63+L67+L73+L81+L82+L87+L91+L96+L103+L104+L105+L110+L116+L80</f>
        <v>64390.467599999996</v>
      </c>
      <c r="M117" s="240">
        <f>M8+M18+M26+M35+M36+M41+M47+M53+M58+M63+M67+M73+M81+M82+M87+M91+M96+M103+M104+M105+M110+M116+M80</f>
        <v>72011.286099999983</v>
      </c>
      <c r="N117" s="241">
        <f t="shared" ref="N117" si="56">N8+N18+N26+N35+N36+N41+N47+N53+N58+N63+N67+N73+N81+N82+N87+N91+N96+N103+N104+N105+N110+N116+N80</f>
        <v>66223.459400000007</v>
      </c>
      <c r="O117" s="241"/>
      <c r="P117" s="244">
        <f t="shared" si="55"/>
        <v>-7620.8185000000003</v>
      </c>
      <c r="Q117" s="242">
        <f t="shared" si="44"/>
        <v>-10.582811268524182</v>
      </c>
      <c r="R117" s="240">
        <f>R8+R18+R26+R35+R36+R41+R47+R53+R58+R63+R67+R73+R81+R82+R87+R91+R96+R103+R104+R105+R110+R116+R80</f>
        <v>67994.995999999999</v>
      </c>
      <c r="S117" s="240">
        <f t="shared" ref="S117:T125" si="57">S8+S18+S26+S35+S36+S41+S47+S53+S58+S63+S67+S73+S81+S82+S87+S91+S96+S103+S104+S105+S110+S116+S80</f>
        <v>98811.721799999999</v>
      </c>
      <c r="T117" s="241">
        <f t="shared" si="57"/>
        <v>86531.926900000006</v>
      </c>
      <c r="U117" s="241"/>
      <c r="V117" s="244">
        <f>V8+V18+V26+V35+V36+V41+V47+V53+V58+V63+V67+V73+V81+V82+V87+V91+V96+V103+V104+V105+V110+V116+V80</f>
        <v>-30816.725800000007</v>
      </c>
      <c r="W117" s="243">
        <f>R117/S117*100-100</f>
        <v>-31.187317899767635</v>
      </c>
      <c r="X117" s="215">
        <f>X8+X18+X26+X35+X36+X41+X47+X53+X58+X63+X67+X73+X81+X82+X87+X91+X96+X103+X104+X105+X110+X116</f>
        <v>80265.27429999999</v>
      </c>
      <c r="Y117" s="200">
        <f>Y8+Y18+Y26+Y35+Y36+Y41+Y47+Y53+Y58+Y63+Y67+Y73+Y81+Y82+Y87+Y91+Y96+Y103+Y104+Y105+Y110+Y116</f>
        <v>108223.43200000002</v>
      </c>
    </row>
    <row r="118" spans="1:25" hidden="1" x14ac:dyDescent="0.25">
      <c r="A118" s="173" t="s">
        <v>298</v>
      </c>
      <c r="L118" s="202">
        <f>135.8766+18.226+2845.4224+10.9559+224.627+12.7167+444.4174+36.6211+541.0829+143.586+112.1319</f>
        <v>4525.6639000000005</v>
      </c>
      <c r="R118" s="202">
        <f>132.9944+18.226+2910.1286+10.9559+219.8711+12.4403+454.4565+36.6211+550.8173+139.6993+112.1164</f>
        <v>4598.3269</v>
      </c>
      <c r="T118" s="216">
        <f t="shared" si="57"/>
        <v>117460.85140000001</v>
      </c>
    </row>
    <row r="119" spans="1:25" hidden="1" x14ac:dyDescent="0.25">
      <c r="A119" s="173" t="s">
        <v>299</v>
      </c>
      <c r="L119" s="203">
        <f>L117+L118</f>
        <v>68916.131500000003</v>
      </c>
      <c r="R119" s="203">
        <f>R117+R118</f>
        <v>72593.322899999999</v>
      </c>
      <c r="T119" s="201">
        <f t="shared" si="57"/>
        <v>140020.5197</v>
      </c>
      <c r="X119" s="204">
        <f>X117-V123-V124</f>
        <v>80196.690299999987</v>
      </c>
      <c r="Y119" s="204">
        <f>Y117-W124</f>
        <v>108223.43200000002</v>
      </c>
    </row>
    <row r="120" spans="1:25" hidden="1" x14ac:dyDescent="0.25">
      <c r="T120" s="201">
        <f t="shared" si="57"/>
        <v>158987.44380000001</v>
      </c>
    </row>
    <row r="121" spans="1:25" hidden="1" x14ac:dyDescent="0.25">
      <c r="T121" s="201">
        <f t="shared" si="57"/>
        <v>178275.55470000001</v>
      </c>
    </row>
    <row r="122" spans="1:25" hidden="1" x14ac:dyDescent="0.25">
      <c r="T122" s="201">
        <f t="shared" si="57"/>
        <v>214108.17689999999</v>
      </c>
    </row>
    <row r="123" spans="1:25" hidden="1" x14ac:dyDescent="0.25">
      <c r="S123" s="205"/>
      <c r="T123" s="201">
        <f t="shared" si="57"/>
        <v>227062.82319999998</v>
      </c>
      <c r="V123" s="173">
        <v>67.784000000000006</v>
      </c>
    </row>
    <row r="124" spans="1:25" hidden="1" x14ac:dyDescent="0.25">
      <c r="S124" s="206"/>
      <c r="T124" s="201">
        <f t="shared" si="57"/>
        <v>325166.03480000002</v>
      </c>
      <c r="V124" s="173">
        <v>0.8</v>
      </c>
    </row>
    <row r="125" spans="1:25" hidden="1" x14ac:dyDescent="0.25">
      <c r="T125" s="201">
        <f t="shared" si="57"/>
        <v>463673.7954</v>
      </c>
    </row>
    <row r="126" spans="1:25" ht="13.8" thickTop="1" x14ac:dyDescent="0.25">
      <c r="S126" s="174"/>
      <c r="T126" s="175"/>
      <c r="U126" s="175"/>
      <c r="V126" s="174"/>
      <c r="W126" s="174"/>
    </row>
    <row r="127" spans="1:25" x14ac:dyDescent="0.25">
      <c r="F127" s="203"/>
      <c r="G127" s="203"/>
      <c r="H127" s="207"/>
      <c r="I127" s="207"/>
      <c r="J127" s="203"/>
      <c r="K127" s="203"/>
      <c r="L127" s="203"/>
      <c r="M127" s="203"/>
      <c r="N127" s="207"/>
      <c r="O127" s="207"/>
      <c r="P127" s="203"/>
      <c r="Q127" s="203"/>
      <c r="R127" s="203"/>
      <c r="S127" s="203"/>
      <c r="T127" s="207"/>
      <c r="U127" s="207"/>
      <c r="V127" s="203"/>
      <c r="W127" s="203"/>
    </row>
    <row r="128" spans="1:25" x14ac:dyDescent="0.25">
      <c r="H128" s="207"/>
      <c r="I128" s="207"/>
      <c r="M128" s="203"/>
      <c r="N128" s="207"/>
      <c r="O128" s="207"/>
      <c r="S128" s="204"/>
      <c r="T128" s="208"/>
      <c r="U128" s="208"/>
    </row>
    <row r="132" spans="13:15" x14ac:dyDescent="0.25">
      <c r="M132" s="202"/>
      <c r="N132" s="209"/>
      <c r="O132" s="209"/>
    </row>
  </sheetData>
  <mergeCells count="25">
    <mergeCell ref="A3:W3"/>
    <mergeCell ref="V4:W4"/>
    <mergeCell ref="O5:O6"/>
    <mergeCell ref="A5:A6"/>
    <mergeCell ref="B5:B6"/>
    <mergeCell ref="C5:C6"/>
    <mergeCell ref="D5:D6"/>
    <mergeCell ref="E5:E6"/>
    <mergeCell ref="F5:F6"/>
    <mergeCell ref="G5:G6"/>
    <mergeCell ref="P5:Q5"/>
    <mergeCell ref="R5:R6"/>
    <mergeCell ref="S5:S6"/>
    <mergeCell ref="X4:Y4"/>
    <mergeCell ref="H5:H6"/>
    <mergeCell ref="I5:I6"/>
    <mergeCell ref="J5:K5"/>
    <mergeCell ref="L5:L6"/>
    <mergeCell ref="M5:M6"/>
    <mergeCell ref="T5:T6"/>
    <mergeCell ref="U5:U6"/>
    <mergeCell ref="V5:W5"/>
    <mergeCell ref="X5:X6"/>
    <mergeCell ref="Y5:Y6"/>
    <mergeCell ref="N5:N6"/>
  </mergeCells>
  <pageMargins left="0.39370078740157483" right="0.39370078740157483" top="0.74803149606299213" bottom="0.59055118110236227" header="0.31496062992125984" footer="0.31496062992125984"/>
  <pageSetup paperSize="9" scale="78" fitToHeight="0" orientation="landscape" r:id="rId1"/>
  <headerFooter>
    <oddFooter>&amp;C&amp;P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"/>
  <sheetViews>
    <sheetView workbookViewId="0">
      <selection activeCell="J27" sqref="J27"/>
    </sheetView>
  </sheetViews>
  <sheetFormatPr defaultColWidth="9.109375" defaultRowHeight="13.2" x14ac:dyDescent="0.3"/>
  <cols>
    <col min="1" max="1" width="57.33203125" style="158" customWidth="1"/>
    <col min="2" max="4" width="12.33203125" style="159" hidden="1" customWidth="1"/>
    <col min="5" max="5" width="13" style="159" customWidth="1"/>
    <col min="6" max="6" width="15.88671875" style="160" customWidth="1"/>
    <col min="7" max="9" width="12.33203125" style="159" customWidth="1"/>
    <col min="10" max="13" width="10.109375" style="159" hidden="1" customWidth="1"/>
    <col min="14" max="15" width="10.109375" style="159" customWidth="1"/>
    <col min="16" max="16" width="9.109375" style="159" customWidth="1"/>
    <col min="17" max="17" width="18.33203125" style="159" hidden="1" customWidth="1"/>
    <col min="18" max="18" width="17.109375" style="159" hidden="1" customWidth="1"/>
    <col min="19" max="19" width="13.5546875" style="159" hidden="1" customWidth="1"/>
    <col min="20" max="20" width="22.33203125" style="159" hidden="1" customWidth="1"/>
    <col min="21" max="16384" width="9.109375" style="159"/>
  </cols>
  <sheetData>
    <row r="1" spans="1:22" ht="13.2" customHeight="1" x14ac:dyDescent="0.3">
      <c r="M1" s="171" t="s">
        <v>333</v>
      </c>
      <c r="V1" s="246" t="s">
        <v>412</v>
      </c>
    </row>
    <row r="3" spans="1:22" s="158" customFormat="1" ht="30.75" customHeight="1" x14ac:dyDescent="0.3">
      <c r="A3" s="303" t="s">
        <v>391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  <c r="T3" s="303"/>
      <c r="U3" s="303"/>
      <c r="V3" s="303"/>
    </row>
    <row r="4" spans="1:22" s="158" customFormat="1" ht="13.8" thickBot="1" x14ac:dyDescent="0.35">
      <c r="A4" s="16"/>
      <c r="B4" s="16"/>
      <c r="C4" s="16"/>
      <c r="D4" s="16"/>
      <c r="E4" s="16"/>
      <c r="F4" s="143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22" s="158" customFormat="1" ht="29.25" customHeight="1" thickTop="1" x14ac:dyDescent="0.3">
      <c r="A5" s="301" t="s">
        <v>396</v>
      </c>
      <c r="B5" s="299" t="s">
        <v>394</v>
      </c>
      <c r="C5" s="299"/>
      <c r="D5" s="299"/>
      <c r="E5" s="299"/>
      <c r="F5" s="299"/>
      <c r="G5" s="299"/>
      <c r="H5" s="299"/>
      <c r="I5" s="299"/>
      <c r="J5" s="299" t="s">
        <v>300</v>
      </c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300"/>
    </row>
    <row r="6" spans="1:22" s="22" customFormat="1" ht="52.8" x14ac:dyDescent="0.3">
      <c r="A6" s="302"/>
      <c r="B6" s="144" t="s">
        <v>301</v>
      </c>
      <c r="C6" s="144" t="s">
        <v>302</v>
      </c>
      <c r="D6" s="144" t="s">
        <v>303</v>
      </c>
      <c r="E6" s="144" t="s">
        <v>384</v>
      </c>
      <c r="F6" s="145" t="s">
        <v>385</v>
      </c>
      <c r="G6" s="144" t="s">
        <v>386</v>
      </c>
      <c r="H6" s="144" t="s">
        <v>392</v>
      </c>
      <c r="I6" s="144" t="s">
        <v>393</v>
      </c>
      <c r="J6" s="144" t="s">
        <v>304</v>
      </c>
      <c r="K6" s="146" t="s">
        <v>305</v>
      </c>
      <c r="L6" s="146" t="s">
        <v>306</v>
      </c>
      <c r="M6" s="146" t="s">
        <v>307</v>
      </c>
      <c r="N6" s="146" t="s">
        <v>387</v>
      </c>
      <c r="O6" s="146" t="s">
        <v>395</v>
      </c>
      <c r="P6" s="144" t="s">
        <v>386</v>
      </c>
      <c r="Q6" s="161" t="s">
        <v>388</v>
      </c>
      <c r="R6" s="161" t="s">
        <v>413</v>
      </c>
      <c r="S6" s="161" t="s">
        <v>414</v>
      </c>
      <c r="T6" s="161" t="s">
        <v>389</v>
      </c>
      <c r="U6" s="144" t="s">
        <v>392</v>
      </c>
      <c r="V6" s="147" t="s">
        <v>393</v>
      </c>
    </row>
    <row r="7" spans="1:22" s="22" customFormat="1" x14ac:dyDescent="0.3">
      <c r="A7" s="148" t="s">
        <v>20</v>
      </c>
      <c r="B7" s="144"/>
      <c r="C7" s="144"/>
      <c r="D7" s="144"/>
      <c r="E7" s="144">
        <v>1</v>
      </c>
      <c r="F7" s="145">
        <v>2</v>
      </c>
      <c r="G7" s="144">
        <v>3</v>
      </c>
      <c r="H7" s="144">
        <v>4</v>
      </c>
      <c r="I7" s="144">
        <v>5</v>
      </c>
      <c r="J7" s="144"/>
      <c r="K7" s="144"/>
      <c r="L7" s="144"/>
      <c r="M7" s="144"/>
      <c r="N7" s="144">
        <v>6</v>
      </c>
      <c r="O7" s="144">
        <v>7</v>
      </c>
      <c r="P7" s="144">
        <v>8</v>
      </c>
      <c r="Q7" s="149"/>
      <c r="R7" s="149"/>
      <c r="S7" s="149"/>
      <c r="T7" s="149"/>
      <c r="U7" s="144">
        <v>9</v>
      </c>
      <c r="V7" s="147">
        <v>10</v>
      </c>
    </row>
    <row r="8" spans="1:22" x14ac:dyDescent="0.3">
      <c r="A8" s="153" t="s">
        <v>308</v>
      </c>
      <c r="B8" s="151">
        <v>62700.865689999999</v>
      </c>
      <c r="C8" s="151">
        <v>59252.151600000005</v>
      </c>
      <c r="D8" s="151">
        <v>57338.2</v>
      </c>
      <c r="E8" s="151">
        <v>11091.8</v>
      </c>
      <c r="F8" s="162">
        <v>9476.2720000000008</v>
      </c>
      <c r="G8" s="151">
        <v>9849.6</v>
      </c>
      <c r="H8" s="151">
        <v>9957.1</v>
      </c>
      <c r="I8" s="151">
        <v>10298.5</v>
      </c>
      <c r="J8" s="152">
        <f>3+1</f>
        <v>4</v>
      </c>
      <c r="K8" s="152">
        <f>2+1</f>
        <v>3</v>
      </c>
      <c r="L8" s="152">
        <f>1+2</f>
        <v>3</v>
      </c>
      <c r="M8" s="152">
        <f>1+2</f>
        <v>3</v>
      </c>
      <c r="N8" s="152">
        <f>2</f>
        <v>2</v>
      </c>
      <c r="O8" s="152">
        <v>2</v>
      </c>
      <c r="P8" s="152">
        <v>1</v>
      </c>
      <c r="Q8" s="163">
        <f>9476.3</f>
        <v>9476.2999999999993</v>
      </c>
      <c r="R8" s="163">
        <f>9849.6</f>
        <v>9849.6</v>
      </c>
      <c r="S8" s="163">
        <f>9957.1/1000</f>
        <v>9.9571000000000005</v>
      </c>
      <c r="T8" s="163">
        <f>10298.50011/1000</f>
        <v>10.298500110000001</v>
      </c>
      <c r="U8" s="152">
        <v>1</v>
      </c>
      <c r="V8" s="168">
        <v>1</v>
      </c>
    </row>
    <row r="9" spans="1:22" ht="26.4" x14ac:dyDescent="0.3">
      <c r="A9" s="153" t="s">
        <v>309</v>
      </c>
      <c r="B9" s="151">
        <v>42391.332539999996</v>
      </c>
      <c r="C9" s="151">
        <v>41486</v>
      </c>
      <c r="D9" s="151">
        <v>34334.199999999997</v>
      </c>
      <c r="E9" s="151">
        <v>400</v>
      </c>
      <c r="F9" s="162"/>
      <c r="G9" s="151"/>
      <c r="H9" s="151"/>
      <c r="I9" s="151"/>
      <c r="J9" s="152">
        <v>3</v>
      </c>
      <c r="K9" s="152">
        <v>4</v>
      </c>
      <c r="L9" s="152">
        <f>3+1</f>
        <v>4</v>
      </c>
      <c r="M9" s="152">
        <f>1</f>
        <v>1</v>
      </c>
      <c r="N9" s="152">
        <v>1</v>
      </c>
      <c r="O9" s="152"/>
      <c r="P9" s="152"/>
      <c r="Q9" s="164"/>
      <c r="R9" s="164"/>
      <c r="S9" s="164"/>
      <c r="T9" s="164"/>
      <c r="U9" s="152"/>
      <c r="V9" s="168"/>
    </row>
    <row r="10" spans="1:22" ht="26.4" x14ac:dyDescent="0.3">
      <c r="A10" s="153" t="s">
        <v>310</v>
      </c>
      <c r="B10" s="151">
        <v>305075.43477999995</v>
      </c>
      <c r="C10" s="151">
        <v>327011.79668999999</v>
      </c>
      <c r="D10" s="151">
        <v>298263.92089000001</v>
      </c>
      <c r="E10" s="151">
        <v>333287.91274</v>
      </c>
      <c r="F10" s="162">
        <f>276143153.22/1000+28643028/1000</f>
        <v>304786.18122000003</v>
      </c>
      <c r="G10" s="151">
        <v>352822.3</v>
      </c>
      <c r="H10" s="151">
        <v>351619.1</v>
      </c>
      <c r="I10" s="151">
        <v>365462.7</v>
      </c>
      <c r="J10" s="152">
        <v>2</v>
      </c>
      <c r="K10" s="152">
        <v>2</v>
      </c>
      <c r="L10" s="152">
        <f>2</f>
        <v>2</v>
      </c>
      <c r="M10" s="152">
        <f>1+2</f>
        <v>3</v>
      </c>
      <c r="N10" s="152">
        <f>1+2</f>
        <v>3</v>
      </c>
      <c r="O10" s="152">
        <v>2</v>
      </c>
      <c r="P10" s="152">
        <v>2</v>
      </c>
      <c r="Q10" s="164">
        <f>317113.2</f>
        <v>317113.2</v>
      </c>
      <c r="R10" s="164">
        <f>352822.3</f>
        <v>352822.3</v>
      </c>
      <c r="S10" s="164">
        <f>351619.1/1000</f>
        <v>351.6191</v>
      </c>
      <c r="T10" s="164">
        <f>365462.7/1000</f>
        <v>365.46269999999998</v>
      </c>
      <c r="U10" s="152">
        <v>2</v>
      </c>
      <c r="V10" s="168">
        <v>2</v>
      </c>
    </row>
    <row r="11" spans="1:22" x14ac:dyDescent="0.3">
      <c r="A11" s="153" t="s">
        <v>311</v>
      </c>
      <c r="B11" s="151">
        <v>3041068.5559999999</v>
      </c>
      <c r="C11" s="151">
        <v>2927196.8388200002</v>
      </c>
      <c r="D11" s="151">
        <v>3091959.73</v>
      </c>
      <c r="E11" s="151">
        <v>3167873.37684</v>
      </c>
      <c r="F11" s="162">
        <f>173701094/1000+2662206235.36/1000</f>
        <v>2835907.3293600003</v>
      </c>
      <c r="G11" s="151">
        <v>3292663.5</v>
      </c>
      <c r="H11" s="151">
        <v>3347063.6</v>
      </c>
      <c r="I11" s="151">
        <v>3743250.7</v>
      </c>
      <c r="J11" s="152">
        <v>77</v>
      </c>
      <c r="K11" s="152">
        <v>73</v>
      </c>
      <c r="L11" s="152">
        <f>62+8</f>
        <v>70</v>
      </c>
      <c r="M11" s="152">
        <f>58+10</f>
        <v>68</v>
      </c>
      <c r="N11" s="152">
        <f>54+10</f>
        <v>64</v>
      </c>
      <c r="O11" s="152">
        <v>64</v>
      </c>
      <c r="P11" s="167">
        <f>53+9</f>
        <v>62</v>
      </c>
      <c r="Q11" s="162">
        <f>2699964.3</f>
        <v>2699964.3</v>
      </c>
      <c r="R11" s="162">
        <f>3292663.5</f>
        <v>3292663.5</v>
      </c>
      <c r="S11" s="162">
        <f>3347063.6/1000</f>
        <v>3347.0636</v>
      </c>
      <c r="T11" s="162">
        <f>3743250.7/1000</f>
        <v>3743.2507000000001</v>
      </c>
      <c r="U11" s="169">
        <v>62</v>
      </c>
      <c r="V11" s="170">
        <v>62</v>
      </c>
    </row>
    <row r="12" spans="1:22" x14ac:dyDescent="0.3">
      <c r="A12" s="150" t="s">
        <v>312</v>
      </c>
      <c r="B12" s="151"/>
      <c r="C12" s="151"/>
      <c r="D12" s="151"/>
      <c r="E12" s="151">
        <v>3296.8</v>
      </c>
      <c r="F12" s="162">
        <f>3256.5</f>
        <v>3256.5</v>
      </c>
      <c r="G12" s="151">
        <v>4201.8999999999996</v>
      </c>
      <c r="H12" s="151">
        <v>4400.6000000000004</v>
      </c>
      <c r="I12" s="151">
        <v>4594.8</v>
      </c>
      <c r="J12" s="152"/>
      <c r="K12" s="152"/>
      <c r="L12" s="152"/>
      <c r="M12" s="152"/>
      <c r="N12" s="152">
        <v>1</v>
      </c>
      <c r="O12" s="152">
        <v>1</v>
      </c>
      <c r="P12" s="152">
        <v>1</v>
      </c>
      <c r="Q12" s="164">
        <f>3256.5</f>
        <v>3256.5</v>
      </c>
      <c r="R12" s="164">
        <f>4201.9</f>
        <v>4201.8999999999996</v>
      </c>
      <c r="S12" s="164">
        <f>4400.6/1000</f>
        <v>4.4006000000000007</v>
      </c>
      <c r="T12" s="164">
        <f>4594.8/1000</f>
        <v>4.5948000000000002</v>
      </c>
      <c r="U12" s="152">
        <v>1</v>
      </c>
      <c r="V12" s="168">
        <v>1</v>
      </c>
    </row>
    <row r="13" spans="1:22" x14ac:dyDescent="0.3">
      <c r="A13" s="153" t="s">
        <v>313</v>
      </c>
      <c r="B13" s="151">
        <v>621175.80000000005</v>
      </c>
      <c r="C13" s="151">
        <v>654240.43220000004</v>
      </c>
      <c r="D13" s="151">
        <v>684595.21270000003</v>
      </c>
      <c r="E13" s="151">
        <v>713104.40737999999</v>
      </c>
      <c r="F13" s="162">
        <f>23710500/1000+754125000/1000</f>
        <v>777835.5</v>
      </c>
      <c r="G13" s="151">
        <v>982163.7</v>
      </c>
      <c r="H13" s="151">
        <v>974653.9</v>
      </c>
      <c r="I13" s="151">
        <v>1009687.6</v>
      </c>
      <c r="J13" s="152">
        <v>18</v>
      </c>
      <c r="K13" s="152">
        <v>19</v>
      </c>
      <c r="L13" s="152">
        <f>17+2</f>
        <v>19</v>
      </c>
      <c r="M13" s="152">
        <f>19+2</f>
        <v>21</v>
      </c>
      <c r="N13" s="152">
        <v>21</v>
      </c>
      <c r="O13" s="152">
        <v>20</v>
      </c>
      <c r="P13" s="152">
        <f>19+1</f>
        <v>20</v>
      </c>
      <c r="Q13" s="164">
        <f>780835.5</f>
        <v>780835.5</v>
      </c>
      <c r="R13" s="164">
        <f>982163.7</f>
        <v>982163.7</v>
      </c>
      <c r="S13" s="164">
        <f>974653.9/1000</f>
        <v>974.65390000000002</v>
      </c>
      <c r="T13" s="164">
        <f>1009687.6/1000</f>
        <v>1009.6876</v>
      </c>
      <c r="U13" s="152">
        <v>20</v>
      </c>
      <c r="V13" s="168">
        <v>20</v>
      </c>
    </row>
    <row r="14" spans="1:22" x14ac:dyDescent="0.3">
      <c r="A14" s="153" t="s">
        <v>314</v>
      </c>
      <c r="B14" s="151"/>
      <c r="C14" s="151"/>
      <c r="D14" s="151"/>
      <c r="E14" s="151">
        <v>287431.90000000002</v>
      </c>
      <c r="F14" s="162">
        <f>3276900/1000+305725533.47/1000</f>
        <v>309002.43347000005</v>
      </c>
      <c r="G14" s="151">
        <v>387783.2</v>
      </c>
      <c r="H14" s="151">
        <v>318098.2</v>
      </c>
      <c r="I14" s="151">
        <v>338374.9</v>
      </c>
      <c r="J14" s="152"/>
      <c r="K14" s="152"/>
      <c r="L14" s="152"/>
      <c r="M14" s="152"/>
      <c r="N14" s="152">
        <f>1+2</f>
        <v>3</v>
      </c>
      <c r="O14" s="152">
        <v>3</v>
      </c>
      <c r="P14" s="152">
        <f>1+2</f>
        <v>3</v>
      </c>
      <c r="Q14" s="164">
        <f>312358</f>
        <v>312358</v>
      </c>
      <c r="R14" s="164">
        <f>387783.2</f>
        <v>387783.2</v>
      </c>
      <c r="S14" s="164">
        <f>318098.2/1000</f>
        <v>318.09820000000002</v>
      </c>
      <c r="T14" s="164">
        <f>338374.9/1000</f>
        <v>338.37490000000003</v>
      </c>
      <c r="U14" s="152">
        <v>3</v>
      </c>
      <c r="V14" s="168">
        <v>3</v>
      </c>
    </row>
    <row r="15" spans="1:22" x14ac:dyDescent="0.3">
      <c r="A15" s="153" t="s">
        <v>315</v>
      </c>
      <c r="B15" s="151">
        <v>3885868.7927600001</v>
      </c>
      <c r="C15" s="151">
        <v>3748722.7676200001</v>
      </c>
      <c r="D15" s="151">
        <v>3699160.46704</v>
      </c>
      <c r="E15" s="151">
        <v>3418082.23795</v>
      </c>
      <c r="F15" s="162">
        <f>913665845.62/1000+2373685275.3/1000</f>
        <v>3287351.1209200006</v>
      </c>
      <c r="G15" s="151">
        <v>3553170.6063901698</v>
      </c>
      <c r="H15" s="151">
        <v>3572955.4</v>
      </c>
      <c r="I15" s="151">
        <v>3711206.7</v>
      </c>
      <c r="J15" s="152">
        <v>101</v>
      </c>
      <c r="K15" s="152">
        <v>97</v>
      </c>
      <c r="L15" s="152">
        <f>74+17</f>
        <v>91</v>
      </c>
      <c r="M15" s="152">
        <f>73+17</f>
        <v>90</v>
      </c>
      <c r="N15" s="152">
        <f>72+17</f>
        <v>89</v>
      </c>
      <c r="O15" s="152">
        <f>71+17</f>
        <v>88</v>
      </c>
      <c r="P15" s="152">
        <f>71+17</f>
        <v>88</v>
      </c>
      <c r="Q15" s="164">
        <f>3301938.25306023</f>
        <v>3301938.2530602301</v>
      </c>
      <c r="R15" s="164">
        <f>3553170.60639017</f>
        <v>3553170.6063901698</v>
      </c>
      <c r="S15" s="164">
        <f>3572955.42060833/1000</f>
        <v>3572.9554206083299</v>
      </c>
      <c r="T15" s="164">
        <f>3711206.72805413/1000</f>
        <v>3711.2067280541301</v>
      </c>
      <c r="U15" s="152">
        <v>88</v>
      </c>
      <c r="V15" s="168">
        <v>88</v>
      </c>
    </row>
    <row r="16" spans="1:22" x14ac:dyDescent="0.3">
      <c r="A16" s="153" t="s">
        <v>316</v>
      </c>
      <c r="B16" s="151">
        <v>12492.2</v>
      </c>
      <c r="C16" s="151">
        <v>614.5</v>
      </c>
      <c r="D16" s="151">
        <v>614.6</v>
      </c>
      <c r="E16" s="151">
        <v>614.6</v>
      </c>
      <c r="F16" s="162">
        <v>614.6</v>
      </c>
      <c r="G16" s="151">
        <v>614.6</v>
      </c>
      <c r="H16" s="151">
        <v>614.6</v>
      </c>
      <c r="I16" s="151">
        <v>614.6</v>
      </c>
      <c r="J16" s="152"/>
      <c r="K16" s="152">
        <v>2</v>
      </c>
      <c r="L16" s="152">
        <f>2</f>
        <v>2</v>
      </c>
      <c r="M16" s="152">
        <f>2</f>
        <v>2</v>
      </c>
      <c r="N16" s="152">
        <v>1</v>
      </c>
      <c r="O16" s="152">
        <v>1</v>
      </c>
      <c r="P16" s="152">
        <v>1</v>
      </c>
      <c r="Q16" s="164">
        <f>614.6</f>
        <v>614.6</v>
      </c>
      <c r="R16" s="164">
        <f>614.6</f>
        <v>614.6</v>
      </c>
      <c r="S16" s="164">
        <f>614.6/1000</f>
        <v>0.61460000000000004</v>
      </c>
      <c r="T16" s="164">
        <f>614.6/1000</f>
        <v>0.61460000000000004</v>
      </c>
      <c r="U16" s="152">
        <v>1</v>
      </c>
      <c r="V16" s="168">
        <v>1</v>
      </c>
    </row>
    <row r="17" spans="1:22" x14ac:dyDescent="0.3">
      <c r="A17" s="153" t="s">
        <v>317</v>
      </c>
      <c r="B17" s="151">
        <v>24929</v>
      </c>
      <c r="C17" s="151">
        <v>23872.7</v>
      </c>
      <c r="D17" s="151">
        <v>33982.400000000001</v>
      </c>
      <c r="E17" s="151">
        <v>34855.1</v>
      </c>
      <c r="F17" s="162">
        <v>48917.8</v>
      </c>
      <c r="G17" s="151">
        <v>55585.1</v>
      </c>
      <c r="H17" s="151">
        <v>50468.7</v>
      </c>
      <c r="I17" s="151">
        <v>59138.2</v>
      </c>
      <c r="J17" s="152">
        <v>1</v>
      </c>
      <c r="K17" s="152">
        <v>1</v>
      </c>
      <c r="L17" s="152">
        <f>1</f>
        <v>1</v>
      </c>
      <c r="M17" s="152">
        <f>2</f>
        <v>2</v>
      </c>
      <c r="N17" s="152">
        <v>1</v>
      </c>
      <c r="O17" s="152">
        <v>1</v>
      </c>
      <c r="P17" s="152">
        <v>1</v>
      </c>
      <c r="Q17" s="164">
        <f>48917.8</f>
        <v>48917.8</v>
      </c>
      <c r="R17" s="164">
        <f>55585.1</f>
        <v>55585.1</v>
      </c>
      <c r="S17" s="164">
        <f>50468.7/1000</f>
        <v>50.468699999999998</v>
      </c>
      <c r="T17" s="164">
        <f>59138.2/1000</f>
        <v>59.138199999999998</v>
      </c>
      <c r="U17" s="152">
        <v>1</v>
      </c>
      <c r="V17" s="168">
        <v>1</v>
      </c>
    </row>
    <row r="18" spans="1:22" x14ac:dyDescent="0.3">
      <c r="A18" s="153" t="s">
        <v>318</v>
      </c>
      <c r="B18" s="151">
        <v>11270</v>
      </c>
      <c r="C18" s="151">
        <v>7325.4</v>
      </c>
      <c r="D18" s="151">
        <v>8105.9989999999998</v>
      </c>
      <c r="E18" s="151">
        <v>7032.2</v>
      </c>
      <c r="F18" s="162">
        <f>5632.20058</f>
        <v>5632.2005799999997</v>
      </c>
      <c r="G18" s="151">
        <v>27611.8</v>
      </c>
      <c r="H18" s="151">
        <v>21315.9</v>
      </c>
      <c r="I18" s="151">
        <v>21758.400000000001</v>
      </c>
      <c r="J18" s="152">
        <v>1</v>
      </c>
      <c r="K18" s="152">
        <v>1</v>
      </c>
      <c r="L18" s="152">
        <v>1</v>
      </c>
      <c r="M18" s="152">
        <v>1</v>
      </c>
      <c r="N18" s="152">
        <v>1</v>
      </c>
      <c r="O18" s="152">
        <v>1</v>
      </c>
      <c r="P18" s="152">
        <v>1</v>
      </c>
      <c r="Q18" s="164">
        <f>5632.15</f>
        <v>5632.15</v>
      </c>
      <c r="R18" s="164">
        <f>27611.8</f>
        <v>27611.8</v>
      </c>
      <c r="S18" s="164">
        <f>21315.9/1000</f>
        <v>21.315900000000003</v>
      </c>
      <c r="T18" s="164">
        <f>21758.4/1000</f>
        <v>21.758400000000002</v>
      </c>
      <c r="U18" s="152">
        <v>1</v>
      </c>
      <c r="V18" s="168">
        <v>1</v>
      </c>
    </row>
    <row r="19" spans="1:22" hidden="1" x14ac:dyDescent="0.3">
      <c r="A19" s="153" t="s">
        <v>319</v>
      </c>
      <c r="B19" s="151">
        <v>31752.2</v>
      </c>
      <c r="C19" s="151">
        <v>33967.800000000003</v>
      </c>
      <c r="D19" s="151">
        <v>34265.300000000003</v>
      </c>
      <c r="E19" s="151"/>
      <c r="F19" s="162"/>
      <c r="G19" s="151"/>
      <c r="H19" s="151"/>
      <c r="I19" s="151"/>
      <c r="J19" s="152">
        <v>1</v>
      </c>
      <c r="K19" s="152">
        <v>1</v>
      </c>
      <c r="L19" s="152">
        <f>1</f>
        <v>1</v>
      </c>
      <c r="M19" s="152">
        <f>1</f>
        <v>1</v>
      </c>
      <c r="N19" s="152"/>
      <c r="O19" s="152"/>
      <c r="P19" s="152"/>
      <c r="Q19" s="164"/>
      <c r="R19" s="164"/>
      <c r="S19" s="164"/>
      <c r="T19" s="164"/>
      <c r="U19" s="152"/>
      <c r="V19" s="168"/>
    </row>
    <row r="20" spans="1:22" x14ac:dyDescent="0.3">
      <c r="A20" s="153" t="s">
        <v>320</v>
      </c>
      <c r="B20" s="151">
        <v>1550144.004</v>
      </c>
      <c r="C20" s="151">
        <v>1618408.4</v>
      </c>
      <c r="D20" s="151">
        <v>1665019.9369999999</v>
      </c>
      <c r="E20" s="151">
        <v>1694710.37619</v>
      </c>
      <c r="F20" s="162">
        <f>138835700/1000+1473164094.88/1000</f>
        <v>1611999.7948800002</v>
      </c>
      <c r="G20" s="151">
        <v>2075940.7</v>
      </c>
      <c r="H20" s="151">
        <v>2081398.1</v>
      </c>
      <c r="I20" s="151">
        <v>2173203.1</v>
      </c>
      <c r="J20" s="152">
        <v>60</v>
      </c>
      <c r="K20" s="152">
        <v>60</v>
      </c>
      <c r="L20" s="152">
        <f>54+2</f>
        <v>56</v>
      </c>
      <c r="M20" s="152">
        <f>52+2</f>
        <v>54</v>
      </c>
      <c r="N20" s="152">
        <f>53+3</f>
        <v>56</v>
      </c>
      <c r="O20" s="152">
        <f>53+3</f>
        <v>56</v>
      </c>
      <c r="P20" s="152">
        <f>52+3</f>
        <v>55</v>
      </c>
      <c r="Q20" s="164">
        <f>1621924.48</f>
        <v>1621924.48</v>
      </c>
      <c r="R20" s="164">
        <f>2075940.7</f>
        <v>2075940.7</v>
      </c>
      <c r="S20" s="164">
        <f>2081398.1/1000</f>
        <v>2081.3980999999999</v>
      </c>
      <c r="T20" s="164">
        <f>2173203.1/1000</f>
        <v>2173.2031000000002</v>
      </c>
      <c r="U20" s="152">
        <v>55</v>
      </c>
      <c r="V20" s="168">
        <v>55</v>
      </c>
    </row>
    <row r="21" spans="1:22" ht="26.4" x14ac:dyDescent="0.3">
      <c r="A21" s="153" t="s">
        <v>390</v>
      </c>
      <c r="B21" s="151"/>
      <c r="C21" s="151"/>
      <c r="D21" s="151"/>
      <c r="E21" s="151"/>
      <c r="F21" s="162">
        <f>19572300/1000</f>
        <v>19572.3</v>
      </c>
      <c r="G21" s="151">
        <v>30107.599999999999</v>
      </c>
      <c r="H21" s="151">
        <v>24328.2</v>
      </c>
      <c r="I21" s="151">
        <v>25489.5</v>
      </c>
      <c r="J21" s="152"/>
      <c r="K21" s="152"/>
      <c r="L21" s="152"/>
      <c r="M21" s="152"/>
      <c r="N21" s="152"/>
      <c r="O21" s="152">
        <v>1</v>
      </c>
      <c r="P21" s="152">
        <v>1</v>
      </c>
      <c r="Q21" s="165">
        <f>20421.9</f>
        <v>20421.900000000001</v>
      </c>
      <c r="R21" s="165">
        <f>30107.6</f>
        <v>30107.599999999999</v>
      </c>
      <c r="S21" s="165">
        <f>24328.2/1000</f>
        <v>24.328200000000002</v>
      </c>
      <c r="T21" s="165">
        <f>25489.5/1000</f>
        <v>25.4895</v>
      </c>
      <c r="U21" s="152">
        <v>1</v>
      </c>
      <c r="V21" s="168">
        <v>1</v>
      </c>
    </row>
    <row r="22" spans="1:22" hidden="1" x14ac:dyDescent="0.3">
      <c r="A22" s="153" t="s">
        <v>321</v>
      </c>
      <c r="B22" s="151"/>
      <c r="C22" s="151">
        <v>4821.2</v>
      </c>
      <c r="D22" s="151"/>
      <c r="E22" s="151"/>
      <c r="F22" s="162"/>
      <c r="G22" s="151"/>
      <c r="H22" s="151"/>
      <c r="I22" s="151"/>
      <c r="J22" s="152"/>
      <c r="K22" s="152"/>
      <c r="L22" s="152">
        <f>1</f>
        <v>1</v>
      </c>
      <c r="M22" s="152"/>
      <c r="N22" s="152"/>
      <c r="O22" s="152"/>
      <c r="P22" s="152"/>
      <c r="Q22" s="164"/>
      <c r="R22" s="164"/>
      <c r="S22" s="164"/>
      <c r="T22" s="164"/>
      <c r="U22" s="152"/>
      <c r="V22" s="168"/>
    </row>
    <row r="23" spans="1:22" ht="26.4" x14ac:dyDescent="0.3">
      <c r="A23" s="153" t="s">
        <v>322</v>
      </c>
      <c r="B23" s="151">
        <v>154029.5</v>
      </c>
      <c r="C23" s="151">
        <v>144382.29999999999</v>
      </c>
      <c r="D23" s="151">
        <v>155048</v>
      </c>
      <c r="E23" s="151">
        <v>165507.71299999999</v>
      </c>
      <c r="F23" s="162">
        <v>146365.1</v>
      </c>
      <c r="G23" s="151">
        <v>171657.036630977</v>
      </c>
      <c r="H23" s="151">
        <v>173120</v>
      </c>
      <c r="I23" s="151">
        <v>178126.4</v>
      </c>
      <c r="J23" s="152">
        <v>3</v>
      </c>
      <c r="K23" s="152">
        <v>3</v>
      </c>
      <c r="L23" s="152">
        <f>3</f>
        <v>3</v>
      </c>
      <c r="M23" s="152">
        <f>3</f>
        <v>3</v>
      </c>
      <c r="N23" s="152">
        <f>3</f>
        <v>3</v>
      </c>
      <c r="O23" s="152">
        <v>2</v>
      </c>
      <c r="P23" s="152">
        <v>3</v>
      </c>
      <c r="Q23" s="164">
        <f>146365.1</f>
        <v>146365.1</v>
      </c>
      <c r="R23" s="164">
        <f>171657.036630977</f>
        <v>171657.036630977</v>
      </c>
      <c r="S23" s="164">
        <f>173120.005024554/1000</f>
        <v>173.12000502455402</v>
      </c>
      <c r="T23" s="164">
        <f>178126.400238232/1000</f>
        <v>178.12640023823198</v>
      </c>
      <c r="U23" s="152">
        <v>3</v>
      </c>
      <c r="V23" s="168">
        <v>3</v>
      </c>
    </row>
    <row r="24" spans="1:22" ht="26.4" x14ac:dyDescent="0.3">
      <c r="A24" s="153" t="s">
        <v>323</v>
      </c>
      <c r="B24" s="151">
        <v>299310.40472000005</v>
      </c>
      <c r="C24" s="151">
        <v>369316.2</v>
      </c>
      <c r="D24" s="151">
        <v>338420.53058999998</v>
      </c>
      <c r="E24" s="151">
        <v>305051.8</v>
      </c>
      <c r="F24" s="162">
        <v>281600.8</v>
      </c>
      <c r="G24" s="151">
        <v>318239.8</v>
      </c>
      <c r="H24" s="151">
        <v>340438.8</v>
      </c>
      <c r="I24" s="151">
        <v>350096.7</v>
      </c>
      <c r="J24" s="152">
        <v>8</v>
      </c>
      <c r="K24" s="152">
        <v>9</v>
      </c>
      <c r="L24" s="152">
        <f>1+7</f>
        <v>8</v>
      </c>
      <c r="M24" s="152">
        <f>8</f>
        <v>8</v>
      </c>
      <c r="N24" s="152">
        <f>4</f>
        <v>4</v>
      </c>
      <c r="O24" s="152">
        <v>3</v>
      </c>
      <c r="P24" s="152">
        <v>3</v>
      </c>
      <c r="Q24" s="164">
        <f>281600.8</f>
        <v>281600.8</v>
      </c>
      <c r="R24" s="164">
        <f>318239.8</f>
        <v>318239.8</v>
      </c>
      <c r="S24" s="164">
        <f>340438.8/1000</f>
        <v>340.43880000000001</v>
      </c>
      <c r="T24" s="164">
        <f>350096.7/1000</f>
        <v>350.0967</v>
      </c>
      <c r="U24" s="152">
        <v>3</v>
      </c>
      <c r="V24" s="168">
        <v>3</v>
      </c>
    </row>
    <row r="25" spans="1:22" x14ac:dyDescent="0.3">
      <c r="A25" s="153" t="s">
        <v>324</v>
      </c>
      <c r="B25" s="151">
        <v>57373.024530000002</v>
      </c>
      <c r="C25" s="151">
        <v>130613</v>
      </c>
      <c r="D25" s="151">
        <v>180832.88597999999</v>
      </c>
      <c r="E25" s="151">
        <v>51545.1</v>
      </c>
      <c r="F25" s="162">
        <f>54377700/1000</f>
        <v>54377.7</v>
      </c>
      <c r="G25" s="151">
        <v>98240.9</v>
      </c>
      <c r="H25" s="151">
        <v>95490.9</v>
      </c>
      <c r="I25" s="151">
        <v>99273.600000000006</v>
      </c>
      <c r="J25" s="152">
        <v>2</v>
      </c>
      <c r="K25" s="152">
        <v>3</v>
      </c>
      <c r="L25" s="152">
        <f>2</f>
        <v>2</v>
      </c>
      <c r="M25" s="152">
        <f>2</f>
        <v>2</v>
      </c>
      <c r="N25" s="152">
        <f>5</f>
        <v>5</v>
      </c>
      <c r="O25" s="167">
        <v>5</v>
      </c>
      <c r="P25" s="152">
        <v>24</v>
      </c>
      <c r="Q25" s="164">
        <f>85070.4</f>
        <v>85070.399999999994</v>
      </c>
      <c r="R25" s="164">
        <f>98240.9</f>
        <v>98240.9</v>
      </c>
      <c r="S25" s="164">
        <f>95490.9/1000</f>
        <v>95.490899999999996</v>
      </c>
      <c r="T25" s="164">
        <f>99273.6/1000</f>
        <v>99.273600000000002</v>
      </c>
      <c r="U25" s="152">
        <v>24</v>
      </c>
      <c r="V25" s="168">
        <v>24</v>
      </c>
    </row>
    <row r="26" spans="1:22" ht="26.4" hidden="1" x14ac:dyDescent="0.3">
      <c r="A26" s="153" t="s">
        <v>325</v>
      </c>
      <c r="B26" s="151"/>
      <c r="C26" s="151">
        <v>14984.1</v>
      </c>
      <c r="D26" s="151">
        <v>13233.42</v>
      </c>
      <c r="E26" s="151"/>
      <c r="F26" s="162"/>
      <c r="G26" s="151"/>
      <c r="H26" s="151"/>
      <c r="I26" s="151"/>
      <c r="J26" s="152"/>
      <c r="K26" s="152"/>
      <c r="L26" s="152">
        <v>1</v>
      </c>
      <c r="M26" s="152">
        <v>1</v>
      </c>
      <c r="N26" s="152"/>
      <c r="O26" s="152"/>
      <c r="P26" s="152"/>
      <c r="Q26" s="164"/>
      <c r="R26" s="164"/>
      <c r="S26" s="164"/>
      <c r="T26" s="164"/>
      <c r="U26" s="152"/>
      <c r="V26" s="168"/>
    </row>
    <row r="27" spans="1:22" hidden="1" x14ac:dyDescent="0.3">
      <c r="A27" s="153" t="s">
        <v>326</v>
      </c>
      <c r="B27" s="151">
        <v>7164.8</v>
      </c>
      <c r="C27" s="151">
        <v>6826</v>
      </c>
      <c r="D27" s="151">
        <v>7447.9</v>
      </c>
      <c r="E27" s="151"/>
      <c r="F27" s="162"/>
      <c r="G27" s="151"/>
      <c r="H27" s="151"/>
      <c r="I27" s="151"/>
      <c r="J27" s="152"/>
      <c r="K27" s="152"/>
      <c r="L27" s="152">
        <f>1</f>
        <v>1</v>
      </c>
      <c r="M27" s="152"/>
      <c r="N27" s="152"/>
      <c r="O27" s="152"/>
      <c r="P27" s="152"/>
      <c r="Q27" s="164"/>
      <c r="R27" s="164"/>
      <c r="S27" s="164"/>
      <c r="T27" s="164"/>
      <c r="U27" s="152"/>
      <c r="V27" s="168"/>
    </row>
    <row r="28" spans="1:22" x14ac:dyDescent="0.3">
      <c r="A28" s="153" t="s">
        <v>327</v>
      </c>
      <c r="B28" s="151">
        <v>34246.199999999997</v>
      </c>
      <c r="C28" s="151">
        <v>32178.2</v>
      </c>
      <c r="D28" s="151">
        <v>30504.799999999999</v>
      </c>
      <c r="E28" s="151">
        <v>30692.7</v>
      </c>
      <c r="F28" s="162">
        <f>30692700/1000</f>
        <v>30692.7</v>
      </c>
      <c r="G28" s="151"/>
      <c r="H28" s="151"/>
      <c r="I28" s="151"/>
      <c r="J28" s="152">
        <v>19</v>
      </c>
      <c r="K28" s="152">
        <v>19</v>
      </c>
      <c r="L28" s="152">
        <f>19</f>
        <v>19</v>
      </c>
      <c r="M28" s="152">
        <v>19</v>
      </c>
      <c r="N28" s="152">
        <f>19</f>
        <v>19</v>
      </c>
      <c r="O28" s="152">
        <v>19</v>
      </c>
      <c r="P28" s="152"/>
      <c r="Q28" s="164"/>
      <c r="R28" s="164"/>
      <c r="S28" s="164"/>
      <c r="T28" s="164"/>
      <c r="U28" s="152"/>
      <c r="V28" s="168"/>
    </row>
    <row r="29" spans="1:22" x14ac:dyDescent="0.3">
      <c r="A29" s="153" t="s">
        <v>328</v>
      </c>
      <c r="B29" s="151"/>
      <c r="C29" s="151"/>
      <c r="D29" s="151">
        <v>10098.362999999999</v>
      </c>
      <c r="E29" s="151"/>
      <c r="F29" s="162">
        <f>8928563.63/1000</f>
        <v>8928.5636300000006</v>
      </c>
      <c r="G29" s="151">
        <v>11068.4</v>
      </c>
      <c r="H29" s="151">
        <v>11001.6</v>
      </c>
      <c r="I29" s="151">
        <v>11674.2</v>
      </c>
      <c r="J29" s="152"/>
      <c r="K29" s="152"/>
      <c r="L29" s="152">
        <f>1</f>
        <v>1</v>
      </c>
      <c r="M29" s="152"/>
      <c r="N29" s="152"/>
      <c r="O29" s="152"/>
      <c r="P29" s="152">
        <v>1</v>
      </c>
      <c r="Q29" s="164">
        <f>8928.6</f>
        <v>8928.6</v>
      </c>
      <c r="R29" s="164">
        <f>11068.4</f>
        <v>11068.4</v>
      </c>
      <c r="S29" s="164">
        <f>11001.6/1000</f>
        <v>11.0016</v>
      </c>
      <c r="T29" s="164">
        <f>11674.2/1000</f>
        <v>11.674200000000001</v>
      </c>
      <c r="U29" s="152">
        <v>1</v>
      </c>
      <c r="V29" s="168">
        <v>1</v>
      </c>
    </row>
    <row r="30" spans="1:22" x14ac:dyDescent="0.3">
      <c r="A30" s="153" t="s">
        <v>329</v>
      </c>
      <c r="B30" s="151">
        <v>134766.1</v>
      </c>
      <c r="C30" s="151">
        <v>149109.29999999999</v>
      </c>
      <c r="D30" s="151">
        <v>155080.20000000001</v>
      </c>
      <c r="E30" s="151">
        <v>156344.6</v>
      </c>
      <c r="F30" s="162">
        <v>144772.6</v>
      </c>
      <c r="G30" s="151">
        <v>149981.79999999999</v>
      </c>
      <c r="H30" s="151">
        <v>146345.60000000001</v>
      </c>
      <c r="I30" s="151">
        <v>156489.4</v>
      </c>
      <c r="J30" s="152">
        <v>24</v>
      </c>
      <c r="K30" s="152">
        <v>23</v>
      </c>
      <c r="L30" s="152">
        <f>23</f>
        <v>23</v>
      </c>
      <c r="M30" s="152">
        <f>23</f>
        <v>23</v>
      </c>
      <c r="N30" s="152">
        <f>23</f>
        <v>23</v>
      </c>
      <c r="O30" s="152">
        <v>23</v>
      </c>
      <c r="P30" s="152">
        <v>23</v>
      </c>
      <c r="Q30" s="164">
        <f>144772.621</f>
        <v>144772.62100000001</v>
      </c>
      <c r="R30" s="164">
        <f>149981.8</f>
        <v>149981.79999999999</v>
      </c>
      <c r="S30" s="164">
        <f>146345.59751384/1000</f>
        <v>146.34559751384</v>
      </c>
      <c r="T30" s="164">
        <f>156489.397635758/1000</f>
        <v>156.48939763575802</v>
      </c>
      <c r="U30" s="167">
        <v>23</v>
      </c>
      <c r="V30" s="172">
        <v>23</v>
      </c>
    </row>
    <row r="31" spans="1:22" ht="13.8" thickBot="1" x14ac:dyDescent="0.35">
      <c r="A31" s="154" t="s">
        <v>75</v>
      </c>
      <c r="B31" s="155">
        <f t="shared" ref="B31:T31" si="0">SUM(B8:B30)</f>
        <v>10275758.215020001</v>
      </c>
      <c r="C31" s="155">
        <f t="shared" si="0"/>
        <v>10294329.086929999</v>
      </c>
      <c r="D31" s="155">
        <f t="shared" si="0"/>
        <v>10498306.066200001</v>
      </c>
      <c r="E31" s="155">
        <f t="shared" si="0"/>
        <v>10380922.624099998</v>
      </c>
      <c r="F31" s="155">
        <f t="shared" si="0"/>
        <v>9881089.4960600007</v>
      </c>
      <c r="G31" s="155">
        <f>SUM(G8:G30)</f>
        <v>11521702.543021148</v>
      </c>
      <c r="H31" s="155">
        <f>SUM(H8:H30)</f>
        <v>11523270.299999999</v>
      </c>
      <c r="I31" s="155">
        <f t="shared" si="0"/>
        <v>12258739.999999998</v>
      </c>
      <c r="J31" s="155">
        <f t="shared" si="0"/>
        <v>324</v>
      </c>
      <c r="K31" s="155">
        <f t="shared" si="0"/>
        <v>320</v>
      </c>
      <c r="L31" s="155">
        <f t="shared" si="0"/>
        <v>309</v>
      </c>
      <c r="M31" s="155">
        <f t="shared" si="0"/>
        <v>302</v>
      </c>
      <c r="N31" s="156">
        <f t="shared" si="0"/>
        <v>297</v>
      </c>
      <c r="O31" s="156">
        <f t="shared" si="0"/>
        <v>292</v>
      </c>
      <c r="P31" s="156">
        <f t="shared" si="0"/>
        <v>290</v>
      </c>
      <c r="Q31" s="156">
        <f t="shared" si="0"/>
        <v>9789190.5040602293</v>
      </c>
      <c r="R31" s="156">
        <f t="shared" si="0"/>
        <v>11521702.543021148</v>
      </c>
      <c r="S31" s="156">
        <f t="shared" si="0"/>
        <v>11523.270323146724</v>
      </c>
      <c r="T31" s="156">
        <f t="shared" si="0"/>
        <v>12258.740026038122</v>
      </c>
      <c r="U31" s="156">
        <f>SUM(U8:U30)</f>
        <v>290</v>
      </c>
      <c r="V31" s="157">
        <f>SUM(V8:V30)</f>
        <v>290</v>
      </c>
    </row>
    <row r="32" spans="1:22" ht="13.8" thickTop="1" x14ac:dyDescent="0.3">
      <c r="J32" s="166"/>
      <c r="K32" s="166"/>
      <c r="L32" s="166"/>
      <c r="M32" s="166"/>
      <c r="N32" s="166"/>
      <c r="O32" s="166"/>
    </row>
  </sheetData>
  <mergeCells count="4">
    <mergeCell ref="B5:I5"/>
    <mergeCell ref="J5:V5"/>
    <mergeCell ref="A5:A6"/>
    <mergeCell ref="A3:V3"/>
  </mergeCells>
  <pageMargins left="0.39370078740157483" right="0.39370078740157483" top="0.59055118110236227" bottom="0.59055118110236227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Приложение 3.1 </vt:lpstr>
      <vt:lpstr>Приложение 6.1</vt:lpstr>
      <vt:lpstr>Прилоежние 6.2</vt:lpstr>
      <vt:lpstr>Приложение 6.3</vt:lpstr>
      <vt:lpstr>Приложение 6.4</vt:lpstr>
      <vt:lpstr>'Прилоежние 6.2'!Заголовки_для_печати</vt:lpstr>
      <vt:lpstr>'Приложение 3.1 '!Заголовки_для_печати</vt:lpstr>
      <vt:lpstr>'Приложение 6.3'!Заголовки_для_печати</vt:lpstr>
      <vt:lpstr>'Прилоежние 6.2'!Область_печати</vt:lpstr>
      <vt:lpstr>'Приложение 3.1 '!Область_печати</vt:lpstr>
      <vt:lpstr>'Приложение 6.3'!Область_печати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Пономарёва</dc:creator>
  <cp:lastModifiedBy>Калинин Сергей Фёдорович</cp:lastModifiedBy>
  <cp:lastPrinted>2017-11-03T10:49:52Z</cp:lastPrinted>
  <dcterms:created xsi:type="dcterms:W3CDTF">2013-10-21T15:19:43Z</dcterms:created>
  <dcterms:modified xsi:type="dcterms:W3CDTF">2017-11-03T10:52:21Z</dcterms:modified>
</cp:coreProperties>
</file>