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7 год\Бюджет 2017\2017 год_Исполнение бюджета\Отчет об исполнении\Заключение\"/>
    </mc:Choice>
  </mc:AlternateContent>
  <bookViews>
    <workbookView xWindow="480" yWindow="2112" windowWidth="27792" windowHeight="10092" tabRatio="710" firstSheet="6" activeTab="10"/>
  </bookViews>
  <sheets>
    <sheet name="1.1_Конс." sheetId="1" r:id="rId1"/>
    <sheet name="1.2_Конс_16 к 17" sheetId="6" r:id="rId2"/>
    <sheet name="2_Бюджеты МО" sheetId="2" r:id="rId3"/>
    <sheet name="3_Доходы МО" sheetId="4" r:id="rId4"/>
    <sheet name="4_Межбюд." sheetId="5" r:id="rId5"/>
    <sheet name="5_Кредит_МО" sheetId="11" r:id="rId6"/>
    <sheet name="6_Программы" sheetId="13" r:id="rId7"/>
    <sheet name="7_ФХД БУ И АУ_конс." sheetId="7" r:id="rId8"/>
    <sheet name="8_ФХД_БУ И АУ_обл" sheetId="8" r:id="rId9"/>
    <sheet name="9_Долги_БУ и АУ_конс." sheetId="9" r:id="rId10"/>
    <sheet name="10_Долги_БУ И АУ_обл" sheetId="10" r:id="rId11"/>
    <sheet name="Черн_кон.рас." sheetId="12" state="hidden" r:id="rId12"/>
    <sheet name="Черн." sheetId="3" state="hidden" r:id="rId13"/>
  </sheets>
  <externalReferences>
    <externalReference r:id="rId14"/>
  </externalReferences>
  <definedNames>
    <definedName name="_xlnm._FilterDatabase" localSheetId="1" hidden="1">'1.2_Конс_16 к 17'!$A$51:$S$51</definedName>
    <definedName name="_xlnm._FilterDatabase" localSheetId="2" hidden="1">'2_Бюджеты МО'!$A$8:$O$37</definedName>
    <definedName name="_xlnm._FilterDatabase" localSheetId="3" hidden="1">'3_Доходы МО'!$A$8:$S$35</definedName>
    <definedName name="_xlnm._FilterDatabase" localSheetId="4" hidden="1">'4_Межбюд.'!$A$9:$P$37</definedName>
    <definedName name="_xlnm._FilterDatabase" localSheetId="5" hidden="1">'5_Кредит_МО'!$A$7:$J$39</definedName>
    <definedName name="_xlnm._FilterDatabase" localSheetId="7" hidden="1">'7_ФХД БУ И АУ_конс.'!$A$9:$AE$38</definedName>
    <definedName name="_xlnm._FilterDatabase" localSheetId="8" hidden="1">'8_ФХД_БУ И АУ_обл'!$A$10:$AE$29</definedName>
    <definedName name="_xlnm.Print_Titles" localSheetId="1">'1.2_Конс_16 к 17'!$4:$8</definedName>
    <definedName name="_xlnm.Print_Titles" localSheetId="10">'10_Долги_БУ И АУ_обл'!$A:$A</definedName>
    <definedName name="_xlnm.Print_Titles" localSheetId="6">'6_Программы'!$6:$7</definedName>
    <definedName name="_xlnm.Print_Titles" localSheetId="7">'7_ФХД БУ И АУ_конс.'!$A:$A</definedName>
    <definedName name="_xlnm.Print_Titles" localSheetId="8">'8_ФХД_БУ И АУ_обл'!$A:$A</definedName>
    <definedName name="_xlnm.Print_Titles" localSheetId="9">'9_Долги_БУ и АУ_конс.'!$A:$A</definedName>
    <definedName name="_xlnm.Print_Area" localSheetId="0">'1.1_Конс.'!$A$1:$AG$168</definedName>
    <definedName name="_xlnm.Print_Area" localSheetId="1">'1.2_Конс_16 к 17'!$A$1:$S$173</definedName>
    <definedName name="_xlnm.Print_Area" localSheetId="10">'10_Долги_БУ И АУ_обл'!$A$1:$Y$28</definedName>
    <definedName name="_xlnm.Print_Area" localSheetId="2">'2_Бюджеты МО'!$A$1:$O$35</definedName>
    <definedName name="_xlnm.Print_Area" localSheetId="3">'3_Доходы МО'!$A$1:$S$35</definedName>
    <definedName name="_xlnm.Print_Area" localSheetId="4">'4_Межбюд.'!$A$1:$P$36</definedName>
    <definedName name="_xlnm.Print_Area" localSheetId="5">'5_Кредит_МО'!$A$1:$J$34</definedName>
    <definedName name="_xlnm.Print_Area" localSheetId="6">'6_Программы'!$A$1:$AF$30</definedName>
    <definedName name="_xlnm.Print_Area" localSheetId="7">'7_ФХД БУ И АУ_конс.'!$A$1:$AE$38</definedName>
    <definedName name="_xlnm.Print_Area" localSheetId="8">'8_ФХД_БУ И АУ_обл'!$A$1:$AE$29</definedName>
    <definedName name="_xlnm.Print_Area" localSheetId="9">'9_Долги_БУ и АУ_конс.'!$A$1:$Y$39</definedName>
    <definedName name="_xlnm.Print_Area" localSheetId="11">Черн_кон.рас.!$A$1:$AE$34</definedName>
  </definedNames>
  <calcPr calcId="152511"/>
</workbook>
</file>

<file path=xl/calcChain.xml><?xml version="1.0" encoding="utf-8"?>
<calcChain xmlns="http://schemas.openxmlformats.org/spreadsheetml/2006/main">
  <c r="Z30" i="13" l="1"/>
  <c r="AA30" i="13" s="1"/>
  <c r="Y30" i="13"/>
  <c r="X30" i="13"/>
  <c r="AF30" i="13" s="1"/>
  <c r="T30" i="13"/>
  <c r="U30" i="13" s="1"/>
  <c r="S30" i="13"/>
  <c r="R30" i="13"/>
  <c r="W30" i="13" s="1"/>
  <c r="O30" i="13"/>
  <c r="P30" i="13" s="1"/>
  <c r="N30" i="13"/>
  <c r="M30" i="13"/>
  <c r="J30" i="13"/>
  <c r="K30" i="13" s="1"/>
  <c r="I30" i="13"/>
  <c r="H30" i="13"/>
  <c r="D30" i="13"/>
  <c r="AF29" i="13"/>
  <c r="AA29" i="13"/>
  <c r="W29" i="13"/>
  <c r="U29" i="13"/>
  <c r="P29" i="13"/>
  <c r="K29" i="13"/>
  <c r="AF28" i="13"/>
  <c r="AA28" i="13"/>
  <c r="W28" i="13"/>
  <c r="U28" i="13"/>
  <c r="P28" i="13"/>
  <c r="K28" i="13"/>
  <c r="AF27" i="13"/>
  <c r="AA27" i="13"/>
  <c r="W27" i="13"/>
  <c r="U27" i="13"/>
  <c r="P27" i="13"/>
  <c r="K27" i="13"/>
  <c r="AF26" i="13"/>
  <c r="AA26" i="13"/>
  <c r="W26" i="13"/>
  <c r="U26" i="13"/>
  <c r="P26" i="13"/>
  <c r="K26" i="13"/>
  <c r="AF25" i="13"/>
  <c r="AA25" i="13"/>
  <c r="W25" i="13"/>
  <c r="U25" i="13"/>
  <c r="P25" i="13"/>
  <c r="K25" i="13"/>
  <c r="AF24" i="13"/>
  <c r="AA24" i="13"/>
  <c r="W24" i="13"/>
  <c r="U24" i="13"/>
  <c r="P24" i="13"/>
  <c r="K24" i="13"/>
  <c r="AF23" i="13"/>
  <c r="AA23" i="13"/>
  <c r="W23" i="13"/>
  <c r="U23" i="13"/>
  <c r="P23" i="13"/>
  <c r="K23" i="13"/>
  <c r="AF22" i="13"/>
  <c r="AA22" i="13"/>
  <c r="W22" i="13"/>
  <c r="U22" i="13"/>
  <c r="P22" i="13"/>
  <c r="K22" i="13"/>
  <c r="AF21" i="13"/>
  <c r="AA21" i="13"/>
  <c r="W21" i="13"/>
  <c r="U21" i="13"/>
  <c r="P21" i="13"/>
  <c r="K21" i="13"/>
  <c r="AF20" i="13"/>
  <c r="AA20" i="13"/>
  <c r="W20" i="13"/>
  <c r="U20" i="13"/>
  <c r="P20" i="13"/>
  <c r="K20" i="13"/>
  <c r="AF19" i="13"/>
  <c r="AA19" i="13"/>
  <c r="W19" i="13"/>
  <c r="U19" i="13"/>
  <c r="P19" i="13"/>
  <c r="K19" i="13"/>
  <c r="AF18" i="13"/>
  <c r="AA18" i="13"/>
  <c r="W18" i="13"/>
  <c r="U18" i="13"/>
  <c r="P18" i="13"/>
  <c r="K18" i="13"/>
  <c r="AF17" i="13"/>
  <c r="AA17" i="13"/>
  <c r="W17" i="13"/>
  <c r="U17" i="13"/>
  <c r="P17" i="13"/>
  <c r="K17" i="13"/>
  <c r="AF16" i="13"/>
  <c r="AA16" i="13"/>
  <c r="W16" i="13"/>
  <c r="U16" i="13"/>
  <c r="P16" i="13"/>
  <c r="K16" i="13"/>
  <c r="AF15" i="13"/>
  <c r="AA15" i="13"/>
  <c r="W15" i="13"/>
  <c r="U15" i="13"/>
  <c r="P15" i="13"/>
  <c r="K15" i="13"/>
  <c r="AF14" i="13"/>
  <c r="AA14" i="13"/>
  <c r="W14" i="13"/>
  <c r="U14" i="13"/>
  <c r="P14" i="13"/>
  <c r="K14" i="13"/>
  <c r="AF13" i="13"/>
  <c r="AA13" i="13"/>
  <c r="W13" i="13"/>
  <c r="U13" i="13"/>
  <c r="P13" i="13"/>
  <c r="K13" i="13"/>
  <c r="AF12" i="13"/>
  <c r="AA12" i="13"/>
  <c r="W12" i="13"/>
  <c r="U12" i="13"/>
  <c r="P12" i="13"/>
  <c r="K12" i="13"/>
  <c r="E12" i="13"/>
  <c r="F12" i="13" s="1"/>
  <c r="C12" i="13"/>
  <c r="AF11" i="13"/>
  <c r="AA11" i="13"/>
  <c r="W11" i="13"/>
  <c r="U11" i="13"/>
  <c r="P11" i="13"/>
  <c r="K11" i="13"/>
  <c r="F11" i="13"/>
  <c r="E11" i="13"/>
  <c r="C11" i="13"/>
  <c r="AF10" i="13"/>
  <c r="AA10" i="13"/>
  <c r="W10" i="13"/>
  <c r="U10" i="13"/>
  <c r="P10" i="13"/>
  <c r="K10" i="13"/>
  <c r="E10" i="13"/>
  <c r="F10" i="13" s="1"/>
  <c r="C10" i="13"/>
  <c r="AF9" i="13"/>
  <c r="AA9" i="13"/>
  <c r="W9" i="13"/>
  <c r="U9" i="13"/>
  <c r="P9" i="13"/>
  <c r="K9" i="13"/>
  <c r="E9" i="13"/>
  <c r="F9" i="13" s="1"/>
  <c r="C9" i="13"/>
  <c r="C30" i="13" s="1"/>
  <c r="AF8" i="13"/>
  <c r="AA8" i="13"/>
  <c r="W8" i="13"/>
  <c r="U8" i="13"/>
  <c r="P8" i="13"/>
  <c r="K8" i="13"/>
  <c r="E8" i="13"/>
  <c r="F8" i="13" s="1"/>
  <c r="C8" i="13"/>
  <c r="E30" i="13" l="1"/>
  <c r="F30" i="13" s="1"/>
  <c r="O122" i="6"/>
  <c r="AA42" i="7" l="1"/>
  <c r="AA40" i="7"/>
  <c r="AC42" i="7" l="1"/>
  <c r="AB40" i="7"/>
  <c r="AC40" i="7"/>
  <c r="AD40" i="7"/>
  <c r="AE40" i="7"/>
  <c r="AB41" i="7"/>
  <c r="AC41" i="7"/>
  <c r="AD41" i="7"/>
  <c r="AE41" i="7"/>
  <c r="AB42" i="7"/>
  <c r="AD42" i="7"/>
  <c r="AE42" i="7"/>
  <c r="AA41" i="7"/>
  <c r="E38" i="11"/>
  <c r="I34" i="11"/>
  <c r="I18" i="11"/>
  <c r="F18" i="11"/>
  <c r="L18" i="11" s="1"/>
  <c r="E18" i="11"/>
  <c r="H18" i="11" s="1"/>
  <c r="C18" i="11"/>
  <c r="D18" i="11" s="1"/>
  <c r="B18" i="11"/>
  <c r="W164" i="1"/>
  <c r="AC164" i="1" s="1"/>
  <c r="U164" i="1"/>
  <c r="T164" i="1"/>
  <c r="S164" i="1"/>
  <c r="Q164" i="1"/>
  <c r="O164" i="1"/>
  <c r="L164" i="1" s="1"/>
  <c r="N164" i="1"/>
  <c r="Z164" i="1" s="1"/>
  <c r="AF164" i="1" s="1"/>
  <c r="M164" i="1"/>
  <c r="Y164" i="1" s="1"/>
  <c r="AE164" i="1" s="1"/>
  <c r="H164" i="1"/>
  <c r="G164" i="1"/>
  <c r="F164" i="1"/>
  <c r="E164" i="1"/>
  <c r="R164" i="1" s="1"/>
  <c r="G18" i="11" l="1"/>
  <c r="J18" i="11" s="1"/>
  <c r="K18" i="11"/>
  <c r="X164" i="1"/>
  <c r="I164" i="1"/>
  <c r="V164" i="1" s="1"/>
  <c r="AA164" i="1"/>
  <c r="AG164" i="1" s="1"/>
  <c r="B164" i="1"/>
  <c r="P164" i="1" s="1"/>
  <c r="AB164" i="1" l="1"/>
  <c r="AJ164" i="1"/>
  <c r="AD164" i="1"/>
  <c r="AI164" i="1" s="1"/>
  <c r="AK164" i="1"/>
  <c r="F34" i="11" l="1"/>
  <c r="F36" i="11"/>
  <c r="P97" i="6" l="1"/>
  <c r="O97" i="6"/>
  <c r="N97" i="6"/>
  <c r="H50" i="6"/>
  <c r="N50" i="6"/>
  <c r="R173" i="6" l="1"/>
  <c r="Q173" i="6"/>
  <c r="R171" i="6"/>
  <c r="Q171" i="6"/>
  <c r="S170" i="6"/>
  <c r="R170" i="6"/>
  <c r="Q170" i="6"/>
  <c r="J153" i="6"/>
  <c r="J149" i="6"/>
  <c r="J147" i="6"/>
  <c r="J144" i="6"/>
  <c r="J125" i="6"/>
  <c r="J123" i="6"/>
  <c r="N106" i="6"/>
  <c r="O106" i="6"/>
  <c r="P106" i="6"/>
  <c r="R44" i="6"/>
  <c r="U99" i="6" l="1"/>
  <c r="S72" i="6"/>
  <c r="J75" i="6"/>
  <c r="J73" i="6"/>
  <c r="J69" i="6"/>
  <c r="J66" i="6"/>
  <c r="J61" i="6"/>
  <c r="J59" i="6"/>
  <c r="J56" i="6"/>
  <c r="J54" i="6"/>
  <c r="C48" i="6" l="1"/>
  <c r="D48" i="6"/>
  <c r="E48" i="6"/>
  <c r="F48" i="6"/>
  <c r="G48" i="6"/>
  <c r="H48" i="6"/>
  <c r="I48" i="6"/>
  <c r="J48" i="6"/>
  <c r="K48" i="6"/>
  <c r="L48" i="6"/>
  <c r="M48" i="6"/>
  <c r="B48" i="6"/>
  <c r="D41" i="9" l="1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C40" i="7" l="1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V40" i="7"/>
  <c r="W40" i="7"/>
  <c r="X40" i="7"/>
  <c r="Y40" i="7"/>
  <c r="Z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V41" i="7"/>
  <c r="W41" i="7"/>
  <c r="X41" i="7"/>
  <c r="Y41" i="7"/>
  <c r="Z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V42" i="7"/>
  <c r="W42" i="7"/>
  <c r="X42" i="7"/>
  <c r="Y42" i="7"/>
  <c r="Z42" i="7"/>
  <c r="E36" i="11" l="1"/>
  <c r="E35" i="11"/>
  <c r="B36" i="11"/>
  <c r="B35" i="11"/>
  <c r="DW36" i="3"/>
  <c r="DX7" i="3"/>
  <c r="DY7" i="3"/>
  <c r="B10" i="4" l="1"/>
  <c r="BG7" i="3"/>
  <c r="B9" i="4" s="1"/>
  <c r="BL7" i="3"/>
  <c r="BN7" i="3"/>
  <c r="BP7" i="3"/>
  <c r="BS7" i="3"/>
  <c r="BU7" i="3"/>
  <c r="BX7" i="3"/>
  <c r="BZ7" i="3"/>
  <c r="CB7" i="3"/>
  <c r="BG8" i="3"/>
  <c r="BL8" i="3"/>
  <c r="BN8" i="3"/>
  <c r="BP8" i="3"/>
  <c r="BQ8" i="3" s="1"/>
  <c r="BS8" i="3"/>
  <c r="BU8" i="3"/>
  <c r="BX8" i="3"/>
  <c r="BZ8" i="3"/>
  <c r="CB8" i="3"/>
  <c r="BG9" i="3"/>
  <c r="B11" i="4" s="1"/>
  <c r="BL9" i="3"/>
  <c r="BN9" i="3"/>
  <c r="BQ9" i="3" s="1"/>
  <c r="BP9" i="3"/>
  <c r="BS9" i="3"/>
  <c r="BU9" i="3"/>
  <c r="BX9" i="3"/>
  <c r="BZ9" i="3"/>
  <c r="CB9" i="3"/>
  <c r="BG10" i="3"/>
  <c r="B12" i="4" s="1"/>
  <c r="BL10" i="3"/>
  <c r="BN10" i="3"/>
  <c r="BQ10" i="3" s="1"/>
  <c r="BP10" i="3"/>
  <c r="BS10" i="3"/>
  <c r="BU10" i="3"/>
  <c r="BX10" i="3"/>
  <c r="BZ10" i="3"/>
  <c r="CB10" i="3"/>
  <c r="BV7" i="3" l="1"/>
  <c r="BV8" i="3"/>
  <c r="BV10" i="3"/>
  <c r="BV9" i="3"/>
  <c r="BQ7" i="3"/>
  <c r="CN8" i="3" l="1"/>
  <c r="CN9" i="3"/>
  <c r="CN10" i="3"/>
  <c r="CN11" i="3"/>
  <c r="CN12" i="3"/>
  <c r="CN13" i="3"/>
  <c r="CN14" i="3"/>
  <c r="CN15" i="3"/>
  <c r="CN16" i="3"/>
  <c r="CN17" i="3"/>
  <c r="CN18" i="3"/>
  <c r="CN19" i="3"/>
  <c r="CN20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7" i="3"/>
  <c r="CQ7" i="3" s="1"/>
  <c r="CP7" i="3"/>
  <c r="CR7" i="3" s="1"/>
  <c r="CW7" i="3"/>
  <c r="DB7" i="3"/>
  <c r="DG7" i="3"/>
  <c r="DL7" i="3"/>
  <c r="O160" i="1"/>
  <c r="N160" i="1"/>
  <c r="M160" i="1"/>
  <c r="K160" i="1"/>
  <c r="K168" i="1"/>
  <c r="K167" i="1"/>
  <c r="K166" i="1"/>
  <c r="AE33" i="12" l="1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B33" i="12"/>
  <c r="AB32" i="12"/>
  <c r="AB31" i="12"/>
  <c r="AB30" i="12"/>
  <c r="AB29" i="12"/>
  <c r="AB28" i="12"/>
  <c r="AB27" i="12"/>
  <c r="AB26" i="12"/>
  <c r="AB25" i="12"/>
  <c r="AB24" i="12"/>
  <c r="AB23" i="12"/>
  <c r="AB22" i="12"/>
  <c r="AB21" i="12"/>
  <c r="AB20" i="12"/>
  <c r="AB19" i="12"/>
  <c r="AB18" i="12"/>
  <c r="AB17" i="12"/>
  <c r="AB16" i="12"/>
  <c r="AB15" i="12"/>
  <c r="AB14" i="12"/>
  <c r="AB13" i="12"/>
  <c r="AB12" i="12"/>
  <c r="AB11" i="12"/>
  <c r="AB10" i="12"/>
  <c r="AB9" i="12"/>
  <c r="AB8" i="12"/>
  <c r="Y33" i="12"/>
  <c r="Y32" i="12"/>
  <c r="Y31" i="12"/>
  <c r="Y30" i="12"/>
  <c r="Y29" i="12"/>
  <c r="Y28" i="12"/>
  <c r="Y27" i="12"/>
  <c r="Y26" i="12"/>
  <c r="Y25" i="12"/>
  <c r="Y24" i="12"/>
  <c r="Y23" i="12"/>
  <c r="Y22" i="12"/>
  <c r="Y21" i="12"/>
  <c r="Y20" i="12"/>
  <c r="Y19" i="12"/>
  <c r="Y18" i="12"/>
  <c r="Y17" i="12"/>
  <c r="Y16" i="12"/>
  <c r="Y15" i="12"/>
  <c r="Y14" i="12"/>
  <c r="Y13" i="12"/>
  <c r="Y12" i="12"/>
  <c r="Y11" i="12"/>
  <c r="Y10" i="12"/>
  <c r="Y9" i="12"/>
  <c r="Y8" i="12"/>
  <c r="V33" i="12"/>
  <c r="V32" i="12"/>
  <c r="V31" i="12"/>
  <c r="V30" i="12"/>
  <c r="V29" i="12"/>
  <c r="V28" i="12"/>
  <c r="V27" i="12"/>
  <c r="V26" i="12"/>
  <c r="V25" i="12"/>
  <c r="V24" i="12"/>
  <c r="V23" i="12"/>
  <c r="V22" i="12"/>
  <c r="V21" i="12"/>
  <c r="V20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8" i="12"/>
  <c r="D35" i="12"/>
  <c r="G130" i="1" l="1"/>
  <c r="H130" i="1"/>
  <c r="I130" i="1"/>
  <c r="J130" i="1"/>
  <c r="K130" i="1"/>
  <c r="F130" i="1"/>
  <c r="P111" i="1"/>
  <c r="Q111" i="1"/>
  <c r="S111" i="1"/>
  <c r="T111" i="1"/>
  <c r="U111" i="1"/>
  <c r="V111" i="1"/>
  <c r="W111" i="1"/>
  <c r="Y111" i="1"/>
  <c r="Z111" i="1"/>
  <c r="AA111" i="1"/>
  <c r="L111" i="1"/>
  <c r="L110" i="1" s="1"/>
  <c r="E111" i="1"/>
  <c r="E110" i="1" s="1"/>
  <c r="AB111" i="1" l="1"/>
  <c r="AC111" i="1"/>
  <c r="X111" i="1"/>
  <c r="R111" i="1"/>
  <c r="K36" i="11" l="1"/>
  <c r="H35" i="11" l="1"/>
  <c r="C36" i="11"/>
  <c r="L36" i="11" s="1"/>
  <c r="D36" i="11" l="1"/>
  <c r="I36" i="11"/>
  <c r="G36" i="11"/>
  <c r="J36" i="11" s="1"/>
  <c r="H36" i="11"/>
  <c r="U84" i="6" l="1"/>
  <c r="B41" i="9" l="1"/>
  <c r="C41" i="9"/>
  <c r="B42" i="9"/>
  <c r="C42" i="9"/>
  <c r="B43" i="9"/>
  <c r="C43" i="9"/>
  <c r="DX8" i="3" l="1"/>
  <c r="DY8" i="3"/>
  <c r="DX9" i="3"/>
  <c r="DY9" i="3"/>
  <c r="DX10" i="3"/>
  <c r="DY10" i="3"/>
  <c r="DX11" i="3"/>
  <c r="DY11" i="3"/>
  <c r="DX12" i="3"/>
  <c r="DY12" i="3"/>
  <c r="DX13" i="3"/>
  <c r="DY13" i="3"/>
  <c r="DX14" i="3"/>
  <c r="DY14" i="3"/>
  <c r="DX15" i="3"/>
  <c r="DY15" i="3"/>
  <c r="DX16" i="3"/>
  <c r="DY16" i="3"/>
  <c r="DX17" i="3"/>
  <c r="DY17" i="3"/>
  <c r="DX18" i="3"/>
  <c r="DY18" i="3"/>
  <c r="DX19" i="3"/>
  <c r="DY19" i="3"/>
  <c r="DX20" i="3"/>
  <c r="DY20" i="3"/>
  <c r="DX21" i="3"/>
  <c r="DY21" i="3"/>
  <c r="DX22" i="3"/>
  <c r="DY22" i="3"/>
  <c r="DX23" i="3"/>
  <c r="DY23" i="3"/>
  <c r="DX24" i="3"/>
  <c r="DY24" i="3"/>
  <c r="DX25" i="3"/>
  <c r="DY25" i="3"/>
  <c r="DX26" i="3"/>
  <c r="DY26" i="3"/>
  <c r="DX27" i="3"/>
  <c r="DY27" i="3"/>
  <c r="DX28" i="3"/>
  <c r="DY28" i="3"/>
  <c r="DX29" i="3"/>
  <c r="DY29" i="3"/>
  <c r="DX30" i="3"/>
  <c r="DY30" i="3"/>
  <c r="DX31" i="3"/>
  <c r="DY31" i="3"/>
  <c r="DX32" i="3"/>
  <c r="DY32" i="3"/>
  <c r="DX33" i="3"/>
  <c r="DY33" i="3" l="1"/>
  <c r="AY63" i="3"/>
  <c r="W140" i="6" l="1"/>
  <c r="W136" i="6"/>
  <c r="BZ11" i="3" l="1"/>
  <c r="BZ12" i="3"/>
  <c r="BZ13" i="3"/>
  <c r="BZ14" i="3"/>
  <c r="BZ1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Y33" i="3"/>
  <c r="BZ33" i="3" l="1"/>
  <c r="DR32" i="3"/>
  <c r="DR31" i="3"/>
  <c r="DR30" i="3"/>
  <c r="DR29" i="3"/>
  <c r="DR28" i="3"/>
  <c r="DR27" i="3"/>
  <c r="DR26" i="3"/>
  <c r="DR25" i="3"/>
  <c r="DR24" i="3"/>
  <c r="DR23" i="3"/>
  <c r="DR22" i="3"/>
  <c r="DR21" i="3"/>
  <c r="DR20" i="3"/>
  <c r="DR19" i="3"/>
  <c r="DR18" i="3"/>
  <c r="DR17" i="3"/>
  <c r="DR16" i="3"/>
  <c r="DR15" i="3"/>
  <c r="DR14" i="3"/>
  <c r="DR13" i="3"/>
  <c r="DR12" i="3"/>
  <c r="DR11" i="3"/>
  <c r="DR10" i="3"/>
  <c r="DR9" i="3"/>
  <c r="DR8" i="3"/>
  <c r="DR7" i="3"/>
  <c r="DP32" i="3"/>
  <c r="DP31" i="3"/>
  <c r="DP30" i="3"/>
  <c r="DP29" i="3"/>
  <c r="DP28" i="3"/>
  <c r="DP27" i="3"/>
  <c r="DP26" i="3"/>
  <c r="DP25" i="3"/>
  <c r="DP24" i="3"/>
  <c r="DP23" i="3"/>
  <c r="DP22" i="3"/>
  <c r="DP21" i="3"/>
  <c r="DP20" i="3"/>
  <c r="DP19" i="3"/>
  <c r="DP18" i="3"/>
  <c r="DP17" i="3"/>
  <c r="DP16" i="3"/>
  <c r="DP15" i="3"/>
  <c r="DP14" i="3"/>
  <c r="DP13" i="3"/>
  <c r="DP12" i="3"/>
  <c r="DP11" i="3"/>
  <c r="DP10" i="3"/>
  <c r="DP9" i="3"/>
  <c r="DP8" i="3"/>
  <c r="DP7" i="3"/>
  <c r="DS8" i="3" l="1"/>
  <c r="DS12" i="3"/>
  <c r="DS16" i="3"/>
  <c r="DS20" i="3"/>
  <c r="DS9" i="3"/>
  <c r="DS13" i="3"/>
  <c r="DS17" i="3"/>
  <c r="DS21" i="3"/>
  <c r="DS25" i="3"/>
  <c r="DS29" i="3"/>
  <c r="DS10" i="3"/>
  <c r="DS14" i="3"/>
  <c r="DS18" i="3"/>
  <c r="DS22" i="3"/>
  <c r="DS26" i="3"/>
  <c r="DS30" i="3"/>
  <c r="DS7" i="3"/>
  <c r="DS11" i="3"/>
  <c r="DS15" i="3"/>
  <c r="DS19" i="3"/>
  <c r="DS23" i="3"/>
  <c r="DS27" i="3"/>
  <c r="DS31" i="3"/>
  <c r="DS24" i="3"/>
  <c r="DS28" i="3"/>
  <c r="DS32" i="3"/>
  <c r="DP33" i="3"/>
  <c r="DR33" i="3"/>
  <c r="N18" i="6"/>
  <c r="O18" i="6"/>
  <c r="P18" i="6"/>
  <c r="Q18" i="6"/>
  <c r="S18" i="6"/>
  <c r="S17" i="6"/>
  <c r="R17" i="6"/>
  <c r="Q17" i="6"/>
  <c r="P17" i="6"/>
  <c r="O17" i="6"/>
  <c r="N17" i="6"/>
  <c r="S16" i="6"/>
  <c r="Q16" i="6"/>
  <c r="P16" i="6"/>
  <c r="O16" i="6"/>
  <c r="N16" i="6"/>
  <c r="R15" i="6"/>
  <c r="Q15" i="6"/>
  <c r="P15" i="6"/>
  <c r="O15" i="6"/>
  <c r="N15" i="6"/>
  <c r="DS33" i="3" l="1"/>
  <c r="R84" i="6"/>
  <c r="O81" i="6"/>
  <c r="N81" i="6"/>
  <c r="K10" i="5" l="1"/>
  <c r="AD34" i="12" l="1"/>
  <c r="AC34" i="12"/>
  <c r="AA34" i="12"/>
  <c r="Z34" i="12"/>
  <c r="X34" i="12"/>
  <c r="W34" i="12"/>
  <c r="U34" i="12"/>
  <c r="T34" i="12"/>
  <c r="R34" i="12"/>
  <c r="Q34" i="12"/>
  <c r="O34" i="12"/>
  <c r="N34" i="12"/>
  <c r="L34" i="12"/>
  <c r="K34" i="12"/>
  <c r="I34" i="12"/>
  <c r="H34" i="12"/>
  <c r="F34" i="12"/>
  <c r="E34" i="12"/>
  <c r="C34" i="12"/>
  <c r="B34" i="12"/>
  <c r="K35" i="5"/>
  <c r="J35" i="5"/>
  <c r="I35" i="5"/>
  <c r="H35" i="5"/>
  <c r="G35" i="5"/>
  <c r="P33" i="12"/>
  <c r="F35" i="5" s="1"/>
  <c r="M33" i="12"/>
  <c r="E35" i="5" s="1"/>
  <c r="J33" i="12"/>
  <c r="D35" i="5" s="1"/>
  <c r="G33" i="12"/>
  <c r="C35" i="5" s="1"/>
  <c r="D33" i="12"/>
  <c r="B35" i="5" s="1"/>
  <c r="K34" i="5"/>
  <c r="J34" i="5"/>
  <c r="I34" i="5"/>
  <c r="H34" i="5"/>
  <c r="G34" i="5"/>
  <c r="P32" i="12"/>
  <c r="F34" i="5" s="1"/>
  <c r="M32" i="12"/>
  <c r="E34" i="5" s="1"/>
  <c r="J32" i="12"/>
  <c r="D34" i="5" s="1"/>
  <c r="G32" i="12"/>
  <c r="C34" i="5" s="1"/>
  <c r="D32" i="12"/>
  <c r="B34" i="5" s="1"/>
  <c r="K33" i="5"/>
  <c r="J33" i="5"/>
  <c r="I33" i="5"/>
  <c r="H33" i="5"/>
  <c r="G33" i="5"/>
  <c r="P31" i="12"/>
  <c r="F33" i="5" s="1"/>
  <c r="M31" i="12"/>
  <c r="E33" i="5" s="1"/>
  <c r="J31" i="12"/>
  <c r="D33" i="5" s="1"/>
  <c r="G31" i="12"/>
  <c r="C33" i="5" s="1"/>
  <c r="D31" i="12"/>
  <c r="B33" i="5" s="1"/>
  <c r="K32" i="5"/>
  <c r="J32" i="5"/>
  <c r="I32" i="5"/>
  <c r="H32" i="5"/>
  <c r="G32" i="5"/>
  <c r="P30" i="12"/>
  <c r="F32" i="5" s="1"/>
  <c r="M30" i="12"/>
  <c r="E32" i="5" s="1"/>
  <c r="J30" i="12"/>
  <c r="D32" i="5" s="1"/>
  <c r="G30" i="12"/>
  <c r="C32" i="5" s="1"/>
  <c r="D30" i="12"/>
  <c r="B32" i="5" s="1"/>
  <c r="K31" i="5"/>
  <c r="J31" i="5"/>
  <c r="I31" i="5"/>
  <c r="H31" i="5"/>
  <c r="G31" i="5"/>
  <c r="P29" i="12"/>
  <c r="F31" i="5" s="1"/>
  <c r="M29" i="12"/>
  <c r="E31" i="5" s="1"/>
  <c r="J29" i="12"/>
  <c r="D31" i="5" s="1"/>
  <c r="G29" i="12"/>
  <c r="C31" i="5" s="1"/>
  <c r="D29" i="12"/>
  <c r="B31" i="5" s="1"/>
  <c r="K30" i="5"/>
  <c r="J30" i="5"/>
  <c r="I30" i="5"/>
  <c r="H30" i="5"/>
  <c r="M30" i="5" s="1"/>
  <c r="G30" i="5"/>
  <c r="P28" i="12"/>
  <c r="F30" i="5" s="1"/>
  <c r="M28" i="12"/>
  <c r="E30" i="5" s="1"/>
  <c r="J28" i="12"/>
  <c r="D30" i="5" s="1"/>
  <c r="G28" i="12"/>
  <c r="C30" i="5" s="1"/>
  <c r="D28" i="12"/>
  <c r="B30" i="5" s="1"/>
  <c r="K29" i="5"/>
  <c r="J29" i="5"/>
  <c r="O29" i="5" s="1"/>
  <c r="I29" i="5"/>
  <c r="H29" i="5"/>
  <c r="G29" i="5"/>
  <c r="P27" i="12"/>
  <c r="F29" i="5" s="1"/>
  <c r="M27" i="12"/>
  <c r="E29" i="5" s="1"/>
  <c r="J27" i="12"/>
  <c r="D29" i="5" s="1"/>
  <c r="G27" i="12"/>
  <c r="C29" i="5" s="1"/>
  <c r="D27" i="12"/>
  <c r="B29" i="5" s="1"/>
  <c r="K28" i="5"/>
  <c r="J28" i="5"/>
  <c r="I28" i="5"/>
  <c r="H28" i="5"/>
  <c r="M28" i="5" s="1"/>
  <c r="G28" i="5"/>
  <c r="P26" i="12"/>
  <c r="F28" i="5" s="1"/>
  <c r="M26" i="12"/>
  <c r="E28" i="5" s="1"/>
  <c r="J26" i="12"/>
  <c r="D28" i="5" s="1"/>
  <c r="G26" i="12"/>
  <c r="C28" i="5" s="1"/>
  <c r="D26" i="12"/>
  <c r="B28" i="5" s="1"/>
  <c r="K27" i="5"/>
  <c r="J27" i="5"/>
  <c r="O27" i="5" s="1"/>
  <c r="I27" i="5"/>
  <c r="H27" i="5"/>
  <c r="G27" i="5"/>
  <c r="P25" i="12"/>
  <c r="F27" i="5" s="1"/>
  <c r="M25" i="12"/>
  <c r="E27" i="5" s="1"/>
  <c r="J25" i="12"/>
  <c r="D27" i="5" s="1"/>
  <c r="G25" i="12"/>
  <c r="C27" i="5" s="1"/>
  <c r="D25" i="12"/>
  <c r="B27" i="5" s="1"/>
  <c r="K26" i="5"/>
  <c r="J26" i="5"/>
  <c r="I26" i="5"/>
  <c r="H26" i="5"/>
  <c r="M26" i="5" s="1"/>
  <c r="G26" i="5"/>
  <c r="P24" i="12"/>
  <c r="F26" i="5" s="1"/>
  <c r="M24" i="12"/>
  <c r="E26" i="5" s="1"/>
  <c r="J24" i="12"/>
  <c r="D26" i="5" s="1"/>
  <c r="G24" i="12"/>
  <c r="C26" i="5" s="1"/>
  <c r="D24" i="12"/>
  <c r="B26" i="5" s="1"/>
  <c r="K25" i="5"/>
  <c r="J25" i="5"/>
  <c r="O25" i="5" s="1"/>
  <c r="I25" i="5"/>
  <c r="H25" i="5"/>
  <c r="G25" i="5"/>
  <c r="P23" i="12"/>
  <c r="F25" i="5" s="1"/>
  <c r="M23" i="12"/>
  <c r="E25" i="5" s="1"/>
  <c r="J23" i="12"/>
  <c r="D25" i="5" s="1"/>
  <c r="G23" i="12"/>
  <c r="C25" i="5" s="1"/>
  <c r="D23" i="12"/>
  <c r="B25" i="5" s="1"/>
  <c r="K24" i="5"/>
  <c r="J24" i="5"/>
  <c r="I24" i="5"/>
  <c r="H24" i="5"/>
  <c r="M24" i="5" s="1"/>
  <c r="G24" i="5"/>
  <c r="P22" i="12"/>
  <c r="F24" i="5" s="1"/>
  <c r="M22" i="12"/>
  <c r="E24" i="5" s="1"/>
  <c r="J22" i="12"/>
  <c r="D24" i="5" s="1"/>
  <c r="G22" i="12"/>
  <c r="C24" i="5" s="1"/>
  <c r="D22" i="12"/>
  <c r="B24" i="5" s="1"/>
  <c r="K23" i="5"/>
  <c r="J23" i="5"/>
  <c r="O23" i="5" s="1"/>
  <c r="I23" i="5"/>
  <c r="H23" i="5"/>
  <c r="G23" i="5"/>
  <c r="P21" i="12"/>
  <c r="F23" i="5" s="1"/>
  <c r="M21" i="12"/>
  <c r="E23" i="5" s="1"/>
  <c r="J21" i="12"/>
  <c r="D23" i="5" s="1"/>
  <c r="G21" i="12"/>
  <c r="C23" i="5" s="1"/>
  <c r="D21" i="12"/>
  <c r="B23" i="5" s="1"/>
  <c r="K22" i="5"/>
  <c r="J22" i="5"/>
  <c r="I22" i="5"/>
  <c r="H22" i="5"/>
  <c r="M22" i="5" s="1"/>
  <c r="G22" i="5"/>
  <c r="P20" i="12"/>
  <c r="F22" i="5" s="1"/>
  <c r="M20" i="12"/>
  <c r="E22" i="5" s="1"/>
  <c r="J20" i="12"/>
  <c r="D22" i="5" s="1"/>
  <c r="G20" i="12"/>
  <c r="C22" i="5" s="1"/>
  <c r="D20" i="12"/>
  <c r="B22" i="5" s="1"/>
  <c r="K21" i="5"/>
  <c r="J21" i="5"/>
  <c r="O21" i="5" s="1"/>
  <c r="I21" i="5"/>
  <c r="H21" i="5"/>
  <c r="G21" i="5"/>
  <c r="P19" i="12"/>
  <c r="F21" i="5" s="1"/>
  <c r="M19" i="12"/>
  <c r="E21" i="5" s="1"/>
  <c r="J19" i="12"/>
  <c r="D21" i="5" s="1"/>
  <c r="G19" i="12"/>
  <c r="C21" i="5" s="1"/>
  <c r="D19" i="12"/>
  <c r="B21" i="5" s="1"/>
  <c r="K20" i="5"/>
  <c r="J20" i="5"/>
  <c r="I20" i="5"/>
  <c r="H20" i="5"/>
  <c r="M20" i="5" s="1"/>
  <c r="G20" i="5"/>
  <c r="P18" i="12"/>
  <c r="F20" i="5" s="1"/>
  <c r="M18" i="12"/>
  <c r="E20" i="5" s="1"/>
  <c r="J18" i="12"/>
  <c r="D20" i="5" s="1"/>
  <c r="G18" i="12"/>
  <c r="C20" i="5" s="1"/>
  <c r="D18" i="12"/>
  <c r="B20" i="5" s="1"/>
  <c r="K19" i="5"/>
  <c r="J19" i="5"/>
  <c r="O19" i="5" s="1"/>
  <c r="I19" i="5"/>
  <c r="H19" i="5"/>
  <c r="G19" i="5"/>
  <c r="P17" i="12"/>
  <c r="F19" i="5" s="1"/>
  <c r="M17" i="12"/>
  <c r="E19" i="5" s="1"/>
  <c r="J17" i="12"/>
  <c r="D19" i="5" s="1"/>
  <c r="G17" i="12"/>
  <c r="C19" i="5" s="1"/>
  <c r="D17" i="12"/>
  <c r="B19" i="5" s="1"/>
  <c r="K18" i="5"/>
  <c r="J18" i="5"/>
  <c r="I18" i="5"/>
  <c r="H18" i="5"/>
  <c r="M18" i="5" s="1"/>
  <c r="G18" i="5"/>
  <c r="P16" i="12"/>
  <c r="F18" i="5" s="1"/>
  <c r="M16" i="12"/>
  <c r="E18" i="5" s="1"/>
  <c r="J16" i="12"/>
  <c r="D18" i="5" s="1"/>
  <c r="G16" i="12"/>
  <c r="C18" i="5" s="1"/>
  <c r="D16" i="12"/>
  <c r="B18" i="5" s="1"/>
  <c r="K17" i="5"/>
  <c r="J17" i="5"/>
  <c r="O17" i="5" s="1"/>
  <c r="I17" i="5"/>
  <c r="H17" i="5"/>
  <c r="G17" i="5"/>
  <c r="P15" i="12"/>
  <c r="F17" i="5" s="1"/>
  <c r="M15" i="12"/>
  <c r="E17" i="5" s="1"/>
  <c r="J15" i="12"/>
  <c r="D17" i="5" s="1"/>
  <c r="G15" i="12"/>
  <c r="C17" i="5" s="1"/>
  <c r="D15" i="12"/>
  <c r="B17" i="5" s="1"/>
  <c r="K16" i="5"/>
  <c r="J16" i="5"/>
  <c r="I16" i="5"/>
  <c r="H16" i="5"/>
  <c r="M16" i="5" s="1"/>
  <c r="G16" i="5"/>
  <c r="P14" i="12"/>
  <c r="F16" i="5" s="1"/>
  <c r="M14" i="12"/>
  <c r="E16" i="5" s="1"/>
  <c r="J14" i="12"/>
  <c r="D16" i="5" s="1"/>
  <c r="G14" i="12"/>
  <c r="C16" i="5" s="1"/>
  <c r="D14" i="12"/>
  <c r="B16" i="5" s="1"/>
  <c r="K15" i="5"/>
  <c r="J15" i="5"/>
  <c r="O15" i="5" s="1"/>
  <c r="I15" i="5"/>
  <c r="H15" i="5"/>
  <c r="G15" i="5"/>
  <c r="P13" i="12"/>
  <c r="F15" i="5" s="1"/>
  <c r="M13" i="12"/>
  <c r="E15" i="5" s="1"/>
  <c r="J13" i="12"/>
  <c r="D15" i="5" s="1"/>
  <c r="G13" i="12"/>
  <c r="C15" i="5" s="1"/>
  <c r="D13" i="12"/>
  <c r="B15" i="5" s="1"/>
  <c r="K14" i="5"/>
  <c r="J14" i="5"/>
  <c r="I14" i="5"/>
  <c r="H14" i="5"/>
  <c r="M14" i="5" s="1"/>
  <c r="G14" i="5"/>
  <c r="P12" i="12"/>
  <c r="F14" i="5" s="1"/>
  <c r="M12" i="12"/>
  <c r="E14" i="5" s="1"/>
  <c r="J12" i="12"/>
  <c r="D14" i="5" s="1"/>
  <c r="G12" i="12"/>
  <c r="C14" i="5" s="1"/>
  <c r="D12" i="12"/>
  <c r="B14" i="5" s="1"/>
  <c r="K13" i="5"/>
  <c r="J13" i="5"/>
  <c r="O13" i="5" s="1"/>
  <c r="I13" i="5"/>
  <c r="H13" i="5"/>
  <c r="G13" i="5"/>
  <c r="P11" i="12"/>
  <c r="F13" i="5" s="1"/>
  <c r="M11" i="12"/>
  <c r="E13" i="5" s="1"/>
  <c r="J11" i="12"/>
  <c r="D13" i="5" s="1"/>
  <c r="G11" i="12"/>
  <c r="C13" i="5" s="1"/>
  <c r="D11" i="12"/>
  <c r="B13" i="5" s="1"/>
  <c r="K12" i="5"/>
  <c r="J12" i="5"/>
  <c r="I12" i="5"/>
  <c r="H12" i="5"/>
  <c r="M12" i="5" s="1"/>
  <c r="G12" i="5"/>
  <c r="P10" i="12"/>
  <c r="F12" i="5" s="1"/>
  <c r="M10" i="12"/>
  <c r="E12" i="5" s="1"/>
  <c r="J10" i="12"/>
  <c r="D12" i="5" s="1"/>
  <c r="G10" i="12"/>
  <c r="C12" i="5" s="1"/>
  <c r="D10" i="12"/>
  <c r="B12" i="5" s="1"/>
  <c r="K11" i="5"/>
  <c r="J11" i="5"/>
  <c r="O11" i="5" s="1"/>
  <c r="I11" i="5"/>
  <c r="H11" i="5"/>
  <c r="G11" i="5"/>
  <c r="P9" i="12"/>
  <c r="F11" i="5" s="1"/>
  <c r="M9" i="12"/>
  <c r="E11" i="5" s="1"/>
  <c r="J9" i="12"/>
  <c r="D11" i="5" s="1"/>
  <c r="G9" i="12"/>
  <c r="C11" i="5" s="1"/>
  <c r="D9" i="12"/>
  <c r="B11" i="5" s="1"/>
  <c r="J10" i="5"/>
  <c r="I10" i="5"/>
  <c r="H10" i="5"/>
  <c r="G10" i="5"/>
  <c r="P8" i="12"/>
  <c r="F10" i="5" s="1"/>
  <c r="P10" i="5" s="1"/>
  <c r="M8" i="12"/>
  <c r="E10" i="5" s="1"/>
  <c r="J8" i="12"/>
  <c r="D10" i="5" s="1"/>
  <c r="G8" i="12"/>
  <c r="D8" i="12"/>
  <c r="B10" i="5" s="1"/>
  <c r="N11" i="5" l="1"/>
  <c r="L12" i="5"/>
  <c r="P12" i="5"/>
  <c r="N13" i="5"/>
  <c r="L14" i="5"/>
  <c r="P14" i="5"/>
  <c r="N15" i="5"/>
  <c r="L16" i="5"/>
  <c r="P16" i="5"/>
  <c r="N17" i="5"/>
  <c r="L18" i="5"/>
  <c r="P18" i="5"/>
  <c r="N19" i="5"/>
  <c r="L20" i="5"/>
  <c r="P20" i="5"/>
  <c r="N21" i="5"/>
  <c r="L22" i="5"/>
  <c r="P22" i="5"/>
  <c r="N23" i="5"/>
  <c r="L24" i="5"/>
  <c r="P24" i="5"/>
  <c r="N25" i="5"/>
  <c r="L26" i="5"/>
  <c r="P26" i="5"/>
  <c r="N27" i="5"/>
  <c r="L28" i="5"/>
  <c r="P28" i="5"/>
  <c r="N29" i="5"/>
  <c r="L30" i="5"/>
  <c r="P30" i="5"/>
  <c r="N31" i="5"/>
  <c r="L32" i="5"/>
  <c r="P32" i="5"/>
  <c r="N33" i="5"/>
  <c r="L34" i="5"/>
  <c r="N35" i="5"/>
  <c r="O31" i="5"/>
  <c r="M32" i="5"/>
  <c r="O33" i="5"/>
  <c r="Q34" i="5"/>
  <c r="O35" i="5"/>
  <c r="L11" i="5"/>
  <c r="Q11" i="5"/>
  <c r="N12" i="5"/>
  <c r="L13" i="5"/>
  <c r="P13" i="5"/>
  <c r="N14" i="5"/>
  <c r="L15" i="5"/>
  <c r="P15" i="5"/>
  <c r="N16" i="5"/>
  <c r="L17" i="5"/>
  <c r="P17" i="5"/>
  <c r="N18" i="5"/>
  <c r="L19" i="5"/>
  <c r="P19" i="5"/>
  <c r="N20" i="5"/>
  <c r="L21" i="5"/>
  <c r="Q21" i="5"/>
  <c r="N22" i="5"/>
  <c r="L23" i="5"/>
  <c r="P23" i="5"/>
  <c r="N24" i="5"/>
  <c r="L25" i="5"/>
  <c r="P25" i="5"/>
  <c r="N26" i="5"/>
  <c r="L27" i="5"/>
  <c r="P27" i="5"/>
  <c r="N28" i="5"/>
  <c r="L29" i="5"/>
  <c r="P29" i="5"/>
  <c r="N30" i="5"/>
  <c r="L31" i="5"/>
  <c r="P31" i="5"/>
  <c r="N32" i="5"/>
  <c r="L33" i="5"/>
  <c r="P33" i="5"/>
  <c r="N34" i="5"/>
  <c r="L35" i="5"/>
  <c r="M11" i="5"/>
  <c r="O12" i="5"/>
  <c r="M13" i="5"/>
  <c r="O14" i="5"/>
  <c r="M15" i="5"/>
  <c r="O16" i="5"/>
  <c r="M17" i="5"/>
  <c r="O18" i="5"/>
  <c r="M19" i="5"/>
  <c r="Q20" i="5"/>
  <c r="M21" i="5"/>
  <c r="O22" i="5"/>
  <c r="M23" i="5"/>
  <c r="O24" i="5"/>
  <c r="M25" i="5"/>
  <c r="O26" i="5"/>
  <c r="M27" i="5"/>
  <c r="O28" i="5"/>
  <c r="M29" i="5"/>
  <c r="M31" i="5"/>
  <c r="O32" i="5"/>
  <c r="M33" i="5"/>
  <c r="O34" i="5"/>
  <c r="M35" i="5"/>
  <c r="N10" i="5"/>
  <c r="O10" i="5"/>
  <c r="L10" i="5"/>
  <c r="G34" i="12"/>
  <c r="C36" i="5" s="1"/>
  <c r="C10" i="5"/>
  <c r="M10" i="5" s="1"/>
  <c r="AE34" i="12"/>
  <c r="K36" i="5" s="1"/>
  <c r="C47" i="5" s="1"/>
  <c r="S34" i="12"/>
  <c r="J34" i="12"/>
  <c r="D36" i="5" s="1"/>
  <c r="B45" i="5" s="1"/>
  <c r="V34" i="12"/>
  <c r="H36" i="5" s="1"/>
  <c r="C44" i="5" s="1"/>
  <c r="D34" i="12"/>
  <c r="P34" i="12"/>
  <c r="AB34" i="12"/>
  <c r="J36" i="5" s="1"/>
  <c r="C46" i="5" s="1"/>
  <c r="M34" i="12"/>
  <c r="E36" i="5" s="1"/>
  <c r="Y34" i="12"/>
  <c r="I36" i="5" s="1"/>
  <c r="C45" i="5" s="1"/>
  <c r="F36" i="5" l="1"/>
  <c r="B47" i="5" s="1"/>
  <c r="D37" i="12"/>
  <c r="G36" i="5"/>
  <c r="I37" i="5" s="1"/>
  <c r="S37" i="12"/>
  <c r="B36" i="5"/>
  <c r="C37" i="5" s="1"/>
  <c r="D36" i="12"/>
  <c r="O36" i="5"/>
  <c r="N36" i="5"/>
  <c r="P36" i="5"/>
  <c r="B46" i="5"/>
  <c r="K38" i="5"/>
  <c r="B44" i="5"/>
  <c r="M36" i="5"/>
  <c r="E37" i="5"/>
  <c r="AR7" i="3"/>
  <c r="AS7" i="3"/>
  <c r="AX7" i="3"/>
  <c r="AY7" i="3"/>
  <c r="J37" i="5" l="1"/>
  <c r="O37" i="5" s="1"/>
  <c r="H37" i="5"/>
  <c r="M37" i="5" s="1"/>
  <c r="K37" i="5"/>
  <c r="F37" i="5"/>
  <c r="P37" i="5" s="1"/>
  <c r="L36" i="5"/>
  <c r="D37" i="5"/>
  <c r="N37" i="5" s="1"/>
  <c r="P33" i="3"/>
  <c r="Q33" i="3"/>
  <c r="R33" i="3"/>
  <c r="L33" i="3"/>
  <c r="M33" i="3"/>
  <c r="N33" i="3"/>
  <c r="O7" i="3"/>
  <c r="S7" i="3"/>
  <c r="X7" i="3"/>
  <c r="AC7" i="3"/>
  <c r="BA7" i="3" l="1"/>
  <c r="DI7" i="3"/>
  <c r="AZ7" i="3"/>
  <c r="BB7" i="3" s="1"/>
  <c r="DH7" i="3"/>
  <c r="AL7" i="3"/>
  <c r="AK7" i="3"/>
  <c r="P142" i="1"/>
  <c r="E124" i="1"/>
  <c r="P112" i="1"/>
  <c r="Q112" i="1"/>
  <c r="S112" i="1"/>
  <c r="T112" i="1"/>
  <c r="U112" i="1"/>
  <c r="V112" i="1"/>
  <c r="AB112" i="1" s="1"/>
  <c r="W112" i="1"/>
  <c r="Y112" i="1"/>
  <c r="Z112" i="1"/>
  <c r="AA112" i="1"/>
  <c r="L112" i="1"/>
  <c r="X112" i="1" s="1"/>
  <c r="E112" i="1"/>
  <c r="R112" i="1" s="1"/>
  <c r="L104" i="1"/>
  <c r="L103" i="1" s="1"/>
  <c r="X103" i="1" s="1"/>
  <c r="L101" i="1"/>
  <c r="L100" i="1" s="1"/>
  <c r="X100" i="1" s="1"/>
  <c r="L97" i="1"/>
  <c r="L96" i="1" s="1"/>
  <c r="X96" i="1" s="1"/>
  <c r="L95" i="1"/>
  <c r="L94" i="1" s="1"/>
  <c r="X94" i="1" s="1"/>
  <c r="L93" i="1"/>
  <c r="L92" i="1" s="1"/>
  <c r="X92" i="1" s="1"/>
  <c r="E104" i="1"/>
  <c r="E103" i="1" s="1"/>
  <c r="R103" i="1" s="1"/>
  <c r="E101" i="1"/>
  <c r="E100" i="1" s="1"/>
  <c r="R100" i="1" s="1"/>
  <c r="E97" i="1"/>
  <c r="E96" i="1" s="1"/>
  <c r="R96" i="1" s="1"/>
  <c r="E95" i="1"/>
  <c r="E94" i="1" s="1"/>
  <c r="R94" i="1" s="1"/>
  <c r="E93" i="1"/>
  <c r="E92" i="1" s="1"/>
  <c r="R92" i="1" s="1"/>
  <c r="V93" i="1"/>
  <c r="U93" i="1"/>
  <c r="T93" i="1"/>
  <c r="AA104" i="1"/>
  <c r="Z104" i="1"/>
  <c r="W104" i="1"/>
  <c r="V104" i="1"/>
  <c r="U104" i="1"/>
  <c r="T104" i="1"/>
  <c r="Q104" i="1"/>
  <c r="P104" i="1"/>
  <c r="AA103" i="1"/>
  <c r="Z103" i="1"/>
  <c r="Y103" i="1"/>
  <c r="W103" i="1"/>
  <c r="V103" i="1"/>
  <c r="U103" i="1"/>
  <c r="T103" i="1"/>
  <c r="S103" i="1"/>
  <c r="Q103" i="1"/>
  <c r="P103" i="1"/>
  <c r="AA101" i="1"/>
  <c r="Z101" i="1"/>
  <c r="W101" i="1"/>
  <c r="V101" i="1"/>
  <c r="U101" i="1"/>
  <c r="T101" i="1"/>
  <c r="Q101" i="1"/>
  <c r="P101" i="1"/>
  <c r="AA100" i="1"/>
  <c r="Z100" i="1"/>
  <c r="Y100" i="1"/>
  <c r="W100" i="1"/>
  <c r="V100" i="1"/>
  <c r="U100" i="1"/>
  <c r="T100" i="1"/>
  <c r="S100" i="1"/>
  <c r="Q100" i="1"/>
  <c r="P100" i="1"/>
  <c r="AA102" i="1"/>
  <c r="Z102" i="1"/>
  <c r="Y102" i="1"/>
  <c r="W102" i="1"/>
  <c r="V102" i="1"/>
  <c r="U102" i="1"/>
  <c r="T102" i="1"/>
  <c r="S102" i="1"/>
  <c r="Q102" i="1"/>
  <c r="P102" i="1"/>
  <c r="AA99" i="1"/>
  <c r="Z99" i="1"/>
  <c r="Y99" i="1"/>
  <c r="W99" i="1"/>
  <c r="V99" i="1"/>
  <c r="U99" i="1"/>
  <c r="T99" i="1"/>
  <c r="S99" i="1"/>
  <c r="Q99" i="1"/>
  <c r="P99" i="1"/>
  <c r="AA98" i="1"/>
  <c r="Z98" i="1"/>
  <c r="Y98" i="1"/>
  <c r="W98" i="1"/>
  <c r="V98" i="1"/>
  <c r="U98" i="1"/>
  <c r="T98" i="1"/>
  <c r="S98" i="1"/>
  <c r="Q98" i="1"/>
  <c r="P98" i="1"/>
  <c r="AA97" i="1"/>
  <c r="Z97" i="1"/>
  <c r="W97" i="1"/>
  <c r="V97" i="1"/>
  <c r="U97" i="1"/>
  <c r="T97" i="1"/>
  <c r="Q97" i="1"/>
  <c r="P97" i="1"/>
  <c r="AA96" i="1"/>
  <c r="Z96" i="1"/>
  <c r="Y96" i="1"/>
  <c r="W96" i="1"/>
  <c r="V96" i="1"/>
  <c r="U96" i="1"/>
  <c r="T96" i="1"/>
  <c r="S96" i="1"/>
  <c r="Q96" i="1"/>
  <c r="P96" i="1"/>
  <c r="AA95" i="1"/>
  <c r="Z95" i="1"/>
  <c r="W95" i="1"/>
  <c r="V95" i="1"/>
  <c r="U95" i="1"/>
  <c r="T95" i="1"/>
  <c r="Q95" i="1"/>
  <c r="P95" i="1"/>
  <c r="AA94" i="1"/>
  <c r="Z94" i="1"/>
  <c r="Y94" i="1"/>
  <c r="W94" i="1"/>
  <c r="V94" i="1"/>
  <c r="U94" i="1"/>
  <c r="T94" i="1"/>
  <c r="S94" i="1"/>
  <c r="Q94" i="1"/>
  <c r="P94" i="1"/>
  <c r="AA93" i="1"/>
  <c r="Z93" i="1"/>
  <c r="W93" i="1"/>
  <c r="Q93" i="1"/>
  <c r="P93" i="1"/>
  <c r="AA92" i="1"/>
  <c r="Z92" i="1"/>
  <c r="Y92" i="1"/>
  <c r="W92" i="1"/>
  <c r="V92" i="1"/>
  <c r="U92" i="1"/>
  <c r="T92" i="1"/>
  <c r="S92" i="1"/>
  <c r="Q92" i="1"/>
  <c r="P92" i="1"/>
  <c r="L102" i="1"/>
  <c r="X102" i="1" s="1"/>
  <c r="L99" i="1"/>
  <c r="X99" i="1" s="1"/>
  <c r="L98" i="1"/>
  <c r="X98" i="1" s="1"/>
  <c r="E102" i="1"/>
  <c r="R102" i="1" s="1"/>
  <c r="E99" i="1"/>
  <c r="R99" i="1" s="1"/>
  <c r="E98" i="1"/>
  <c r="R98" i="1" s="1"/>
  <c r="DJ7" i="3" l="1"/>
  <c r="AM7" i="3"/>
  <c r="AE100" i="1"/>
  <c r="AD100" i="1"/>
  <c r="AF97" i="1"/>
  <c r="AF99" i="1"/>
  <c r="AF100" i="1"/>
  <c r="AF101" i="1"/>
  <c r="AD99" i="1"/>
  <c r="AG100" i="1"/>
  <c r="AC100" i="1"/>
  <c r="AC112" i="1"/>
  <c r="AB99" i="1"/>
  <c r="AE103" i="1"/>
  <c r="AG103" i="1"/>
  <c r="AC98" i="1"/>
  <c r="AC92" i="1"/>
  <c r="AB98" i="1"/>
  <c r="AF94" i="1"/>
  <c r="AC103" i="1"/>
  <c r="AB101" i="1"/>
  <c r="AC96" i="1"/>
  <c r="AC99" i="1"/>
  <c r="AB100" i="1"/>
  <c r="AF103" i="1"/>
  <c r="AB103" i="1"/>
  <c r="AF104" i="1"/>
  <c r="AB104" i="1"/>
  <c r="AC104" i="1"/>
  <c r="AB102" i="1"/>
  <c r="AC102" i="1"/>
  <c r="AC101" i="1"/>
  <c r="AC97" i="1"/>
  <c r="AB97" i="1"/>
  <c r="AB96" i="1"/>
  <c r="AF96" i="1"/>
  <c r="AE96" i="1"/>
  <c r="AE94" i="1"/>
  <c r="AB94" i="1"/>
  <c r="AC94" i="1"/>
  <c r="AF95" i="1"/>
  <c r="AC95" i="1"/>
  <c r="AB95" i="1"/>
  <c r="AG92" i="1"/>
  <c r="AE92" i="1"/>
  <c r="AF92" i="1"/>
  <c r="AD92" i="1"/>
  <c r="AD103" i="1"/>
  <c r="AD96" i="1"/>
  <c r="AD94" i="1"/>
  <c r="AF93" i="1"/>
  <c r="AC93" i="1"/>
  <c r="AB93" i="1"/>
  <c r="AB92" i="1"/>
  <c r="AH55" i="1" l="1"/>
  <c r="E27" i="1" l="1"/>
  <c r="L12" i="1"/>
  <c r="T131" i="6" l="1"/>
  <c r="E9" i="11" l="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F8" i="11"/>
  <c r="E8" i="11"/>
  <c r="B9" i="11"/>
  <c r="C9" i="11"/>
  <c r="B10" i="11"/>
  <c r="C10" i="11"/>
  <c r="B11" i="11"/>
  <c r="C11" i="11"/>
  <c r="B12" i="11"/>
  <c r="C12" i="11"/>
  <c r="B13" i="11"/>
  <c r="C13" i="11"/>
  <c r="B14" i="11"/>
  <c r="C14" i="11"/>
  <c r="B15" i="11"/>
  <c r="C15" i="11"/>
  <c r="B16" i="11"/>
  <c r="C16" i="11"/>
  <c r="B17" i="11"/>
  <c r="C17" i="11"/>
  <c r="B19" i="11"/>
  <c r="C19" i="11"/>
  <c r="B20" i="11"/>
  <c r="C20" i="11"/>
  <c r="B21" i="11"/>
  <c r="C21" i="11"/>
  <c r="B22" i="11"/>
  <c r="C22" i="11"/>
  <c r="B23" i="11"/>
  <c r="C23" i="11"/>
  <c r="B24" i="11"/>
  <c r="C24" i="11"/>
  <c r="B25" i="11"/>
  <c r="C25" i="11"/>
  <c r="B26" i="11"/>
  <c r="C26" i="11"/>
  <c r="B27" i="11"/>
  <c r="C27" i="11"/>
  <c r="B28" i="11"/>
  <c r="C28" i="11"/>
  <c r="B29" i="11"/>
  <c r="C29" i="11"/>
  <c r="B30" i="11"/>
  <c r="C30" i="11"/>
  <c r="B31" i="11"/>
  <c r="C31" i="11"/>
  <c r="B32" i="11"/>
  <c r="C32" i="11"/>
  <c r="B33" i="11"/>
  <c r="C33" i="11"/>
  <c r="C8" i="11"/>
  <c r="B8" i="11"/>
  <c r="DT33" i="3"/>
  <c r="DU33" i="3"/>
  <c r="DV33" i="3"/>
  <c r="DW33" i="3"/>
  <c r="DW37" i="3" s="1"/>
  <c r="I32" i="11" l="1"/>
  <c r="I30" i="11"/>
  <c r="I31" i="11"/>
  <c r="I27" i="11"/>
  <c r="I25" i="11"/>
  <c r="D12" i="11"/>
  <c r="G31" i="11"/>
  <c r="D33" i="11"/>
  <c r="D25" i="11"/>
  <c r="D21" i="11"/>
  <c r="D17" i="11"/>
  <c r="I11" i="11"/>
  <c r="D32" i="11"/>
  <c r="D20" i="11"/>
  <c r="D16" i="11"/>
  <c r="H31" i="11"/>
  <c r="H29" i="11"/>
  <c r="D28" i="11"/>
  <c r="D26" i="11"/>
  <c r="D10" i="11"/>
  <c r="I10" i="11"/>
  <c r="D9" i="11"/>
  <c r="H30" i="11"/>
  <c r="I24" i="11"/>
  <c r="I22" i="11"/>
  <c r="G20" i="11"/>
  <c r="I20" i="11"/>
  <c r="I14" i="11"/>
  <c r="L12" i="11"/>
  <c r="I12" i="11"/>
  <c r="D27" i="11"/>
  <c r="H33" i="11"/>
  <c r="H28" i="11"/>
  <c r="H26" i="11"/>
  <c r="H24" i="11"/>
  <c r="H22" i="11"/>
  <c r="H20" i="11"/>
  <c r="K16" i="11"/>
  <c r="H16" i="11"/>
  <c r="H14" i="11"/>
  <c r="G12" i="11"/>
  <c r="H12" i="11"/>
  <c r="H10" i="11"/>
  <c r="B34" i="11"/>
  <c r="B39" i="11" s="1"/>
  <c r="I23" i="11"/>
  <c r="I21" i="11"/>
  <c r="I19" i="11"/>
  <c r="L17" i="11"/>
  <c r="I17" i="11"/>
  <c r="I15" i="11"/>
  <c r="I13" i="11"/>
  <c r="I9" i="11"/>
  <c r="D11" i="11"/>
  <c r="I8" i="11"/>
  <c r="K32" i="11"/>
  <c r="H32" i="11"/>
  <c r="G28" i="11"/>
  <c r="H27" i="11"/>
  <c r="H25" i="11"/>
  <c r="H23" i="11"/>
  <c r="H21" i="11"/>
  <c r="H19" i="11"/>
  <c r="H17" i="11"/>
  <c r="H15" i="11"/>
  <c r="H13" i="11"/>
  <c r="H11" i="11"/>
  <c r="H9" i="11"/>
  <c r="G23" i="11"/>
  <c r="G15" i="11"/>
  <c r="D19" i="11"/>
  <c r="K24" i="11"/>
  <c r="H8" i="11"/>
  <c r="D29" i="11"/>
  <c r="D24" i="11"/>
  <c r="D13" i="11"/>
  <c r="E34" i="11"/>
  <c r="E39" i="11" s="1"/>
  <c r="L25" i="11"/>
  <c r="L20" i="11"/>
  <c r="G16" i="11"/>
  <c r="L9" i="11"/>
  <c r="C34" i="11"/>
  <c r="G30" i="11"/>
  <c r="L30" i="11"/>
  <c r="L27" i="11"/>
  <c r="L11" i="11"/>
  <c r="D22" i="11"/>
  <c r="G25" i="11"/>
  <c r="K25" i="11"/>
  <c r="K22" i="11"/>
  <c r="K19" i="11"/>
  <c r="G9" i="11"/>
  <c r="K9" i="11"/>
  <c r="D31" i="11"/>
  <c r="D23" i="11"/>
  <c r="D15" i="11"/>
  <c r="L8" i="11"/>
  <c r="G32" i="11"/>
  <c r="L31" i="11"/>
  <c r="K28" i="11"/>
  <c r="G26" i="11"/>
  <c r="G24" i="11"/>
  <c r="L23" i="11"/>
  <c r="L21" i="11"/>
  <c r="K20" i="11"/>
  <c r="L15" i="11"/>
  <c r="L13" i="11"/>
  <c r="K12" i="11"/>
  <c r="G10" i="11"/>
  <c r="L10" i="11"/>
  <c r="G22" i="11"/>
  <c r="L22" i="11"/>
  <c r="L19" i="11"/>
  <c r="G14" i="11"/>
  <c r="L14" i="11"/>
  <c r="D30" i="11"/>
  <c r="D14" i="11"/>
  <c r="K8" i="11"/>
  <c r="G33" i="11"/>
  <c r="K33" i="11"/>
  <c r="K30" i="11"/>
  <c r="K27" i="11"/>
  <c r="G17" i="11"/>
  <c r="K17" i="11"/>
  <c r="K14" i="11"/>
  <c r="K11" i="11"/>
  <c r="D8" i="11"/>
  <c r="G8" i="11"/>
  <c r="L32" i="11"/>
  <c r="K31" i="11"/>
  <c r="G29" i="11"/>
  <c r="K29" i="11"/>
  <c r="G27" i="11"/>
  <c r="K26" i="11"/>
  <c r="L24" i="11"/>
  <c r="K23" i="11"/>
  <c r="G21" i="11"/>
  <c r="K21" i="11"/>
  <c r="G19" i="11"/>
  <c r="L16" i="11"/>
  <c r="K15" i="11"/>
  <c r="G13" i="11"/>
  <c r="K13" i="11"/>
  <c r="G11" i="11"/>
  <c r="K10" i="11"/>
  <c r="J16" i="11" l="1"/>
  <c r="J12" i="11"/>
  <c r="C35" i="11"/>
  <c r="D35" i="11" s="1"/>
  <c r="G35" i="11"/>
  <c r="J9" i="11"/>
  <c r="J25" i="11"/>
  <c r="J27" i="11"/>
  <c r="L34" i="11"/>
  <c r="J22" i="11"/>
  <c r="J26" i="11"/>
  <c r="K34" i="11"/>
  <c r="J28" i="11"/>
  <c r="J19" i="11"/>
  <c r="J29" i="11"/>
  <c r="J33" i="11"/>
  <c r="J21" i="11"/>
  <c r="J20" i="11"/>
  <c r="J31" i="11"/>
  <c r="J32" i="11"/>
  <c r="J17" i="11"/>
  <c r="J13" i="11"/>
  <c r="J23" i="11"/>
  <c r="J30" i="11"/>
  <c r="J11" i="11"/>
  <c r="J10" i="11"/>
  <c r="J15" i="11"/>
  <c r="J14" i="11"/>
  <c r="D34" i="11"/>
  <c r="H34" i="11"/>
  <c r="J8" i="11"/>
  <c r="J24" i="11"/>
  <c r="G34" i="11"/>
  <c r="J35" i="11" l="1"/>
  <c r="F39" i="11"/>
  <c r="C39" i="11"/>
  <c r="J34" i="11"/>
  <c r="U36" i="6"/>
  <c r="K49" i="6"/>
  <c r="L49" i="6"/>
  <c r="M49" i="6"/>
  <c r="K50" i="6"/>
  <c r="L50" i="6"/>
  <c r="M50" i="6"/>
  <c r="B41" i="7" l="1"/>
  <c r="B40" i="7"/>
  <c r="B42" i="7" l="1"/>
  <c r="R131" i="6"/>
  <c r="Q131" i="6"/>
  <c r="N130" i="6"/>
  <c r="O130" i="6"/>
  <c r="P130" i="6"/>
  <c r="P113" i="6"/>
  <c r="O113" i="6"/>
  <c r="N113" i="6"/>
  <c r="K108" i="6"/>
  <c r="L108" i="6"/>
  <c r="M108" i="6"/>
  <c r="S82" i="6" l="1"/>
  <c r="Q63" i="6"/>
  <c r="Q65" i="6"/>
  <c r="R65" i="6"/>
  <c r="Q53" i="6"/>
  <c r="R53" i="6"/>
  <c r="S53" i="6"/>
  <c r="Q54" i="6"/>
  <c r="R54" i="6"/>
  <c r="Q56" i="6"/>
  <c r="R56" i="6"/>
  <c r="Q58" i="6"/>
  <c r="R58" i="6"/>
  <c r="Q59" i="6"/>
  <c r="R59" i="6"/>
  <c r="Q61" i="6"/>
  <c r="R61" i="6"/>
  <c r="Q66" i="6"/>
  <c r="R66" i="6"/>
  <c r="Q69" i="6"/>
  <c r="R69" i="6"/>
  <c r="Q73" i="6"/>
  <c r="R73" i="6"/>
  <c r="Q75" i="6"/>
  <c r="R75" i="6"/>
  <c r="Q77" i="6"/>
  <c r="S77" i="6"/>
  <c r="Q79" i="6"/>
  <c r="R79" i="6"/>
  <c r="S79" i="6"/>
  <c r="Q80" i="6"/>
  <c r="R80" i="6"/>
  <c r="Q82" i="6"/>
  <c r="R82" i="6"/>
  <c r="Q84" i="6"/>
  <c r="Q86" i="6"/>
  <c r="R86" i="6"/>
  <c r="Q87" i="6"/>
  <c r="R87" i="6"/>
  <c r="Q89" i="6"/>
  <c r="R89" i="6"/>
  <c r="Q91" i="6"/>
  <c r="R91" i="6"/>
  <c r="Q92" i="6"/>
  <c r="R92" i="6"/>
  <c r="Q95" i="6"/>
  <c r="R95" i="6"/>
  <c r="Q97" i="6"/>
  <c r="R97" i="6"/>
  <c r="Q99" i="6"/>
  <c r="R99" i="6"/>
  <c r="Q101" i="6"/>
  <c r="R101" i="6"/>
  <c r="Q105" i="6"/>
  <c r="R105" i="6"/>
  <c r="S105" i="6"/>
  <c r="Q107" i="6"/>
  <c r="S107" i="6"/>
  <c r="Q109" i="6"/>
  <c r="R109" i="6"/>
  <c r="Q111" i="6"/>
  <c r="R111" i="6"/>
  <c r="Q115" i="6"/>
  <c r="R115" i="6"/>
  <c r="Q116" i="6"/>
  <c r="R116" i="6"/>
  <c r="S116" i="6"/>
  <c r="Q117" i="6"/>
  <c r="R117" i="6"/>
  <c r="Q119" i="6"/>
  <c r="R119" i="6"/>
  <c r="Q120" i="6"/>
  <c r="R120" i="6"/>
  <c r="N171" i="6" l="1"/>
  <c r="O171" i="6"/>
  <c r="P171" i="6"/>
  <c r="N172" i="6"/>
  <c r="O172" i="6"/>
  <c r="P172" i="6"/>
  <c r="S120" i="6"/>
  <c r="S117" i="6"/>
  <c r="S111" i="6"/>
  <c r="S101" i="6"/>
  <c r="S99" i="6"/>
  <c r="S97" i="6"/>
  <c r="S95" i="6"/>
  <c r="N101" i="6"/>
  <c r="O101" i="6"/>
  <c r="S92" i="6"/>
  <c r="S91" i="6"/>
  <c r="S89" i="6"/>
  <c r="S87" i="6"/>
  <c r="S84" i="6"/>
  <c r="S80" i="6"/>
  <c r="Q129" i="6"/>
  <c r="R129" i="6"/>
  <c r="K122" i="6"/>
  <c r="L122" i="6"/>
  <c r="M122" i="6"/>
  <c r="K127" i="6"/>
  <c r="L127" i="6"/>
  <c r="M127" i="6"/>
  <c r="R94" i="6"/>
  <c r="R78" i="6"/>
  <c r="Q71" i="6"/>
  <c r="S75" i="6"/>
  <c r="S73" i="6"/>
  <c r="S69" i="6"/>
  <c r="S59" i="6"/>
  <c r="S54" i="6"/>
  <c r="S109" i="6" l="1"/>
  <c r="Q78" i="6"/>
  <c r="Q94" i="6"/>
  <c r="R71" i="6"/>
  <c r="S103" i="6"/>
  <c r="R103" i="6"/>
  <c r="Q103" i="6"/>
  <c r="S94" i="6"/>
  <c r="S71" i="6"/>
  <c r="P101" i="6"/>
  <c r="S78" i="6"/>
  <c r="S66" i="6" l="1"/>
  <c r="S63" i="6"/>
  <c r="P64" i="6"/>
  <c r="O64" i="6"/>
  <c r="N64" i="6"/>
  <c r="S61" i="6"/>
  <c r="S56" i="6"/>
  <c r="R31" i="6" l="1"/>
  <c r="Q31" i="6"/>
  <c r="P173" i="6" l="1"/>
  <c r="O173" i="6"/>
  <c r="N173" i="6"/>
  <c r="P170" i="6"/>
  <c r="O170" i="6"/>
  <c r="N170" i="6"/>
  <c r="P169" i="6"/>
  <c r="O169" i="6"/>
  <c r="N169" i="6"/>
  <c r="P168" i="6"/>
  <c r="O168" i="6"/>
  <c r="N168" i="6"/>
  <c r="S167" i="6"/>
  <c r="R167" i="6"/>
  <c r="Q167" i="6"/>
  <c r="P167" i="6"/>
  <c r="O167" i="6"/>
  <c r="N167" i="6"/>
  <c r="M166" i="6"/>
  <c r="L166" i="6"/>
  <c r="K166" i="6"/>
  <c r="R164" i="6"/>
  <c r="O164" i="6"/>
  <c r="R163" i="6"/>
  <c r="O163" i="6"/>
  <c r="R162" i="6"/>
  <c r="O162" i="6"/>
  <c r="M161" i="6"/>
  <c r="L161" i="6"/>
  <c r="K161" i="6"/>
  <c r="S160" i="6"/>
  <c r="R160" i="6"/>
  <c r="Q160" i="6"/>
  <c r="P160" i="6"/>
  <c r="O160" i="6"/>
  <c r="N160" i="6"/>
  <c r="M159" i="6"/>
  <c r="L159" i="6"/>
  <c r="K159" i="6"/>
  <c r="R158" i="6"/>
  <c r="Q158" i="6"/>
  <c r="P158" i="6"/>
  <c r="O158" i="6"/>
  <c r="N158" i="6"/>
  <c r="S157" i="6"/>
  <c r="R157" i="6"/>
  <c r="Q157" i="6"/>
  <c r="P157" i="6"/>
  <c r="O157" i="6"/>
  <c r="N157" i="6"/>
  <c r="P156" i="6"/>
  <c r="O156" i="6"/>
  <c r="N156" i="6"/>
  <c r="S153" i="6"/>
  <c r="Q153" i="6"/>
  <c r="P153" i="6"/>
  <c r="O153" i="6"/>
  <c r="N153" i="6"/>
  <c r="S151" i="6"/>
  <c r="R151" i="6"/>
  <c r="Q151" i="6"/>
  <c r="P151" i="6"/>
  <c r="O151" i="6"/>
  <c r="N151" i="6"/>
  <c r="S149" i="6"/>
  <c r="R149" i="6"/>
  <c r="Q149" i="6"/>
  <c r="P149" i="6"/>
  <c r="O149" i="6"/>
  <c r="N149" i="6"/>
  <c r="S147" i="6"/>
  <c r="Q147" i="6"/>
  <c r="P147" i="6"/>
  <c r="O147" i="6"/>
  <c r="N147" i="6"/>
  <c r="S144" i="6"/>
  <c r="R144" i="6"/>
  <c r="Q144" i="6"/>
  <c r="P144" i="6"/>
  <c r="O144" i="6"/>
  <c r="N144" i="6"/>
  <c r="S142" i="6"/>
  <c r="R142" i="6"/>
  <c r="Q142" i="6"/>
  <c r="P142" i="6"/>
  <c r="O142" i="6"/>
  <c r="N142" i="6"/>
  <c r="S140" i="6"/>
  <c r="R140" i="6"/>
  <c r="Q140" i="6"/>
  <c r="P140" i="6"/>
  <c r="O140" i="6"/>
  <c r="N140" i="6"/>
  <c r="S139" i="6"/>
  <c r="R139" i="6"/>
  <c r="Q139" i="6"/>
  <c r="P139" i="6"/>
  <c r="O139" i="6"/>
  <c r="N139" i="6"/>
  <c r="S137" i="6"/>
  <c r="R137" i="6"/>
  <c r="Q137" i="6"/>
  <c r="P137" i="6"/>
  <c r="O137" i="6"/>
  <c r="N137" i="6"/>
  <c r="S135" i="6"/>
  <c r="R135" i="6"/>
  <c r="Q135" i="6"/>
  <c r="P135" i="6"/>
  <c r="O135" i="6"/>
  <c r="N135" i="6"/>
  <c r="P134" i="6"/>
  <c r="O134" i="6"/>
  <c r="N134" i="6"/>
  <c r="R133" i="6"/>
  <c r="Q133" i="6"/>
  <c r="P133" i="6"/>
  <c r="O133" i="6"/>
  <c r="N133" i="6"/>
  <c r="R132" i="6"/>
  <c r="Q132" i="6"/>
  <c r="P132" i="6"/>
  <c r="O132" i="6"/>
  <c r="N132" i="6"/>
  <c r="P131" i="6"/>
  <c r="O131" i="6"/>
  <c r="N131" i="6"/>
  <c r="P129" i="6"/>
  <c r="O129" i="6"/>
  <c r="N129" i="6"/>
  <c r="R128" i="6"/>
  <c r="Q128" i="6"/>
  <c r="P128" i="6"/>
  <c r="O128" i="6"/>
  <c r="N128" i="6"/>
  <c r="S125" i="6"/>
  <c r="R125" i="6"/>
  <c r="Q125" i="6"/>
  <c r="P125" i="6"/>
  <c r="O125" i="6"/>
  <c r="N125" i="6"/>
  <c r="S123" i="6"/>
  <c r="R123" i="6"/>
  <c r="Q123" i="6"/>
  <c r="P123" i="6"/>
  <c r="O123" i="6"/>
  <c r="N123" i="6"/>
  <c r="P120" i="6"/>
  <c r="O120" i="6"/>
  <c r="N120" i="6"/>
  <c r="P119" i="6"/>
  <c r="O119" i="6"/>
  <c r="N119" i="6"/>
  <c r="P117" i="6"/>
  <c r="O117" i="6"/>
  <c r="N117" i="6"/>
  <c r="P116" i="6"/>
  <c r="O116" i="6"/>
  <c r="N116" i="6"/>
  <c r="P115" i="6"/>
  <c r="O115" i="6"/>
  <c r="N115" i="6"/>
  <c r="P111" i="6"/>
  <c r="O111" i="6"/>
  <c r="N111" i="6"/>
  <c r="P109" i="6"/>
  <c r="O109" i="6"/>
  <c r="N109" i="6"/>
  <c r="S108" i="6"/>
  <c r="R108" i="6"/>
  <c r="Q108" i="6"/>
  <c r="P107" i="6"/>
  <c r="O107" i="6"/>
  <c r="N107" i="6"/>
  <c r="P105" i="6"/>
  <c r="O105" i="6"/>
  <c r="N105" i="6"/>
  <c r="P104" i="6"/>
  <c r="O104" i="6"/>
  <c r="N104" i="6"/>
  <c r="P99" i="6"/>
  <c r="O99" i="6"/>
  <c r="N99" i="6"/>
  <c r="P95" i="6"/>
  <c r="O95" i="6"/>
  <c r="N95" i="6"/>
  <c r="P92" i="6"/>
  <c r="O92" i="6"/>
  <c r="N92" i="6"/>
  <c r="P91" i="6"/>
  <c r="O91" i="6"/>
  <c r="N91" i="6"/>
  <c r="P89" i="6"/>
  <c r="O89" i="6"/>
  <c r="N89" i="6"/>
  <c r="P87" i="6"/>
  <c r="O87" i="6"/>
  <c r="N87" i="6"/>
  <c r="P86" i="6"/>
  <c r="O86" i="6"/>
  <c r="N86" i="6"/>
  <c r="P84" i="6"/>
  <c r="O84" i="6"/>
  <c r="N84" i="6"/>
  <c r="P82" i="6"/>
  <c r="O82" i="6"/>
  <c r="N82" i="6"/>
  <c r="P80" i="6"/>
  <c r="O80" i="6"/>
  <c r="N80" i="6"/>
  <c r="P79" i="6"/>
  <c r="O79" i="6"/>
  <c r="N79" i="6"/>
  <c r="P77" i="6"/>
  <c r="O77" i="6"/>
  <c r="N77" i="6"/>
  <c r="P75" i="6"/>
  <c r="O75" i="6"/>
  <c r="N75" i="6"/>
  <c r="P73" i="6"/>
  <c r="O73" i="6"/>
  <c r="N73" i="6"/>
  <c r="P72" i="6"/>
  <c r="O72" i="6"/>
  <c r="N72" i="6"/>
  <c r="M71" i="6"/>
  <c r="L71" i="6"/>
  <c r="K71" i="6"/>
  <c r="P69" i="6"/>
  <c r="O69" i="6"/>
  <c r="N69" i="6"/>
  <c r="S68" i="6"/>
  <c r="R68" i="6"/>
  <c r="Q68" i="6"/>
  <c r="P66" i="6"/>
  <c r="O66" i="6"/>
  <c r="N66" i="6"/>
  <c r="P65" i="6"/>
  <c r="O65" i="6"/>
  <c r="N65" i="6"/>
  <c r="P63" i="6"/>
  <c r="O63" i="6"/>
  <c r="N63" i="6"/>
  <c r="P61" i="6"/>
  <c r="O61" i="6"/>
  <c r="N61" i="6"/>
  <c r="P59" i="6"/>
  <c r="O59" i="6"/>
  <c r="N59" i="6"/>
  <c r="P58" i="6"/>
  <c r="O58" i="6"/>
  <c r="N58" i="6"/>
  <c r="P56" i="6"/>
  <c r="O56" i="6"/>
  <c r="N56" i="6"/>
  <c r="P54" i="6"/>
  <c r="O54" i="6"/>
  <c r="N54" i="6"/>
  <c r="P53" i="6"/>
  <c r="O53" i="6"/>
  <c r="N53" i="6"/>
  <c r="J50" i="6"/>
  <c r="I50" i="6"/>
  <c r="G50" i="6"/>
  <c r="F50" i="6"/>
  <c r="E50" i="6"/>
  <c r="D50" i="6"/>
  <c r="C50" i="6"/>
  <c r="B50" i="6"/>
  <c r="J49" i="6"/>
  <c r="I49" i="6"/>
  <c r="H49" i="6"/>
  <c r="G49" i="6"/>
  <c r="F49" i="6"/>
  <c r="E49" i="6"/>
  <c r="D49" i="6"/>
  <c r="C49" i="6"/>
  <c r="B49" i="6"/>
  <c r="S48" i="6"/>
  <c r="R48" i="6"/>
  <c r="Q48" i="6"/>
  <c r="S47" i="6"/>
  <c r="R47" i="6"/>
  <c r="Q47" i="6"/>
  <c r="P47" i="6"/>
  <c r="O47" i="6"/>
  <c r="N47" i="6"/>
  <c r="S46" i="6"/>
  <c r="R46" i="6"/>
  <c r="Q46" i="6"/>
  <c r="P46" i="6"/>
  <c r="O46" i="6"/>
  <c r="N46" i="6"/>
  <c r="S45" i="6"/>
  <c r="R45" i="6"/>
  <c r="Q45" i="6"/>
  <c r="P45" i="6"/>
  <c r="O45" i="6"/>
  <c r="N45" i="6"/>
  <c r="S44" i="6"/>
  <c r="Q44" i="6"/>
  <c r="P44" i="6"/>
  <c r="O44" i="6"/>
  <c r="N44" i="6"/>
  <c r="S43" i="6"/>
  <c r="R43" i="6"/>
  <c r="Q43" i="6"/>
  <c r="P43" i="6"/>
  <c r="O43" i="6"/>
  <c r="N43" i="6"/>
  <c r="S42" i="6"/>
  <c r="R42" i="6"/>
  <c r="Q42" i="6"/>
  <c r="P42" i="6"/>
  <c r="O42" i="6"/>
  <c r="N42" i="6"/>
  <c r="S41" i="6"/>
  <c r="R41" i="6"/>
  <c r="Q41" i="6"/>
  <c r="P41" i="6"/>
  <c r="O41" i="6"/>
  <c r="N41" i="6"/>
  <c r="P40" i="6"/>
  <c r="O40" i="6"/>
  <c r="N40" i="6"/>
  <c r="S39" i="6"/>
  <c r="R39" i="6"/>
  <c r="Q39" i="6"/>
  <c r="P39" i="6"/>
  <c r="O39" i="6"/>
  <c r="N39" i="6"/>
  <c r="S38" i="6"/>
  <c r="R38" i="6"/>
  <c r="Q38" i="6"/>
  <c r="P38" i="6"/>
  <c r="O38" i="6"/>
  <c r="N38" i="6"/>
  <c r="S37" i="6"/>
  <c r="R37" i="6"/>
  <c r="Q37" i="6"/>
  <c r="P37" i="6"/>
  <c r="O37" i="6"/>
  <c r="N37" i="6"/>
  <c r="S36" i="6"/>
  <c r="R36" i="6"/>
  <c r="Q36" i="6"/>
  <c r="P36" i="6"/>
  <c r="O36" i="6"/>
  <c r="N36" i="6"/>
  <c r="S35" i="6"/>
  <c r="R35" i="6"/>
  <c r="Q35" i="6"/>
  <c r="P35" i="6"/>
  <c r="O35" i="6"/>
  <c r="N35" i="6"/>
  <c r="S34" i="6"/>
  <c r="R34" i="6"/>
  <c r="Q34" i="6"/>
  <c r="P34" i="6"/>
  <c r="O34" i="6"/>
  <c r="N34" i="6"/>
  <c r="S33" i="6"/>
  <c r="R33" i="6"/>
  <c r="Q33" i="6"/>
  <c r="P33" i="6"/>
  <c r="O33" i="6"/>
  <c r="N33" i="6"/>
  <c r="R32" i="6"/>
  <c r="Q32" i="6"/>
  <c r="P32" i="6"/>
  <c r="O32" i="6"/>
  <c r="N32" i="6"/>
  <c r="P31" i="6"/>
  <c r="O31" i="6"/>
  <c r="N31" i="6"/>
  <c r="S30" i="6"/>
  <c r="R30" i="6"/>
  <c r="Q30" i="6"/>
  <c r="P30" i="6"/>
  <c r="O30" i="6"/>
  <c r="N30" i="6"/>
  <c r="S29" i="6"/>
  <c r="R29" i="6"/>
  <c r="Q29" i="6"/>
  <c r="P29" i="6"/>
  <c r="O29" i="6"/>
  <c r="N29" i="6"/>
  <c r="S28" i="6"/>
  <c r="R28" i="6"/>
  <c r="Q28" i="6"/>
  <c r="P28" i="6"/>
  <c r="O28" i="6"/>
  <c r="N28" i="6"/>
  <c r="S27" i="6"/>
  <c r="R27" i="6"/>
  <c r="Q27" i="6"/>
  <c r="P27" i="6"/>
  <c r="O27" i="6"/>
  <c r="N27" i="6"/>
  <c r="S26" i="6"/>
  <c r="R26" i="6"/>
  <c r="Q26" i="6"/>
  <c r="P26" i="6"/>
  <c r="O26" i="6"/>
  <c r="N26" i="6"/>
  <c r="R25" i="6"/>
  <c r="Q25" i="6"/>
  <c r="P25" i="6"/>
  <c r="O25" i="6"/>
  <c r="N25" i="6"/>
  <c r="R24" i="6"/>
  <c r="Q24" i="6"/>
  <c r="P24" i="6"/>
  <c r="O24" i="6"/>
  <c r="N24" i="6"/>
  <c r="S23" i="6"/>
  <c r="Q23" i="6"/>
  <c r="P23" i="6"/>
  <c r="O23" i="6"/>
  <c r="N23" i="6"/>
  <c r="R22" i="6"/>
  <c r="Q22" i="6"/>
  <c r="P22" i="6"/>
  <c r="O22" i="6"/>
  <c r="N22" i="6"/>
  <c r="R21" i="6"/>
  <c r="Q21" i="6"/>
  <c r="P21" i="6"/>
  <c r="O21" i="6"/>
  <c r="N21" i="6"/>
  <c r="O20" i="6"/>
  <c r="P20" i="6"/>
  <c r="Q20" i="6"/>
  <c r="S19" i="6"/>
  <c r="R19" i="6"/>
  <c r="Q19" i="6"/>
  <c r="P19" i="6"/>
  <c r="O19" i="6"/>
  <c r="N19" i="6"/>
  <c r="S14" i="6"/>
  <c r="R14" i="6"/>
  <c r="Q14" i="6"/>
  <c r="P14" i="6"/>
  <c r="O14" i="6"/>
  <c r="N14" i="6"/>
  <c r="S13" i="6"/>
  <c r="R13" i="6"/>
  <c r="Q13" i="6"/>
  <c r="P13" i="6"/>
  <c r="O13" i="6"/>
  <c r="N13" i="6"/>
  <c r="S12" i="6"/>
  <c r="R12" i="6"/>
  <c r="Q12" i="6"/>
  <c r="P12" i="6"/>
  <c r="O12" i="6"/>
  <c r="N12" i="6"/>
  <c r="R11" i="6"/>
  <c r="Q11" i="6"/>
  <c r="P11" i="6"/>
  <c r="O11" i="6"/>
  <c r="N11" i="6"/>
  <c r="S10" i="6"/>
  <c r="R10" i="6"/>
  <c r="Q10" i="6"/>
  <c r="P10" i="6"/>
  <c r="O10" i="6"/>
  <c r="N10" i="6"/>
  <c r="P48" i="6" l="1"/>
  <c r="N48" i="6"/>
  <c r="O48" i="6"/>
  <c r="P50" i="6"/>
  <c r="N49" i="6"/>
  <c r="O49" i="6"/>
  <c r="T36" i="6"/>
  <c r="T28" i="6"/>
  <c r="U37" i="6"/>
  <c r="P49" i="6"/>
  <c r="O50" i="6"/>
  <c r="N108" i="6"/>
  <c r="P108" i="6"/>
  <c r="P127" i="6"/>
  <c r="N127" i="6"/>
  <c r="S159" i="6"/>
  <c r="N159" i="6"/>
  <c r="O68" i="6"/>
  <c r="N78" i="6"/>
  <c r="S52" i="6"/>
  <c r="O161" i="6"/>
  <c r="Q136" i="6"/>
  <c r="S136" i="6"/>
  <c r="O127" i="6"/>
  <c r="B165" i="6"/>
  <c r="B166" i="6" s="1"/>
  <c r="F165" i="6"/>
  <c r="F166" i="6" s="1"/>
  <c r="O78" i="6"/>
  <c r="N103" i="6"/>
  <c r="P103" i="6"/>
  <c r="N122" i="6"/>
  <c r="P122" i="6"/>
  <c r="R146" i="6"/>
  <c r="N155" i="6"/>
  <c r="P155" i="6"/>
  <c r="R50" i="6"/>
  <c r="O103" i="6"/>
  <c r="O136" i="6"/>
  <c r="S20" i="6"/>
  <c r="C165" i="6"/>
  <c r="C166" i="6" s="1"/>
  <c r="G165" i="6"/>
  <c r="G166" i="6" s="1"/>
  <c r="P52" i="6"/>
  <c r="S49" i="6"/>
  <c r="Q49" i="6"/>
  <c r="N52" i="6"/>
  <c r="P68" i="6"/>
  <c r="N68" i="6"/>
  <c r="P71" i="6"/>
  <c r="N71" i="6"/>
  <c r="O94" i="6"/>
  <c r="R127" i="6"/>
  <c r="P136" i="6"/>
  <c r="O146" i="6"/>
  <c r="O155" i="6"/>
  <c r="O159" i="6"/>
  <c r="E165" i="6"/>
  <c r="E166" i="6" s="1"/>
  <c r="O52" i="6"/>
  <c r="P78" i="6"/>
  <c r="N94" i="6"/>
  <c r="P94" i="6"/>
  <c r="O108" i="6"/>
  <c r="S122" i="6"/>
  <c r="Q122" i="6"/>
  <c r="N136" i="6"/>
  <c r="S146" i="6"/>
  <c r="N146" i="6"/>
  <c r="S155" i="6"/>
  <c r="Q155" i="6"/>
  <c r="N20" i="6"/>
  <c r="R49" i="6"/>
  <c r="S50" i="6"/>
  <c r="O71" i="6"/>
  <c r="R122" i="6"/>
  <c r="S127" i="6"/>
  <c r="R155" i="6"/>
  <c r="P159" i="6"/>
  <c r="D165" i="6"/>
  <c r="D166" i="6" s="1"/>
  <c r="Q52" i="6"/>
  <c r="P146" i="6"/>
  <c r="Q159" i="6"/>
  <c r="R161" i="6"/>
  <c r="I165" i="6"/>
  <c r="U127" i="6" s="1"/>
  <c r="Q50" i="6"/>
  <c r="R52" i="6"/>
  <c r="Q127" i="6"/>
  <c r="R136" i="6"/>
  <c r="Q146" i="6"/>
  <c r="R159" i="6"/>
  <c r="J165" i="6"/>
  <c r="H165" i="6"/>
  <c r="T136" i="6" l="1"/>
  <c r="T108" i="6"/>
  <c r="T127" i="6"/>
  <c r="V127" i="6"/>
  <c r="V108" i="6"/>
  <c r="V136" i="6"/>
  <c r="U108" i="6"/>
  <c r="U136" i="6"/>
  <c r="S165" i="6"/>
  <c r="J166" i="6"/>
  <c r="P165" i="6"/>
  <c r="H166" i="6"/>
  <c r="N165" i="6"/>
  <c r="Q165" i="6"/>
  <c r="R165" i="6"/>
  <c r="I166" i="6"/>
  <c r="O165" i="6"/>
  <c r="O166" i="6" l="1"/>
  <c r="N166" i="6"/>
  <c r="P166" i="6"/>
  <c r="N10" i="2" l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9" i="2"/>
  <c r="O9" i="2"/>
  <c r="E9" i="4"/>
  <c r="DN7" i="3"/>
  <c r="F9" i="4" s="1"/>
  <c r="G9" i="4" l="1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C9" i="4"/>
  <c r="AS8" i="3"/>
  <c r="AY8" i="3"/>
  <c r="C10" i="4"/>
  <c r="AS9" i="3"/>
  <c r="AY9" i="3"/>
  <c r="C11" i="4"/>
  <c r="AS10" i="3"/>
  <c r="AY10" i="3"/>
  <c r="C12" i="4"/>
  <c r="D11" i="4" l="1"/>
  <c r="D9" i="4"/>
  <c r="D10" i="4"/>
  <c r="D12" i="4"/>
  <c r="S8" i="3"/>
  <c r="BA8" i="3" s="1"/>
  <c r="AZ38" i="3" s="1"/>
  <c r="S9" i="3"/>
  <c r="BA9" i="3" s="1"/>
  <c r="S10" i="3"/>
  <c r="BA10" i="3" s="1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AZ39" i="3" l="1"/>
  <c r="AZ40" i="3"/>
  <c r="O8" i="3"/>
  <c r="AZ8" i="3" s="1"/>
  <c r="BB8" i="3" s="1"/>
  <c r="O9" i="3"/>
  <c r="AZ9" i="3" s="1"/>
  <c r="BB9" i="3" s="1"/>
  <c r="O10" i="3"/>
  <c r="AZ10" i="3" s="1"/>
  <c r="BB10" i="3" s="1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AZ37" i="3" l="1"/>
  <c r="CK33" i="3"/>
  <c r="CL33" i="3"/>
  <c r="CV33" i="3"/>
  <c r="CU33" i="3"/>
  <c r="CO33" i="3"/>
  <c r="CH33" i="3"/>
  <c r="CF33" i="3"/>
  <c r="CA33" i="3"/>
  <c r="BW33" i="3"/>
  <c r="BT33" i="3"/>
  <c r="BR33" i="3"/>
  <c r="BO33" i="3"/>
  <c r="BM33" i="3"/>
  <c r="AI33" i="3"/>
  <c r="AG33" i="3"/>
  <c r="DN32" i="3"/>
  <c r="F34" i="4" s="1"/>
  <c r="DL32" i="3"/>
  <c r="E34" i="4" s="1"/>
  <c r="DG32" i="3"/>
  <c r="DB32" i="3"/>
  <c r="CW32" i="3"/>
  <c r="O34" i="2" s="1"/>
  <c r="CP32" i="3"/>
  <c r="CI32" i="3"/>
  <c r="O34" i="4" s="1"/>
  <c r="CG32" i="3"/>
  <c r="N34" i="4" s="1"/>
  <c r="CB32" i="3"/>
  <c r="CC32" i="3" s="1"/>
  <c r="BX32" i="3"/>
  <c r="K34" i="4" s="1"/>
  <c r="BU32" i="3"/>
  <c r="R34" i="4" s="1"/>
  <c r="BS32" i="3"/>
  <c r="Q34" i="4" s="1"/>
  <c r="BP32" i="3"/>
  <c r="I34" i="4" s="1"/>
  <c r="BN32" i="3"/>
  <c r="H34" i="4" s="1"/>
  <c r="BL32" i="3"/>
  <c r="C34" i="4" s="1"/>
  <c r="BG32" i="3"/>
  <c r="B34" i="4" s="1"/>
  <c r="AY32" i="3"/>
  <c r="AS32" i="3"/>
  <c r="AC32" i="3"/>
  <c r="X32" i="3"/>
  <c r="K32" i="3"/>
  <c r="F32" i="3"/>
  <c r="DN31" i="3"/>
  <c r="F33" i="4" s="1"/>
  <c r="DL31" i="3"/>
  <c r="E33" i="4" s="1"/>
  <c r="DG31" i="3"/>
  <c r="DB31" i="3"/>
  <c r="CW31" i="3"/>
  <c r="O33" i="2" s="1"/>
  <c r="CP31" i="3"/>
  <c r="CI31" i="3"/>
  <c r="O33" i="4" s="1"/>
  <c r="CG31" i="3"/>
  <c r="N33" i="4" s="1"/>
  <c r="CB31" i="3"/>
  <c r="BX31" i="3"/>
  <c r="K33" i="4" s="1"/>
  <c r="BU31" i="3"/>
  <c r="R33" i="4" s="1"/>
  <c r="BS31" i="3"/>
  <c r="Q33" i="4" s="1"/>
  <c r="BP31" i="3"/>
  <c r="I33" i="4" s="1"/>
  <c r="BN31" i="3"/>
  <c r="H33" i="4" s="1"/>
  <c r="BL31" i="3"/>
  <c r="C33" i="4" s="1"/>
  <c r="BG31" i="3"/>
  <c r="B33" i="4" s="1"/>
  <c r="AY31" i="3"/>
  <c r="AS31" i="3"/>
  <c r="AC31" i="3"/>
  <c r="X31" i="3"/>
  <c r="K31" i="3"/>
  <c r="F31" i="3"/>
  <c r="DN30" i="3"/>
  <c r="F32" i="4" s="1"/>
  <c r="DL30" i="3"/>
  <c r="E32" i="4" s="1"/>
  <c r="DG30" i="3"/>
  <c r="DB30" i="3"/>
  <c r="CW30" i="3"/>
  <c r="O32" i="2" s="1"/>
  <c r="CP30" i="3"/>
  <c r="CI30" i="3"/>
  <c r="O32" i="4" s="1"/>
  <c r="CG30" i="3"/>
  <c r="N32" i="4" s="1"/>
  <c r="CB30" i="3"/>
  <c r="BX30" i="3"/>
  <c r="K32" i="4" s="1"/>
  <c r="BU30" i="3"/>
  <c r="R32" i="4" s="1"/>
  <c r="BS30" i="3"/>
  <c r="Q32" i="4" s="1"/>
  <c r="BP30" i="3"/>
  <c r="I32" i="4" s="1"/>
  <c r="BN30" i="3"/>
  <c r="H32" i="4" s="1"/>
  <c r="BL30" i="3"/>
  <c r="C32" i="4" s="1"/>
  <c r="BG30" i="3"/>
  <c r="B32" i="4" s="1"/>
  <c r="AY30" i="3"/>
  <c r="AS30" i="3"/>
  <c r="AC30" i="3"/>
  <c r="X30" i="3"/>
  <c r="K30" i="3"/>
  <c r="F30" i="3"/>
  <c r="DN29" i="3"/>
  <c r="F31" i="4" s="1"/>
  <c r="DL29" i="3"/>
  <c r="E31" i="4" s="1"/>
  <c r="DG29" i="3"/>
  <c r="DB29" i="3"/>
  <c r="CW29" i="3"/>
  <c r="O31" i="2" s="1"/>
  <c r="CP29" i="3"/>
  <c r="CI29" i="3"/>
  <c r="O31" i="4" s="1"/>
  <c r="CG29" i="3"/>
  <c r="N31" i="4" s="1"/>
  <c r="CB29" i="3"/>
  <c r="BX29" i="3"/>
  <c r="K31" i="4" s="1"/>
  <c r="BU29" i="3"/>
  <c r="R31" i="4" s="1"/>
  <c r="BS29" i="3"/>
  <c r="Q31" i="4" s="1"/>
  <c r="BP29" i="3"/>
  <c r="I31" i="4" s="1"/>
  <c r="BN29" i="3"/>
  <c r="H31" i="4" s="1"/>
  <c r="BL29" i="3"/>
  <c r="C31" i="4" s="1"/>
  <c r="BG29" i="3"/>
  <c r="B31" i="4" s="1"/>
  <c r="AY29" i="3"/>
  <c r="AS29" i="3"/>
  <c r="AC29" i="3"/>
  <c r="X29" i="3"/>
  <c r="K29" i="3"/>
  <c r="F29" i="3"/>
  <c r="DN28" i="3"/>
  <c r="F30" i="4" s="1"/>
  <c r="DL28" i="3"/>
  <c r="E30" i="4" s="1"/>
  <c r="DG28" i="3"/>
  <c r="DB28" i="3"/>
  <c r="CW28" i="3"/>
  <c r="O30" i="2" s="1"/>
  <c r="CP28" i="3"/>
  <c r="CI28" i="3"/>
  <c r="O30" i="4" s="1"/>
  <c r="CG28" i="3"/>
  <c r="N30" i="4" s="1"/>
  <c r="CB28" i="3"/>
  <c r="BX28" i="3"/>
  <c r="K30" i="4" s="1"/>
  <c r="BU28" i="3"/>
  <c r="R30" i="4" s="1"/>
  <c r="BS28" i="3"/>
  <c r="Q30" i="4" s="1"/>
  <c r="BP28" i="3"/>
  <c r="I30" i="4" s="1"/>
  <c r="BN28" i="3"/>
  <c r="H30" i="4" s="1"/>
  <c r="BL28" i="3"/>
  <c r="C30" i="4" s="1"/>
  <c r="BG28" i="3"/>
  <c r="B30" i="4" s="1"/>
  <c r="AY28" i="3"/>
  <c r="AS28" i="3"/>
  <c r="AC28" i="3"/>
  <c r="AL28" i="3" s="1"/>
  <c r="F30" i="2" s="1"/>
  <c r="X28" i="3"/>
  <c r="K28" i="3"/>
  <c r="F28" i="3"/>
  <c r="DN27" i="3"/>
  <c r="F29" i="4" s="1"/>
  <c r="DL27" i="3"/>
  <c r="E29" i="4" s="1"/>
  <c r="DG27" i="3"/>
  <c r="DB27" i="3"/>
  <c r="CW27" i="3"/>
  <c r="O29" i="2" s="1"/>
  <c r="CP27" i="3"/>
  <c r="CI27" i="3"/>
  <c r="O29" i="4" s="1"/>
  <c r="CG27" i="3"/>
  <c r="N29" i="4" s="1"/>
  <c r="CB27" i="3"/>
  <c r="BX27" i="3"/>
  <c r="K29" i="4" s="1"/>
  <c r="BU27" i="3"/>
  <c r="R29" i="4" s="1"/>
  <c r="BS27" i="3"/>
  <c r="Q29" i="4" s="1"/>
  <c r="BP27" i="3"/>
  <c r="I29" i="4" s="1"/>
  <c r="BN27" i="3"/>
  <c r="H29" i="4" s="1"/>
  <c r="BL27" i="3"/>
  <c r="C29" i="4" s="1"/>
  <c r="BG27" i="3"/>
  <c r="B29" i="4" s="1"/>
  <c r="AY27" i="3"/>
  <c r="AS27" i="3"/>
  <c r="AC27" i="3"/>
  <c r="X27" i="3"/>
  <c r="K27" i="3"/>
  <c r="F27" i="3"/>
  <c r="DN26" i="3"/>
  <c r="F28" i="4" s="1"/>
  <c r="DL26" i="3"/>
  <c r="E28" i="4" s="1"/>
  <c r="DG26" i="3"/>
  <c r="DB26" i="3"/>
  <c r="CW26" i="3"/>
  <c r="O28" i="2" s="1"/>
  <c r="CP26" i="3"/>
  <c r="CI26" i="3"/>
  <c r="O28" i="4" s="1"/>
  <c r="CG26" i="3"/>
  <c r="N28" i="4" s="1"/>
  <c r="CB26" i="3"/>
  <c r="BX26" i="3"/>
  <c r="K28" i="4" s="1"/>
  <c r="BU26" i="3"/>
  <c r="R28" i="4" s="1"/>
  <c r="BS26" i="3"/>
  <c r="Q28" i="4" s="1"/>
  <c r="BP26" i="3"/>
  <c r="I28" i="4" s="1"/>
  <c r="BN26" i="3"/>
  <c r="H28" i="4" s="1"/>
  <c r="BL26" i="3"/>
  <c r="C28" i="4" s="1"/>
  <c r="BG26" i="3"/>
  <c r="B28" i="4" s="1"/>
  <c r="AY26" i="3"/>
  <c r="AS26" i="3"/>
  <c r="AC26" i="3"/>
  <c r="X26" i="3"/>
  <c r="K26" i="3"/>
  <c r="F26" i="3"/>
  <c r="DN25" i="3"/>
  <c r="F27" i="4" s="1"/>
  <c r="DL25" i="3"/>
  <c r="E27" i="4" s="1"/>
  <c r="DG25" i="3"/>
  <c r="DI25" i="3" s="1"/>
  <c r="DB25" i="3"/>
  <c r="CW25" i="3"/>
  <c r="O27" i="2" s="1"/>
  <c r="CP25" i="3"/>
  <c r="CI25" i="3"/>
  <c r="O27" i="4" s="1"/>
  <c r="CG25" i="3"/>
  <c r="N27" i="4" s="1"/>
  <c r="CB25" i="3"/>
  <c r="BX25" i="3"/>
  <c r="K27" i="4" s="1"/>
  <c r="BU25" i="3"/>
  <c r="R27" i="4" s="1"/>
  <c r="BS25" i="3"/>
  <c r="Q27" i="4" s="1"/>
  <c r="BP25" i="3"/>
  <c r="I27" i="4" s="1"/>
  <c r="BN25" i="3"/>
  <c r="H27" i="4" s="1"/>
  <c r="BL25" i="3"/>
  <c r="C27" i="4" s="1"/>
  <c r="BG25" i="3"/>
  <c r="B27" i="4" s="1"/>
  <c r="AY25" i="3"/>
  <c r="AS25" i="3"/>
  <c r="AZ25" i="3" s="1"/>
  <c r="AC25" i="3"/>
  <c r="X25" i="3"/>
  <c r="K25" i="3"/>
  <c r="F25" i="3"/>
  <c r="DN24" i="3"/>
  <c r="F26" i="4" s="1"/>
  <c r="DL24" i="3"/>
  <c r="E26" i="4" s="1"/>
  <c r="DG24" i="3"/>
  <c r="DB24" i="3"/>
  <c r="DH24" i="3" s="1"/>
  <c r="CW24" i="3"/>
  <c r="O26" i="2" s="1"/>
  <c r="CP24" i="3"/>
  <c r="CI24" i="3"/>
  <c r="O26" i="4" s="1"/>
  <c r="CG24" i="3"/>
  <c r="N26" i="4" s="1"/>
  <c r="CB24" i="3"/>
  <c r="BX24" i="3"/>
  <c r="K26" i="4" s="1"/>
  <c r="BU24" i="3"/>
  <c r="R26" i="4" s="1"/>
  <c r="BS24" i="3"/>
  <c r="Q26" i="4" s="1"/>
  <c r="BP24" i="3"/>
  <c r="I26" i="4" s="1"/>
  <c r="BN24" i="3"/>
  <c r="H26" i="4" s="1"/>
  <c r="BL24" i="3"/>
  <c r="C26" i="4" s="1"/>
  <c r="BG24" i="3"/>
  <c r="B26" i="4" s="1"/>
  <c r="AY24" i="3"/>
  <c r="AS24" i="3"/>
  <c r="AC24" i="3"/>
  <c r="X24" i="3"/>
  <c r="K24" i="3"/>
  <c r="F24" i="3"/>
  <c r="DN23" i="3"/>
  <c r="F25" i="4" s="1"/>
  <c r="DL23" i="3"/>
  <c r="E25" i="4" s="1"/>
  <c r="DG23" i="3"/>
  <c r="DB23" i="3"/>
  <c r="CW23" i="3"/>
  <c r="O25" i="2" s="1"/>
  <c r="CP23" i="3"/>
  <c r="CI23" i="3"/>
  <c r="O25" i="4" s="1"/>
  <c r="CG23" i="3"/>
  <c r="N25" i="4" s="1"/>
  <c r="CB23" i="3"/>
  <c r="BX23" i="3"/>
  <c r="K25" i="4" s="1"/>
  <c r="BU23" i="3"/>
  <c r="R25" i="4" s="1"/>
  <c r="BS23" i="3"/>
  <c r="Q25" i="4" s="1"/>
  <c r="BP23" i="3"/>
  <c r="I25" i="4" s="1"/>
  <c r="BN23" i="3"/>
  <c r="H25" i="4" s="1"/>
  <c r="BL23" i="3"/>
  <c r="C25" i="4" s="1"/>
  <c r="BG23" i="3"/>
  <c r="B25" i="4" s="1"/>
  <c r="AY23" i="3"/>
  <c r="AS23" i="3"/>
  <c r="AC23" i="3"/>
  <c r="X23" i="3"/>
  <c r="K23" i="3"/>
  <c r="F23" i="3"/>
  <c r="DN22" i="3"/>
  <c r="F24" i="4" s="1"/>
  <c r="DL22" i="3"/>
  <c r="E24" i="4" s="1"/>
  <c r="DG22" i="3"/>
  <c r="DB22" i="3"/>
  <c r="CW22" i="3"/>
  <c r="O24" i="2" s="1"/>
  <c r="CP22" i="3"/>
  <c r="CI22" i="3"/>
  <c r="O24" i="4" s="1"/>
  <c r="CG22" i="3"/>
  <c r="N24" i="4" s="1"/>
  <c r="CB22" i="3"/>
  <c r="BX22" i="3"/>
  <c r="K24" i="4" s="1"/>
  <c r="BU22" i="3"/>
  <c r="R24" i="4" s="1"/>
  <c r="BS22" i="3"/>
  <c r="Q24" i="4" s="1"/>
  <c r="BP22" i="3"/>
  <c r="I24" i="4" s="1"/>
  <c r="BN22" i="3"/>
  <c r="H24" i="4" s="1"/>
  <c r="BL22" i="3"/>
  <c r="C24" i="4" s="1"/>
  <c r="BG22" i="3"/>
  <c r="B24" i="4" s="1"/>
  <c r="AY22" i="3"/>
  <c r="AS22" i="3"/>
  <c r="AC22" i="3"/>
  <c r="X22" i="3"/>
  <c r="K22" i="3"/>
  <c r="F22" i="3"/>
  <c r="DN21" i="3"/>
  <c r="F23" i="4" s="1"/>
  <c r="DL21" i="3"/>
  <c r="E23" i="4" s="1"/>
  <c r="DG21" i="3"/>
  <c r="DB21" i="3"/>
  <c r="CW21" i="3"/>
  <c r="O23" i="2" s="1"/>
  <c r="CP21" i="3"/>
  <c r="CI21" i="3"/>
  <c r="O23" i="4" s="1"/>
  <c r="CG21" i="3"/>
  <c r="N23" i="4" s="1"/>
  <c r="CB21" i="3"/>
  <c r="BX21" i="3"/>
  <c r="K23" i="4" s="1"/>
  <c r="BU21" i="3"/>
  <c r="R23" i="4" s="1"/>
  <c r="BS21" i="3"/>
  <c r="Q23" i="4" s="1"/>
  <c r="BP21" i="3"/>
  <c r="I23" i="4" s="1"/>
  <c r="BN21" i="3"/>
  <c r="H23" i="4" s="1"/>
  <c r="BL21" i="3"/>
  <c r="C23" i="4" s="1"/>
  <c r="BG21" i="3"/>
  <c r="B23" i="4" s="1"/>
  <c r="AY21" i="3"/>
  <c r="AS21" i="3"/>
  <c r="AC21" i="3"/>
  <c r="X21" i="3"/>
  <c r="AK21" i="3" s="1"/>
  <c r="E23" i="2" s="1"/>
  <c r="K21" i="3"/>
  <c r="F21" i="3"/>
  <c r="DN20" i="3"/>
  <c r="F22" i="4" s="1"/>
  <c r="DL20" i="3"/>
  <c r="E22" i="4" s="1"/>
  <c r="DG20" i="3"/>
  <c r="DB20" i="3"/>
  <c r="CW20" i="3"/>
  <c r="O22" i="2" s="1"/>
  <c r="CP20" i="3"/>
  <c r="CI20" i="3"/>
  <c r="O22" i="4" s="1"/>
  <c r="CG20" i="3"/>
  <c r="N22" i="4" s="1"/>
  <c r="CB20" i="3"/>
  <c r="BX20" i="3"/>
  <c r="K22" i="4" s="1"/>
  <c r="BU20" i="3"/>
  <c r="R22" i="4" s="1"/>
  <c r="BS20" i="3"/>
  <c r="Q22" i="4" s="1"/>
  <c r="BP20" i="3"/>
  <c r="I22" i="4" s="1"/>
  <c r="BN20" i="3"/>
  <c r="H22" i="4" s="1"/>
  <c r="BL20" i="3"/>
  <c r="C22" i="4" s="1"/>
  <c r="BG20" i="3"/>
  <c r="B22" i="4" s="1"/>
  <c r="AY20" i="3"/>
  <c r="AS20" i="3"/>
  <c r="AC20" i="3"/>
  <c r="X20" i="3"/>
  <c r="K20" i="3"/>
  <c r="F20" i="3"/>
  <c r="DN19" i="3"/>
  <c r="F21" i="4" s="1"/>
  <c r="DL19" i="3"/>
  <c r="E21" i="4" s="1"/>
  <c r="DG19" i="3"/>
  <c r="DB19" i="3"/>
  <c r="CW19" i="3"/>
  <c r="O21" i="2" s="1"/>
  <c r="CP19" i="3"/>
  <c r="CI19" i="3"/>
  <c r="O21" i="4" s="1"/>
  <c r="CG19" i="3"/>
  <c r="N21" i="4" s="1"/>
  <c r="CB19" i="3"/>
  <c r="BX19" i="3"/>
  <c r="K21" i="4" s="1"/>
  <c r="BU19" i="3"/>
  <c r="R21" i="4" s="1"/>
  <c r="BS19" i="3"/>
  <c r="Q21" i="4" s="1"/>
  <c r="BP19" i="3"/>
  <c r="I21" i="4" s="1"/>
  <c r="BN19" i="3"/>
  <c r="H21" i="4" s="1"/>
  <c r="BL19" i="3"/>
  <c r="C21" i="4" s="1"/>
  <c r="BG19" i="3"/>
  <c r="B21" i="4" s="1"/>
  <c r="AY19" i="3"/>
  <c r="AS19" i="3"/>
  <c r="AC19" i="3"/>
  <c r="X19" i="3"/>
  <c r="K19" i="3"/>
  <c r="F19" i="3"/>
  <c r="DN18" i="3"/>
  <c r="F20" i="4" s="1"/>
  <c r="DL18" i="3"/>
  <c r="E20" i="4" s="1"/>
  <c r="DG18" i="3"/>
  <c r="DB18" i="3"/>
  <c r="CW18" i="3"/>
  <c r="O20" i="2" s="1"/>
  <c r="CP18" i="3"/>
  <c r="CI18" i="3"/>
  <c r="O20" i="4" s="1"/>
  <c r="CG18" i="3"/>
  <c r="N20" i="4" s="1"/>
  <c r="CB18" i="3"/>
  <c r="BX18" i="3"/>
  <c r="K20" i="4" s="1"/>
  <c r="BU18" i="3"/>
  <c r="R20" i="4" s="1"/>
  <c r="BS18" i="3"/>
  <c r="Q20" i="4" s="1"/>
  <c r="BP18" i="3"/>
  <c r="I20" i="4" s="1"/>
  <c r="BN18" i="3"/>
  <c r="H20" i="4" s="1"/>
  <c r="BL18" i="3"/>
  <c r="C20" i="4" s="1"/>
  <c r="BG18" i="3"/>
  <c r="B20" i="4" s="1"/>
  <c r="AY18" i="3"/>
  <c r="AS18" i="3"/>
  <c r="AZ18" i="3" s="1"/>
  <c r="AC18" i="3"/>
  <c r="X18" i="3"/>
  <c r="K18" i="3"/>
  <c r="F18" i="3"/>
  <c r="DN17" i="3"/>
  <c r="F19" i="4" s="1"/>
  <c r="DL17" i="3"/>
  <c r="E19" i="4" s="1"/>
  <c r="DG17" i="3"/>
  <c r="DB17" i="3"/>
  <c r="CW17" i="3"/>
  <c r="O19" i="2" s="1"/>
  <c r="CP17" i="3"/>
  <c r="CI17" i="3"/>
  <c r="O19" i="4" s="1"/>
  <c r="CG17" i="3"/>
  <c r="N19" i="4" s="1"/>
  <c r="CB17" i="3"/>
  <c r="BX17" i="3"/>
  <c r="K19" i="4" s="1"/>
  <c r="BU17" i="3"/>
  <c r="R19" i="4" s="1"/>
  <c r="BS17" i="3"/>
  <c r="Q19" i="4" s="1"/>
  <c r="BP17" i="3"/>
  <c r="I19" i="4" s="1"/>
  <c r="BN17" i="3"/>
  <c r="H19" i="4" s="1"/>
  <c r="BL17" i="3"/>
  <c r="C19" i="4" s="1"/>
  <c r="BG17" i="3"/>
  <c r="B19" i="4" s="1"/>
  <c r="AY17" i="3"/>
  <c r="AS17" i="3"/>
  <c r="AC17" i="3"/>
  <c r="X17" i="3"/>
  <c r="K17" i="3"/>
  <c r="F17" i="3"/>
  <c r="DN16" i="3"/>
  <c r="F18" i="4" s="1"/>
  <c r="DL16" i="3"/>
  <c r="E18" i="4" s="1"/>
  <c r="DG16" i="3"/>
  <c r="DB16" i="3"/>
  <c r="CW16" i="3"/>
  <c r="O18" i="2" s="1"/>
  <c r="CP16" i="3"/>
  <c r="CI16" i="3"/>
  <c r="O18" i="4" s="1"/>
  <c r="CG16" i="3"/>
  <c r="N18" i="4" s="1"/>
  <c r="CB16" i="3"/>
  <c r="BX16" i="3"/>
  <c r="K18" i="4" s="1"/>
  <c r="BU16" i="3"/>
  <c r="R18" i="4" s="1"/>
  <c r="BS16" i="3"/>
  <c r="Q18" i="4" s="1"/>
  <c r="BP16" i="3"/>
  <c r="I18" i="4" s="1"/>
  <c r="BN16" i="3"/>
  <c r="H18" i="4" s="1"/>
  <c r="BL16" i="3"/>
  <c r="C18" i="4" s="1"/>
  <c r="BG16" i="3"/>
  <c r="B18" i="4" s="1"/>
  <c r="AY16" i="3"/>
  <c r="AS16" i="3"/>
  <c r="AZ16" i="3" s="1"/>
  <c r="AC16" i="3"/>
  <c r="X16" i="3"/>
  <c r="K16" i="3"/>
  <c r="F16" i="3"/>
  <c r="DN15" i="3"/>
  <c r="F17" i="4" s="1"/>
  <c r="DL15" i="3"/>
  <c r="E17" i="4" s="1"/>
  <c r="DG15" i="3"/>
  <c r="DB15" i="3"/>
  <c r="CW15" i="3"/>
  <c r="O17" i="2" s="1"/>
  <c r="CP15" i="3"/>
  <c r="CI15" i="3"/>
  <c r="O17" i="4" s="1"/>
  <c r="CG15" i="3"/>
  <c r="N17" i="4" s="1"/>
  <c r="CB15" i="3"/>
  <c r="BX15" i="3"/>
  <c r="K17" i="4" s="1"/>
  <c r="BU15" i="3"/>
  <c r="R17" i="4" s="1"/>
  <c r="BS15" i="3"/>
  <c r="Q17" i="4" s="1"/>
  <c r="BP15" i="3"/>
  <c r="I17" i="4" s="1"/>
  <c r="BN15" i="3"/>
  <c r="H17" i="4" s="1"/>
  <c r="BL15" i="3"/>
  <c r="C17" i="4" s="1"/>
  <c r="BG15" i="3"/>
  <c r="B17" i="4" s="1"/>
  <c r="AY15" i="3"/>
  <c r="AS15" i="3"/>
  <c r="AC15" i="3"/>
  <c r="X15" i="3"/>
  <c r="K15" i="3"/>
  <c r="F15" i="3"/>
  <c r="DN14" i="3"/>
  <c r="F16" i="4" s="1"/>
  <c r="DL14" i="3"/>
  <c r="E16" i="4" s="1"/>
  <c r="DG14" i="3"/>
  <c r="DB14" i="3"/>
  <c r="CW14" i="3"/>
  <c r="O16" i="2" s="1"/>
  <c r="CP14" i="3"/>
  <c r="CI14" i="3"/>
  <c r="O16" i="4" s="1"/>
  <c r="CG14" i="3"/>
  <c r="N16" i="4" s="1"/>
  <c r="CB14" i="3"/>
  <c r="BX14" i="3"/>
  <c r="BU14" i="3"/>
  <c r="R16" i="4" s="1"/>
  <c r="BS14" i="3"/>
  <c r="Q16" i="4" s="1"/>
  <c r="BP14" i="3"/>
  <c r="I16" i="4" s="1"/>
  <c r="BN14" i="3"/>
  <c r="H16" i="4" s="1"/>
  <c r="BL14" i="3"/>
  <c r="C16" i="4" s="1"/>
  <c r="BG14" i="3"/>
  <c r="B16" i="4" s="1"/>
  <c r="AY14" i="3"/>
  <c r="AS14" i="3"/>
  <c r="AC14" i="3"/>
  <c r="X14" i="3"/>
  <c r="K14" i="3"/>
  <c r="F14" i="3"/>
  <c r="DN13" i="3"/>
  <c r="F15" i="4" s="1"/>
  <c r="DL13" i="3"/>
  <c r="E15" i="4" s="1"/>
  <c r="DG13" i="3"/>
  <c r="DB13" i="3"/>
  <c r="CW13" i="3"/>
  <c r="O15" i="2" s="1"/>
  <c r="CP13" i="3"/>
  <c r="CI13" i="3"/>
  <c r="O15" i="4" s="1"/>
  <c r="CG13" i="3"/>
  <c r="N15" i="4" s="1"/>
  <c r="CB13" i="3"/>
  <c r="BX13" i="3"/>
  <c r="K15" i="4" s="1"/>
  <c r="BU13" i="3"/>
  <c r="R15" i="4" s="1"/>
  <c r="BS13" i="3"/>
  <c r="Q15" i="4" s="1"/>
  <c r="BP13" i="3"/>
  <c r="I15" i="4" s="1"/>
  <c r="BN13" i="3"/>
  <c r="H15" i="4" s="1"/>
  <c r="BL13" i="3"/>
  <c r="C15" i="4" s="1"/>
  <c r="BG13" i="3"/>
  <c r="B15" i="4" s="1"/>
  <c r="AY13" i="3"/>
  <c r="AS13" i="3"/>
  <c r="AC13" i="3"/>
  <c r="X13" i="3"/>
  <c r="K13" i="3"/>
  <c r="F13" i="3"/>
  <c r="DN12" i="3"/>
  <c r="F14" i="4" s="1"/>
  <c r="DL12" i="3"/>
  <c r="E14" i="4" s="1"/>
  <c r="DG12" i="3"/>
  <c r="DB12" i="3"/>
  <c r="CW12" i="3"/>
  <c r="O14" i="2" s="1"/>
  <c r="CP12" i="3"/>
  <c r="CI12" i="3"/>
  <c r="O14" i="4" s="1"/>
  <c r="CG12" i="3"/>
  <c r="N14" i="4" s="1"/>
  <c r="CB12" i="3"/>
  <c r="BX12" i="3"/>
  <c r="K14" i="4" s="1"/>
  <c r="BU12" i="3"/>
  <c r="R14" i="4" s="1"/>
  <c r="BS12" i="3"/>
  <c r="Q14" i="4" s="1"/>
  <c r="BP12" i="3"/>
  <c r="I14" i="4" s="1"/>
  <c r="BN12" i="3"/>
  <c r="H14" i="4" s="1"/>
  <c r="BL12" i="3"/>
  <c r="C14" i="4" s="1"/>
  <c r="BG12" i="3"/>
  <c r="B14" i="4" s="1"/>
  <c r="AY12" i="3"/>
  <c r="AS12" i="3"/>
  <c r="AC12" i="3"/>
  <c r="X12" i="3"/>
  <c r="K12" i="3"/>
  <c r="F12" i="3"/>
  <c r="DN11" i="3"/>
  <c r="F13" i="4" s="1"/>
  <c r="DL11" i="3"/>
  <c r="E13" i="4" s="1"/>
  <c r="DG11" i="3"/>
  <c r="DB11" i="3"/>
  <c r="CW11" i="3"/>
  <c r="O13" i="2" s="1"/>
  <c r="CP11" i="3"/>
  <c r="CI11" i="3"/>
  <c r="O13" i="4" s="1"/>
  <c r="CG11" i="3"/>
  <c r="N13" i="4" s="1"/>
  <c r="CB11" i="3"/>
  <c r="BX11" i="3"/>
  <c r="K13" i="4" s="1"/>
  <c r="BU11" i="3"/>
  <c r="R13" i="4" s="1"/>
  <c r="BS11" i="3"/>
  <c r="Q13" i="4" s="1"/>
  <c r="BP11" i="3"/>
  <c r="I13" i="4" s="1"/>
  <c r="BN11" i="3"/>
  <c r="H13" i="4" s="1"/>
  <c r="BL11" i="3"/>
  <c r="C13" i="4" s="1"/>
  <c r="BG11" i="3"/>
  <c r="B13" i="4" s="1"/>
  <c r="AY11" i="3"/>
  <c r="AS11" i="3"/>
  <c r="AC11" i="3"/>
  <c r="X11" i="3"/>
  <c r="K11" i="3"/>
  <c r="F11" i="3"/>
  <c r="DN10" i="3"/>
  <c r="F12" i="4" s="1"/>
  <c r="DL10" i="3"/>
  <c r="E12" i="4" s="1"/>
  <c r="DG10" i="3"/>
  <c r="DB10" i="3"/>
  <c r="CW10" i="3"/>
  <c r="O12" i="2" s="1"/>
  <c r="CP10" i="3"/>
  <c r="CI10" i="3"/>
  <c r="O12" i="4" s="1"/>
  <c r="CG10" i="3"/>
  <c r="N12" i="4" s="1"/>
  <c r="K12" i="4"/>
  <c r="R12" i="4"/>
  <c r="Q12" i="4"/>
  <c r="I12" i="4"/>
  <c r="H12" i="4"/>
  <c r="AC10" i="3"/>
  <c r="X10" i="3"/>
  <c r="K10" i="3"/>
  <c r="F10" i="3"/>
  <c r="DN9" i="3"/>
  <c r="F11" i="4" s="1"/>
  <c r="DL9" i="3"/>
  <c r="E11" i="4" s="1"/>
  <c r="DG9" i="3"/>
  <c r="DB9" i="3"/>
  <c r="CW9" i="3"/>
  <c r="O11" i="2" s="1"/>
  <c r="CP9" i="3"/>
  <c r="CI9" i="3"/>
  <c r="O11" i="4" s="1"/>
  <c r="CG9" i="3"/>
  <c r="N11" i="4" s="1"/>
  <c r="K11" i="4"/>
  <c r="R11" i="4"/>
  <c r="Q11" i="4"/>
  <c r="I11" i="4"/>
  <c r="H11" i="4"/>
  <c r="AC9" i="3"/>
  <c r="X9" i="3"/>
  <c r="K9" i="3"/>
  <c r="F9" i="3"/>
  <c r="DN8" i="3"/>
  <c r="F10" i="4" s="1"/>
  <c r="DL8" i="3"/>
  <c r="E10" i="4" s="1"/>
  <c r="DG8" i="3"/>
  <c r="DB8" i="3"/>
  <c r="CW8" i="3"/>
  <c r="O10" i="2" s="1"/>
  <c r="CP8" i="3"/>
  <c r="CI8" i="3"/>
  <c r="O10" i="4" s="1"/>
  <c r="CG8" i="3"/>
  <c r="N10" i="4" s="1"/>
  <c r="K10" i="4"/>
  <c r="R10" i="4"/>
  <c r="Q10" i="4"/>
  <c r="I10" i="4"/>
  <c r="H10" i="4"/>
  <c r="AC8" i="3"/>
  <c r="X8" i="3"/>
  <c r="K8" i="3"/>
  <c r="F8" i="3"/>
  <c r="J9" i="2"/>
  <c r="CI7" i="3"/>
  <c r="O9" i="4" s="1"/>
  <c r="CG7" i="3"/>
  <c r="N9" i="4" s="1"/>
  <c r="K9" i="4"/>
  <c r="R9" i="4"/>
  <c r="Q9" i="4"/>
  <c r="I9" i="4"/>
  <c r="H9" i="4"/>
  <c r="K7" i="3"/>
  <c r="AE7" i="3" s="1"/>
  <c r="F7" i="3"/>
  <c r="AD7" i="3" s="1"/>
  <c r="AJ7" i="3" l="1"/>
  <c r="CT7" i="3"/>
  <c r="AH7" i="3"/>
  <c r="CS7" i="3"/>
  <c r="L15" i="4"/>
  <c r="CD13" i="3"/>
  <c r="CE13" i="3"/>
  <c r="L19" i="4"/>
  <c r="M19" i="4" s="1"/>
  <c r="CD17" i="3"/>
  <c r="CE17" i="3"/>
  <c r="L27" i="4"/>
  <c r="M27" i="4" s="1"/>
  <c r="CD25" i="3"/>
  <c r="CE25" i="3"/>
  <c r="L31" i="4"/>
  <c r="M31" i="4" s="1"/>
  <c r="CD29" i="3"/>
  <c r="CE29" i="3"/>
  <c r="L18" i="4"/>
  <c r="CD16" i="3"/>
  <c r="CE16" i="3"/>
  <c r="L26" i="4"/>
  <c r="M26" i="4" s="1"/>
  <c r="CD24" i="3"/>
  <c r="CE24" i="3"/>
  <c r="L34" i="4"/>
  <c r="M34" i="4" s="1"/>
  <c r="CD32" i="3"/>
  <c r="CE32" i="3"/>
  <c r="L13" i="4"/>
  <c r="M13" i="4" s="1"/>
  <c r="CE11" i="3"/>
  <c r="CD11" i="3"/>
  <c r="L17" i="4"/>
  <c r="CE15" i="3"/>
  <c r="CD15" i="3"/>
  <c r="L21" i="4"/>
  <c r="M21" i="4" s="1"/>
  <c r="CE19" i="3"/>
  <c r="CD19" i="3"/>
  <c r="L25" i="4"/>
  <c r="M25" i="4" s="1"/>
  <c r="CE23" i="3"/>
  <c r="CD23" i="3"/>
  <c r="L29" i="4"/>
  <c r="M29" i="4" s="1"/>
  <c r="CE27" i="3"/>
  <c r="CD27" i="3"/>
  <c r="D30" i="4"/>
  <c r="L33" i="4"/>
  <c r="M33" i="4" s="1"/>
  <c r="CE31" i="3"/>
  <c r="CD31" i="3"/>
  <c r="D34" i="4"/>
  <c r="L11" i="4"/>
  <c r="M11" i="4" s="1"/>
  <c r="CD9" i="3"/>
  <c r="CE9" i="3"/>
  <c r="L23" i="4"/>
  <c r="M23" i="4" s="1"/>
  <c r="CD21" i="3"/>
  <c r="CE21" i="3"/>
  <c r="L10" i="4"/>
  <c r="M10" i="4" s="1"/>
  <c r="CD8" i="3"/>
  <c r="CE8" i="3"/>
  <c r="L14" i="4"/>
  <c r="M14" i="4" s="1"/>
  <c r="CD12" i="3"/>
  <c r="CE12" i="3"/>
  <c r="L22" i="4"/>
  <c r="M22" i="4" s="1"/>
  <c r="CD20" i="3"/>
  <c r="CE20" i="3"/>
  <c r="L30" i="4"/>
  <c r="M30" i="4" s="1"/>
  <c r="CD28" i="3"/>
  <c r="CE28" i="3"/>
  <c r="L9" i="4"/>
  <c r="CE7" i="3"/>
  <c r="CD7" i="3"/>
  <c r="L12" i="4"/>
  <c r="M12" i="4" s="1"/>
  <c r="CE10" i="3"/>
  <c r="CD10" i="3"/>
  <c r="L16" i="4"/>
  <c r="CE14" i="3"/>
  <c r="CD14" i="3"/>
  <c r="L20" i="4"/>
  <c r="M20" i="4" s="1"/>
  <c r="CE18" i="3"/>
  <c r="CD18" i="3"/>
  <c r="L24" i="4"/>
  <c r="CE22" i="3"/>
  <c r="CD22" i="3"/>
  <c r="L28" i="4"/>
  <c r="M28" i="4" s="1"/>
  <c r="CE26" i="3"/>
  <c r="CD26" i="3"/>
  <c r="L32" i="4"/>
  <c r="M32" i="4" s="1"/>
  <c r="CE30" i="3"/>
  <c r="CD30" i="3"/>
  <c r="G19" i="4"/>
  <c r="P20" i="4"/>
  <c r="P11" i="4"/>
  <c r="M17" i="4"/>
  <c r="M18" i="4"/>
  <c r="S20" i="4"/>
  <c r="S11" i="4"/>
  <c r="S15" i="4"/>
  <c r="J19" i="4"/>
  <c r="J18" i="4"/>
  <c r="J22" i="4"/>
  <c r="J13" i="4"/>
  <c r="J17" i="4"/>
  <c r="D15" i="4"/>
  <c r="D20" i="4"/>
  <c r="AF7" i="3"/>
  <c r="S30" i="4"/>
  <c r="D27" i="4"/>
  <c r="J29" i="4"/>
  <c r="S31" i="4"/>
  <c r="S27" i="4"/>
  <c r="D31" i="4"/>
  <c r="J33" i="4"/>
  <c r="G22" i="4"/>
  <c r="G24" i="4"/>
  <c r="D25" i="4"/>
  <c r="S25" i="4"/>
  <c r="P25" i="4"/>
  <c r="J9" i="4"/>
  <c r="M9" i="4"/>
  <c r="P10" i="4"/>
  <c r="J11" i="4"/>
  <c r="J12" i="4"/>
  <c r="G13" i="4"/>
  <c r="P14" i="4"/>
  <c r="J15" i="4"/>
  <c r="M15" i="4"/>
  <c r="J16" i="4"/>
  <c r="G17" i="4"/>
  <c r="D18" i="4"/>
  <c r="S18" i="4"/>
  <c r="D19" i="4"/>
  <c r="S19" i="4"/>
  <c r="D22" i="4"/>
  <c r="S22" i="4"/>
  <c r="P23" i="4"/>
  <c r="G27" i="4"/>
  <c r="D28" i="4"/>
  <c r="S28" i="4"/>
  <c r="P28" i="4"/>
  <c r="J30" i="4"/>
  <c r="G31" i="4"/>
  <c r="D32" i="4"/>
  <c r="S32" i="4"/>
  <c r="P32" i="4"/>
  <c r="J34" i="4"/>
  <c r="G20" i="4"/>
  <c r="D21" i="4"/>
  <c r="S21" i="4"/>
  <c r="P21" i="4"/>
  <c r="J24" i="4"/>
  <c r="M24" i="4"/>
  <c r="G25" i="4"/>
  <c r="P26" i="4"/>
  <c r="J27" i="4"/>
  <c r="J31" i="4"/>
  <c r="M9" i="2"/>
  <c r="K9" i="2"/>
  <c r="CQ9" i="3"/>
  <c r="L11" i="2" s="1"/>
  <c r="J11" i="2"/>
  <c r="CR14" i="3"/>
  <c r="M16" i="2" s="1"/>
  <c r="K16" i="2"/>
  <c r="CQ19" i="3"/>
  <c r="L21" i="2" s="1"/>
  <c r="J21" i="2"/>
  <c r="CR27" i="3"/>
  <c r="M29" i="2" s="1"/>
  <c r="K29" i="2"/>
  <c r="CQ30" i="3"/>
  <c r="L32" i="2" s="1"/>
  <c r="J32" i="2"/>
  <c r="CQ8" i="3"/>
  <c r="L10" i="2" s="1"/>
  <c r="J10" i="2"/>
  <c r="D13" i="4"/>
  <c r="P13" i="4"/>
  <c r="G16" i="4"/>
  <c r="P17" i="4"/>
  <c r="P18" i="4"/>
  <c r="CQ18" i="3"/>
  <c r="L20" i="2" s="1"/>
  <c r="J20" i="2"/>
  <c r="J21" i="4"/>
  <c r="D24" i="4"/>
  <c r="P24" i="4"/>
  <c r="CQ25" i="3"/>
  <c r="L27" i="2" s="1"/>
  <c r="J27" i="2"/>
  <c r="J28" i="4"/>
  <c r="CQ29" i="3"/>
  <c r="L31" i="2" s="1"/>
  <c r="J31" i="2"/>
  <c r="J32" i="4"/>
  <c r="G33" i="4"/>
  <c r="P34" i="4"/>
  <c r="N35" i="2"/>
  <c r="S9" i="4"/>
  <c r="P9" i="4"/>
  <c r="J10" i="4"/>
  <c r="CR8" i="3"/>
  <c r="M10" i="2" s="1"/>
  <c r="K10" i="2"/>
  <c r="G10" i="4"/>
  <c r="G11" i="4"/>
  <c r="S12" i="4"/>
  <c r="P12" i="4"/>
  <c r="CQ11" i="3"/>
  <c r="L13" i="2" s="1"/>
  <c r="J13" i="2"/>
  <c r="J14" i="4"/>
  <c r="CR12" i="3"/>
  <c r="M14" i="2" s="1"/>
  <c r="K14" i="2"/>
  <c r="G14" i="4"/>
  <c r="P15" i="4"/>
  <c r="G15" i="4"/>
  <c r="D16" i="4"/>
  <c r="S16" i="4"/>
  <c r="P16" i="4"/>
  <c r="CQ15" i="3"/>
  <c r="L17" i="2" s="1"/>
  <c r="J17" i="2"/>
  <c r="CQ16" i="3"/>
  <c r="L18" i="2" s="1"/>
  <c r="J18" i="2"/>
  <c r="CR17" i="3"/>
  <c r="M19" i="2" s="1"/>
  <c r="K19" i="2"/>
  <c r="J20" i="4"/>
  <c r="CR18" i="3"/>
  <c r="M20" i="2" s="1"/>
  <c r="K20" i="2"/>
  <c r="G21" i="4"/>
  <c r="P22" i="4"/>
  <c r="D23" i="4"/>
  <c r="S23" i="4"/>
  <c r="CQ22" i="3"/>
  <c r="L24" i="2" s="1"/>
  <c r="J24" i="2"/>
  <c r="J25" i="4"/>
  <c r="CR23" i="3"/>
  <c r="M25" i="2" s="1"/>
  <c r="K25" i="2"/>
  <c r="J26" i="4"/>
  <c r="CR24" i="3"/>
  <c r="M26" i="2" s="1"/>
  <c r="K26" i="2"/>
  <c r="G26" i="4"/>
  <c r="CR25" i="3"/>
  <c r="M27" i="2" s="1"/>
  <c r="K27" i="2"/>
  <c r="G28" i="4"/>
  <c r="D29" i="4"/>
  <c r="S29" i="4"/>
  <c r="P29" i="4"/>
  <c r="CQ28" i="3"/>
  <c r="L30" i="2" s="1"/>
  <c r="J30" i="2"/>
  <c r="CR29" i="3"/>
  <c r="M31" i="2" s="1"/>
  <c r="K31" i="2"/>
  <c r="G32" i="4"/>
  <c r="D33" i="4"/>
  <c r="S33" i="4"/>
  <c r="P33" i="4"/>
  <c r="CQ32" i="3"/>
  <c r="L34" i="2" s="1"/>
  <c r="J34" i="2"/>
  <c r="CR10" i="3"/>
  <c r="M12" i="2" s="1"/>
  <c r="K12" i="2"/>
  <c r="CQ13" i="3"/>
  <c r="L15" i="2" s="1"/>
  <c r="J15" i="2"/>
  <c r="CR20" i="3"/>
  <c r="M22" i="2" s="1"/>
  <c r="K22" i="2"/>
  <c r="CR21" i="3"/>
  <c r="M23" i="2" s="1"/>
  <c r="K23" i="2"/>
  <c r="CQ26" i="3"/>
  <c r="L28" i="2" s="1"/>
  <c r="J28" i="2"/>
  <c r="CR31" i="3"/>
  <c r="M33" i="2" s="1"/>
  <c r="K33" i="2"/>
  <c r="CR9" i="3"/>
  <c r="M11" i="2" s="1"/>
  <c r="K11" i="2"/>
  <c r="G12" i="4"/>
  <c r="S13" i="4"/>
  <c r="CQ12" i="3"/>
  <c r="L14" i="2" s="1"/>
  <c r="J14" i="2"/>
  <c r="CR13" i="3"/>
  <c r="M15" i="2" s="1"/>
  <c r="K15" i="2"/>
  <c r="D17" i="4"/>
  <c r="S17" i="4"/>
  <c r="CQ17" i="3"/>
  <c r="L19" i="2" s="1"/>
  <c r="J19" i="2"/>
  <c r="CR19" i="3"/>
  <c r="M21" i="2" s="1"/>
  <c r="K21" i="2"/>
  <c r="G23" i="4"/>
  <c r="S24" i="4"/>
  <c r="CQ23" i="3"/>
  <c r="L25" i="2" s="1"/>
  <c r="J25" i="2"/>
  <c r="CQ24" i="3"/>
  <c r="L26" i="2" s="1"/>
  <c r="J26" i="2"/>
  <c r="CR26" i="3"/>
  <c r="M28" i="2" s="1"/>
  <c r="K28" i="2"/>
  <c r="G29" i="4"/>
  <c r="P30" i="4"/>
  <c r="CR30" i="3"/>
  <c r="M32" i="2" s="1"/>
  <c r="K32" i="2"/>
  <c r="S10" i="4"/>
  <c r="CQ10" i="3"/>
  <c r="L12" i="2" s="1"/>
  <c r="J12" i="2"/>
  <c r="CR11" i="3"/>
  <c r="M13" i="2" s="1"/>
  <c r="K13" i="2"/>
  <c r="D14" i="4"/>
  <c r="S14" i="4"/>
  <c r="CC14" i="3"/>
  <c r="K16" i="4"/>
  <c r="CQ14" i="3"/>
  <c r="L16" i="2" s="1"/>
  <c r="J16" i="2"/>
  <c r="CR15" i="3"/>
  <c r="M17" i="2" s="1"/>
  <c r="K17" i="2"/>
  <c r="CR16" i="3"/>
  <c r="M18" i="2" s="1"/>
  <c r="K18" i="2"/>
  <c r="G18" i="4"/>
  <c r="P19" i="4"/>
  <c r="CQ20" i="3"/>
  <c r="L22" i="2" s="1"/>
  <c r="J22" i="2"/>
  <c r="J23" i="4"/>
  <c r="CQ21" i="3"/>
  <c r="L23" i="2" s="1"/>
  <c r="J23" i="2"/>
  <c r="CR22" i="3"/>
  <c r="M24" i="2" s="1"/>
  <c r="K24" i="2"/>
  <c r="D26" i="4"/>
  <c r="S26" i="4"/>
  <c r="P27" i="4"/>
  <c r="CQ27" i="3"/>
  <c r="L29" i="2" s="1"/>
  <c r="J29" i="2"/>
  <c r="CR28" i="3"/>
  <c r="M30" i="2" s="1"/>
  <c r="K30" i="2"/>
  <c r="G30" i="4"/>
  <c r="P31" i="4"/>
  <c r="CQ31" i="3"/>
  <c r="L33" i="2" s="1"/>
  <c r="J33" i="2"/>
  <c r="CR32" i="3"/>
  <c r="M34" i="2" s="1"/>
  <c r="K34" i="2"/>
  <c r="G34" i="4"/>
  <c r="CC24" i="3"/>
  <c r="AE28" i="3"/>
  <c r="AE21" i="3"/>
  <c r="AL21" i="3"/>
  <c r="BA21" i="3"/>
  <c r="AZ51" i="3" s="1"/>
  <c r="BQ18" i="3"/>
  <c r="AL9" i="3"/>
  <c r="F11" i="2" s="1"/>
  <c r="AK10" i="3"/>
  <c r="E12" i="2" s="1"/>
  <c r="AD12" i="3"/>
  <c r="AK12" i="3"/>
  <c r="E14" i="2" s="1"/>
  <c r="BQ15" i="3"/>
  <c r="DI16" i="3"/>
  <c r="AE30" i="3"/>
  <c r="AL30" i="3"/>
  <c r="F32" i="2" s="1"/>
  <c r="BQ30" i="3"/>
  <c r="DI30" i="3"/>
  <c r="AD13" i="3"/>
  <c r="AH13" i="3" s="1"/>
  <c r="AK13" i="3"/>
  <c r="E15" i="2" s="1"/>
  <c r="AZ15" i="3"/>
  <c r="DI18" i="3"/>
  <c r="DI28" i="3"/>
  <c r="DH30" i="3"/>
  <c r="DI9" i="3"/>
  <c r="CJ26" i="3"/>
  <c r="BQ28" i="3"/>
  <c r="BV11" i="3"/>
  <c r="DI19" i="3"/>
  <c r="AK27" i="3"/>
  <c r="E29" i="2" s="1"/>
  <c r="BQ27" i="3"/>
  <c r="CJ14" i="3"/>
  <c r="BV15" i="3"/>
  <c r="DH28" i="3"/>
  <c r="CJ7" i="3"/>
  <c r="CC18" i="3"/>
  <c r="BV18" i="3"/>
  <c r="BV19" i="3"/>
  <c r="BV14" i="3"/>
  <c r="BV13" i="3"/>
  <c r="AL25" i="3"/>
  <c r="F27" i="2" s="1"/>
  <c r="AK8" i="3"/>
  <c r="E10" i="2" s="1"/>
  <c r="DI10" i="3"/>
  <c r="DI14" i="3"/>
  <c r="DI23" i="3"/>
  <c r="DI11" i="3"/>
  <c r="AE14" i="3"/>
  <c r="AJ14" i="3" s="1"/>
  <c r="DI15" i="3"/>
  <c r="BA23" i="3"/>
  <c r="AZ53" i="3" s="1"/>
  <c r="DI32" i="3"/>
  <c r="DI8" i="3"/>
  <c r="BA15" i="3"/>
  <c r="DI21" i="3"/>
  <c r="AE24" i="3"/>
  <c r="AJ24" i="3" s="1"/>
  <c r="AL24" i="3"/>
  <c r="F26" i="2" s="1"/>
  <c r="BA24" i="3"/>
  <c r="AZ54" i="3" s="1"/>
  <c r="DI27" i="3"/>
  <c r="AE32" i="3"/>
  <c r="AJ32" i="3" s="1"/>
  <c r="AL32" i="3"/>
  <c r="F34" i="2" s="1"/>
  <c r="BA32" i="3"/>
  <c r="AZ62" i="3" s="1"/>
  <c r="DH23" i="3"/>
  <c r="DH11" i="3"/>
  <c r="DJ11" i="3" s="1"/>
  <c r="AD20" i="3"/>
  <c r="AH20" i="3" s="1"/>
  <c r="AK20" i="3"/>
  <c r="E22" i="2" s="1"/>
  <c r="DH27" i="3"/>
  <c r="DH14" i="3"/>
  <c r="DH20" i="3"/>
  <c r="AD23" i="3"/>
  <c r="AH23" i="3" s="1"/>
  <c r="AK23" i="3"/>
  <c r="E25" i="2" s="1"/>
  <c r="DH22" i="3"/>
  <c r="CJ8" i="3"/>
  <c r="BQ12" i="3"/>
  <c r="DI13" i="3"/>
  <c r="CC27" i="3"/>
  <c r="DH16" i="3"/>
  <c r="AZ17" i="3"/>
  <c r="BQ24" i="3"/>
  <c r="BV25" i="3"/>
  <c r="BQ32" i="3"/>
  <c r="AL10" i="3"/>
  <c r="F12" i="2" s="1"/>
  <c r="AE11" i="3"/>
  <c r="AJ11" i="3" s="1"/>
  <c r="AL11" i="3"/>
  <c r="F13" i="2" s="1"/>
  <c r="BA11" i="3"/>
  <c r="AZ41" i="3" s="1"/>
  <c r="AE13" i="3"/>
  <c r="AJ13" i="3" s="1"/>
  <c r="AL13" i="3"/>
  <c r="BA13" i="3"/>
  <c r="AZ43" i="3" s="1"/>
  <c r="CC13" i="3"/>
  <c r="CJ16" i="3"/>
  <c r="BV21" i="3"/>
  <c r="CJ21" i="3"/>
  <c r="CC23" i="3"/>
  <c r="CC26" i="3"/>
  <c r="AE29" i="3"/>
  <c r="AJ29" i="3" s="1"/>
  <c r="AL29" i="3"/>
  <c r="F31" i="2" s="1"/>
  <c r="BQ29" i="3"/>
  <c r="DI29" i="3"/>
  <c r="AE31" i="3"/>
  <c r="AJ31" i="3" s="1"/>
  <c r="AL31" i="3"/>
  <c r="F33" i="2" s="1"/>
  <c r="BQ31" i="3"/>
  <c r="DI31" i="3"/>
  <c r="DH8" i="3"/>
  <c r="AK9" i="3"/>
  <c r="E11" i="2" s="1"/>
  <c r="AD10" i="3"/>
  <c r="AH10" i="3" s="1"/>
  <c r="CJ10" i="3"/>
  <c r="DH10" i="3"/>
  <c r="AZ11" i="3"/>
  <c r="DH12" i="3"/>
  <c r="DH13" i="3"/>
  <c r="AL14" i="3"/>
  <c r="AE15" i="3"/>
  <c r="AJ15" i="3" s="1"/>
  <c r="AL15" i="3"/>
  <c r="F17" i="2" s="1"/>
  <c r="CJ15" i="3"/>
  <c r="BA17" i="3"/>
  <c r="AZ47" i="3" s="1"/>
  <c r="BQ17" i="3"/>
  <c r="AD18" i="3"/>
  <c r="AH18" i="3" s="1"/>
  <c r="AK18" i="3"/>
  <c r="E20" i="2" s="1"/>
  <c r="DH18" i="3"/>
  <c r="BV20" i="3"/>
  <c r="AZ23" i="3"/>
  <c r="AD24" i="3"/>
  <c r="AH24" i="3" s="1"/>
  <c r="AK24" i="3"/>
  <c r="E26" i="2" s="1"/>
  <c r="AZ24" i="3"/>
  <c r="AK26" i="3"/>
  <c r="E28" i="2" s="1"/>
  <c r="AE27" i="3"/>
  <c r="AJ27" i="3" s="1"/>
  <c r="AZ27" i="3"/>
  <c r="DH29" i="3"/>
  <c r="DH31" i="3"/>
  <c r="AZ26" i="3"/>
  <c r="CC8" i="3"/>
  <c r="CC9" i="3"/>
  <c r="CC10" i="3"/>
  <c r="BV12" i="3"/>
  <c r="BQ22" i="3"/>
  <c r="CJ25" i="3"/>
  <c r="O33" i="3"/>
  <c r="E9" i="2"/>
  <c r="AL8" i="3"/>
  <c r="F10" i="2" s="1"/>
  <c r="AL12" i="3"/>
  <c r="F14" i="2" s="1"/>
  <c r="DI12" i="3"/>
  <c r="BA14" i="3"/>
  <c r="AZ44" i="3" s="1"/>
  <c r="BQ14" i="3"/>
  <c r="BV17" i="3"/>
  <c r="DH17" i="3"/>
  <c r="DI20" i="3"/>
  <c r="BQ21" i="3"/>
  <c r="BA25" i="3"/>
  <c r="BV27" i="3"/>
  <c r="AZ28" i="3"/>
  <c r="BV28" i="3"/>
  <c r="AZ29" i="3"/>
  <c r="BV29" i="3"/>
  <c r="AZ30" i="3"/>
  <c r="BV30" i="3"/>
  <c r="AZ31" i="3"/>
  <c r="BV31" i="3"/>
  <c r="BS33" i="3"/>
  <c r="CJ9" i="3"/>
  <c r="DH9" i="3"/>
  <c r="AE10" i="3"/>
  <c r="AJ10" i="3" s="1"/>
  <c r="BQ11" i="3"/>
  <c r="CC12" i="3"/>
  <c r="BA16" i="3"/>
  <c r="DI17" i="3"/>
  <c r="BA18" i="3"/>
  <c r="BV22" i="3"/>
  <c r="CJ22" i="3"/>
  <c r="BQ26" i="3"/>
  <c r="CJ27" i="3"/>
  <c r="CC11" i="3"/>
  <c r="AE12" i="3"/>
  <c r="AJ12" i="3" s="1"/>
  <c r="AK14" i="3"/>
  <c r="E16" i="2" s="1"/>
  <c r="BL33" i="3"/>
  <c r="CI33" i="3"/>
  <c r="O35" i="4" s="1"/>
  <c r="O37" i="4" s="1"/>
  <c r="AD9" i="3"/>
  <c r="AH9" i="3" s="1"/>
  <c r="AD11" i="3"/>
  <c r="AK11" i="3"/>
  <c r="E13" i="2" s="1"/>
  <c r="AZ12" i="3"/>
  <c r="BA12" i="3"/>
  <c r="AZ42" i="3" s="1"/>
  <c r="CJ12" i="3"/>
  <c r="AZ13" i="3"/>
  <c r="AZ14" i="3"/>
  <c r="AE16" i="3"/>
  <c r="AL16" i="3"/>
  <c r="F18" i="2" s="1"/>
  <c r="BV16" i="3"/>
  <c r="AE17" i="3"/>
  <c r="AJ17" i="3" s="1"/>
  <c r="AL17" i="3"/>
  <c r="F19" i="2" s="1"/>
  <c r="CJ17" i="3"/>
  <c r="CJ18" i="3"/>
  <c r="AZ19" i="3"/>
  <c r="AZ20" i="3"/>
  <c r="BA20" i="3"/>
  <c r="AZ50" i="3" s="1"/>
  <c r="BQ20" i="3"/>
  <c r="AK22" i="3"/>
  <c r="E24" i="2" s="1"/>
  <c r="DI22" i="3"/>
  <c r="BV24" i="3"/>
  <c r="CJ24" i="3"/>
  <c r="AE25" i="3"/>
  <c r="AJ25" i="3" s="1"/>
  <c r="DH25" i="3"/>
  <c r="DJ25" i="3" s="1"/>
  <c r="BV26" i="3"/>
  <c r="AD27" i="3"/>
  <c r="AH27" i="3" s="1"/>
  <c r="AD28" i="3"/>
  <c r="AK28" i="3"/>
  <c r="CC28" i="3"/>
  <c r="AD29" i="3"/>
  <c r="AK29" i="3"/>
  <c r="E31" i="2" s="1"/>
  <c r="CC29" i="3"/>
  <c r="AD30" i="3"/>
  <c r="AH30" i="3" s="1"/>
  <c r="AK30" i="3"/>
  <c r="CC30" i="3"/>
  <c r="AD31" i="3"/>
  <c r="AK31" i="3"/>
  <c r="E33" i="2" s="1"/>
  <c r="CC31" i="3"/>
  <c r="BQ13" i="3"/>
  <c r="AD14" i="3"/>
  <c r="AH14" i="3" s="1"/>
  <c r="DH15" i="3"/>
  <c r="AD16" i="3"/>
  <c r="AH16" i="3" s="1"/>
  <c r="AK16" i="3"/>
  <c r="E18" i="2" s="1"/>
  <c r="BQ16" i="3"/>
  <c r="CC16" i="3"/>
  <c r="AE18" i="3"/>
  <c r="AL18" i="3"/>
  <c r="F20" i="2" s="1"/>
  <c r="AE19" i="3"/>
  <c r="AJ19" i="3" s="1"/>
  <c r="AL19" i="3"/>
  <c r="F21" i="2" s="1"/>
  <c r="BA19" i="3"/>
  <c r="BQ19" i="3"/>
  <c r="AE20" i="3"/>
  <c r="AJ20" i="3" s="1"/>
  <c r="AL20" i="3"/>
  <c r="F22" i="2" s="1"/>
  <c r="G22" i="2" s="1"/>
  <c r="AE22" i="3"/>
  <c r="AL22" i="3"/>
  <c r="F24" i="2" s="1"/>
  <c r="G24" i="2" s="1"/>
  <c r="BA22" i="3"/>
  <c r="AZ52" i="3" s="1"/>
  <c r="AE23" i="3"/>
  <c r="AL23" i="3"/>
  <c r="F25" i="2" s="1"/>
  <c r="BV23" i="3"/>
  <c r="BQ25" i="3"/>
  <c r="AE26" i="3"/>
  <c r="AJ26" i="3" s="1"/>
  <c r="DH26" i="3"/>
  <c r="BA28" i="3"/>
  <c r="AZ58" i="3" s="1"/>
  <c r="CJ28" i="3"/>
  <c r="BA29" i="3"/>
  <c r="AZ59" i="3" s="1"/>
  <c r="CJ29" i="3"/>
  <c r="BA30" i="3"/>
  <c r="AZ60" i="3" s="1"/>
  <c r="CJ30" i="3"/>
  <c r="BA31" i="3"/>
  <c r="AZ61" i="3" s="1"/>
  <c r="CJ31" i="3"/>
  <c r="S33" i="3"/>
  <c r="F9" i="2"/>
  <c r="G9" i="2" s="1"/>
  <c r="C9" i="2"/>
  <c r="AS33" i="3"/>
  <c r="BG33" i="3"/>
  <c r="AD8" i="3"/>
  <c r="DH32" i="3"/>
  <c r="AZ32" i="3"/>
  <c r="AD32" i="3"/>
  <c r="AY33" i="3"/>
  <c r="B9" i="2"/>
  <c r="AR33" i="3"/>
  <c r="CB33" i="3"/>
  <c r="CE33" i="3" s="1"/>
  <c r="CC7" i="3"/>
  <c r="DB33" i="3"/>
  <c r="AE9" i="3"/>
  <c r="CJ11" i="3"/>
  <c r="BN33" i="3"/>
  <c r="BU33" i="3"/>
  <c r="CN33" i="3"/>
  <c r="DL33" i="3"/>
  <c r="AE8" i="3"/>
  <c r="AD15" i="3"/>
  <c r="AD17" i="3"/>
  <c r="CJ19" i="3"/>
  <c r="DH19" i="3"/>
  <c r="CJ20" i="3"/>
  <c r="AD22" i="3"/>
  <c r="AZ22" i="3"/>
  <c r="BA27" i="3"/>
  <c r="AZ57" i="3" s="1"/>
  <c r="F33" i="3"/>
  <c r="AX33" i="3"/>
  <c r="BP33" i="3"/>
  <c r="CP33" i="3"/>
  <c r="DN33" i="3"/>
  <c r="F35" i="4" s="1"/>
  <c r="F37" i="4" s="1"/>
  <c r="K33" i="3"/>
  <c r="AC33" i="3"/>
  <c r="BX33" i="3"/>
  <c r="CW33" i="3"/>
  <c r="O35" i="2" s="1"/>
  <c r="AK15" i="3"/>
  <c r="E17" i="2" s="1"/>
  <c r="AK17" i="3"/>
  <c r="E19" i="2" s="1"/>
  <c r="AD19" i="3"/>
  <c r="AK19" i="3"/>
  <c r="E21" i="2" s="1"/>
  <c r="CC19" i="3"/>
  <c r="CC20" i="3"/>
  <c r="DH21" i="3"/>
  <c r="DI24" i="3"/>
  <c r="DJ24" i="3" s="1"/>
  <c r="AD25" i="3"/>
  <c r="DG33" i="3"/>
  <c r="AD21" i="3"/>
  <c r="AZ21" i="3"/>
  <c r="BA26" i="3"/>
  <c r="AZ56" i="3" s="1"/>
  <c r="X33" i="3"/>
  <c r="CG33" i="3"/>
  <c r="CJ13" i="3"/>
  <c r="CC15" i="3"/>
  <c r="CC17" i="3"/>
  <c r="CC21" i="3"/>
  <c r="CC22" i="3"/>
  <c r="BQ23" i="3"/>
  <c r="AK25" i="3"/>
  <c r="E27" i="2" s="1"/>
  <c r="AD26" i="3"/>
  <c r="CJ23" i="3"/>
  <c r="CC25" i="3"/>
  <c r="AL26" i="3"/>
  <c r="F28" i="2" s="1"/>
  <c r="DI26" i="3"/>
  <c r="AL27" i="3"/>
  <c r="F29" i="2" s="1"/>
  <c r="AK32" i="3"/>
  <c r="E34" i="2" s="1"/>
  <c r="G25" i="2" l="1"/>
  <c r="DJ20" i="3"/>
  <c r="M16" i="4"/>
  <c r="CD33" i="3"/>
  <c r="B17" i="2"/>
  <c r="H17" i="2" s="1"/>
  <c r="AH15" i="3"/>
  <c r="C23" i="2"/>
  <c r="AJ21" i="3"/>
  <c r="C10" i="2"/>
  <c r="I10" i="2" s="1"/>
  <c r="AJ8" i="3"/>
  <c r="B10" i="2"/>
  <c r="H10" i="2" s="1"/>
  <c r="AH8" i="3"/>
  <c r="B33" i="2"/>
  <c r="H33" i="2" s="1"/>
  <c r="AH31" i="3"/>
  <c r="C18" i="2"/>
  <c r="I18" i="2" s="1"/>
  <c r="AJ16" i="3"/>
  <c r="CT28" i="3"/>
  <c r="AJ28" i="3"/>
  <c r="C25" i="2"/>
  <c r="I25" i="2" s="1"/>
  <c r="AJ23" i="3"/>
  <c r="B28" i="2"/>
  <c r="AH26" i="3"/>
  <c r="B23" i="2"/>
  <c r="H23" i="2" s="1"/>
  <c r="AH21" i="3"/>
  <c r="B21" i="2"/>
  <c r="H21" i="2" s="1"/>
  <c r="AH19" i="3"/>
  <c r="B34" i="2"/>
  <c r="H34" i="2" s="1"/>
  <c r="AH32" i="3"/>
  <c r="B30" i="2"/>
  <c r="AH28" i="3"/>
  <c r="C32" i="2"/>
  <c r="I32" i="2" s="1"/>
  <c r="AJ30" i="3"/>
  <c r="B14" i="2"/>
  <c r="AH12" i="3"/>
  <c r="B27" i="2"/>
  <c r="H27" i="2" s="1"/>
  <c r="AH25" i="3"/>
  <c r="B13" i="2"/>
  <c r="H13" i="2" s="1"/>
  <c r="AH11" i="3"/>
  <c r="B24" i="2"/>
  <c r="H24" i="2" s="1"/>
  <c r="AH22" i="3"/>
  <c r="B19" i="2"/>
  <c r="H19" i="2" s="1"/>
  <c r="AH17" i="3"/>
  <c r="C11" i="2"/>
  <c r="I11" i="2" s="1"/>
  <c r="AJ9" i="3"/>
  <c r="C24" i="2"/>
  <c r="I24" i="2" s="1"/>
  <c r="AJ22" i="3"/>
  <c r="C20" i="2"/>
  <c r="I20" i="2" s="1"/>
  <c r="AJ18" i="3"/>
  <c r="B31" i="2"/>
  <c r="H31" i="2" s="1"/>
  <c r="AH29" i="3"/>
  <c r="G29" i="2"/>
  <c r="G19" i="2"/>
  <c r="H28" i="2"/>
  <c r="G20" i="2"/>
  <c r="G28" i="2"/>
  <c r="DJ30" i="3"/>
  <c r="DJ16" i="3"/>
  <c r="G18" i="2"/>
  <c r="G33" i="2"/>
  <c r="G31" i="2"/>
  <c r="H14" i="2"/>
  <c r="H9" i="2"/>
  <c r="G14" i="2"/>
  <c r="G27" i="2"/>
  <c r="K35" i="2"/>
  <c r="K37" i="2" s="1"/>
  <c r="R35" i="4"/>
  <c r="R37" i="4" s="1"/>
  <c r="B29" i="2"/>
  <c r="H29" i="2" s="1"/>
  <c r="G13" i="2"/>
  <c r="B15" i="2"/>
  <c r="H15" i="2" s="1"/>
  <c r="I9" i="2"/>
  <c r="D9" i="2"/>
  <c r="C28" i="2"/>
  <c r="AF30" i="3"/>
  <c r="B32" i="2"/>
  <c r="C33" i="2"/>
  <c r="C31" i="2"/>
  <c r="AM13" i="3"/>
  <c r="F15" i="2"/>
  <c r="G15" i="2" s="1"/>
  <c r="C35" i="4"/>
  <c r="C37" i="4" s="1"/>
  <c r="BB18" i="3"/>
  <c r="AZ48" i="3"/>
  <c r="CR33" i="3"/>
  <c r="M35" i="2" s="1"/>
  <c r="G10" i="2"/>
  <c r="C29" i="2"/>
  <c r="B26" i="2"/>
  <c r="H26" i="2" s="1"/>
  <c r="AF13" i="3"/>
  <c r="C15" i="2"/>
  <c r="G12" i="2"/>
  <c r="B25" i="2"/>
  <c r="H25" i="2" s="1"/>
  <c r="BB15" i="3"/>
  <c r="AZ45" i="3"/>
  <c r="G11" i="2"/>
  <c r="BB19" i="3"/>
  <c r="AZ49" i="3"/>
  <c r="B18" i="2"/>
  <c r="H18" i="2" s="1"/>
  <c r="AM30" i="3"/>
  <c r="E32" i="2"/>
  <c r="G32" i="2" s="1"/>
  <c r="C14" i="2"/>
  <c r="BB16" i="3"/>
  <c r="AZ46" i="3"/>
  <c r="C17" i="2"/>
  <c r="C34" i="2"/>
  <c r="C26" i="2"/>
  <c r="H35" i="4"/>
  <c r="H37" i="4" s="1"/>
  <c r="G21" i="2"/>
  <c r="BB25" i="3"/>
  <c r="AZ55" i="3"/>
  <c r="CT14" i="3"/>
  <c r="F16" i="2"/>
  <c r="G16" i="2" s="1"/>
  <c r="C13" i="2"/>
  <c r="AM21" i="3"/>
  <c r="F23" i="2"/>
  <c r="G23" i="2" s="1"/>
  <c r="N35" i="4"/>
  <c r="CQ33" i="3"/>
  <c r="L35" i="2" s="1"/>
  <c r="L9" i="2"/>
  <c r="I35" i="4"/>
  <c r="I37" i="4" s="1"/>
  <c r="E35" i="4"/>
  <c r="L35" i="4"/>
  <c r="L37" i="4" s="1"/>
  <c r="C22" i="2"/>
  <c r="C21" i="2"/>
  <c r="B16" i="2"/>
  <c r="H16" i="2" s="1"/>
  <c r="AM28" i="3"/>
  <c r="E30" i="2"/>
  <c r="G30" i="2" s="1"/>
  <c r="K35" i="4"/>
  <c r="K37" i="4" s="1"/>
  <c r="J35" i="2"/>
  <c r="J37" i="2" s="1"/>
  <c r="B35" i="4"/>
  <c r="B37" i="4" s="1"/>
  <c r="C27" i="2"/>
  <c r="C19" i="2"/>
  <c r="B11" i="2"/>
  <c r="H11" i="2" s="1"/>
  <c r="C12" i="2"/>
  <c r="Q35" i="4"/>
  <c r="Q37" i="4" s="1"/>
  <c r="B20" i="2"/>
  <c r="H20" i="2" s="1"/>
  <c r="G17" i="2"/>
  <c r="B12" i="2"/>
  <c r="H12" i="2" s="1"/>
  <c r="B22" i="2"/>
  <c r="H22" i="2" s="1"/>
  <c r="G34" i="2"/>
  <c r="G26" i="2"/>
  <c r="C16" i="2"/>
  <c r="C30" i="2"/>
  <c r="CT30" i="3"/>
  <c r="AM12" i="3"/>
  <c r="CS12" i="3"/>
  <c r="DJ10" i="3"/>
  <c r="BB21" i="3"/>
  <c r="DJ32" i="3"/>
  <c r="DJ28" i="3"/>
  <c r="CT21" i="3"/>
  <c r="CT19" i="3"/>
  <c r="AM31" i="3"/>
  <c r="AF14" i="3"/>
  <c r="AM27" i="3"/>
  <c r="AF32" i="3"/>
  <c r="CT25" i="3"/>
  <c r="CT32" i="3"/>
  <c r="CT24" i="3"/>
  <c r="DJ27" i="3"/>
  <c r="AM8" i="3"/>
  <c r="DJ18" i="3"/>
  <c r="DJ15" i="3"/>
  <c r="DJ23" i="3"/>
  <c r="CT31" i="3"/>
  <c r="AM17" i="3"/>
  <c r="DJ9" i="3"/>
  <c r="AM9" i="3"/>
  <c r="CS13" i="3"/>
  <c r="DJ19" i="3"/>
  <c r="AM10" i="3"/>
  <c r="DJ31" i="3"/>
  <c r="CJ33" i="3"/>
  <c r="AF23" i="3"/>
  <c r="AM32" i="3"/>
  <c r="DJ21" i="3"/>
  <c r="BB30" i="3"/>
  <c r="BB28" i="3"/>
  <c r="AF31" i="3"/>
  <c r="AM11" i="3"/>
  <c r="DJ13" i="3"/>
  <c r="CT29" i="3"/>
  <c r="AM25" i="3"/>
  <c r="CS24" i="3"/>
  <c r="CS23" i="3"/>
  <c r="BV33" i="3"/>
  <c r="BB32" i="3"/>
  <c r="BB13" i="3"/>
  <c r="BB11" i="3"/>
  <c r="BB26" i="3"/>
  <c r="BB12" i="3"/>
  <c r="AM19" i="3"/>
  <c r="AM24" i="3"/>
  <c r="CS20" i="3"/>
  <c r="AM23" i="3"/>
  <c r="AM20" i="3"/>
  <c r="CT20" i="3"/>
  <c r="AM14" i="3"/>
  <c r="BB23" i="3"/>
  <c r="BB22" i="3"/>
  <c r="AF20" i="3"/>
  <c r="BB24" i="3"/>
  <c r="DJ8" i="3"/>
  <c r="DJ14" i="3"/>
  <c r="BB17" i="3"/>
  <c r="CS9" i="3"/>
  <c r="BB31" i="3"/>
  <c r="BB29" i="3"/>
  <c r="BB27" i="3"/>
  <c r="CS18" i="3"/>
  <c r="DJ29" i="3"/>
  <c r="CT10" i="3"/>
  <c r="AF19" i="3"/>
  <c r="CT13" i="3"/>
  <c r="AF27" i="3"/>
  <c r="CS10" i="3"/>
  <c r="DJ26" i="3"/>
  <c r="AF10" i="3"/>
  <c r="AM26" i="3"/>
  <c r="AF17" i="3"/>
  <c r="CT11" i="3"/>
  <c r="CT23" i="3"/>
  <c r="AF24" i="3"/>
  <c r="AM15" i="3"/>
  <c r="AF15" i="3"/>
  <c r="CT15" i="3"/>
  <c r="AM22" i="3"/>
  <c r="AM18" i="3"/>
  <c r="CS16" i="3"/>
  <c r="AM29" i="3"/>
  <c r="DJ22" i="3"/>
  <c r="CS11" i="3"/>
  <c r="DJ12" i="3"/>
  <c r="CS28" i="3"/>
  <c r="AF16" i="3"/>
  <c r="CT16" i="3"/>
  <c r="AF11" i="3"/>
  <c r="CT22" i="3"/>
  <c r="CT18" i="3"/>
  <c r="AF18" i="3"/>
  <c r="CS29" i="3"/>
  <c r="DJ17" i="3"/>
  <c r="AF28" i="3"/>
  <c r="AF12" i="3"/>
  <c r="CT17" i="3"/>
  <c r="CT12" i="3"/>
  <c r="CS30" i="3"/>
  <c r="AF29" i="3"/>
  <c r="AF25" i="3"/>
  <c r="AF22" i="3"/>
  <c r="CS31" i="3"/>
  <c r="BB20" i="3"/>
  <c r="AM16" i="3"/>
  <c r="CS14" i="3"/>
  <c r="CS27" i="3"/>
  <c r="BB14" i="3"/>
  <c r="BQ33" i="3"/>
  <c r="DH33" i="3"/>
  <c r="CS8" i="3"/>
  <c r="AE33" i="3"/>
  <c r="CS21" i="3"/>
  <c r="CS22" i="3"/>
  <c r="DI33" i="3"/>
  <c r="BA33" i="3"/>
  <c r="CS25" i="3"/>
  <c r="CT9" i="3"/>
  <c r="AF9" i="3"/>
  <c r="CC33" i="3"/>
  <c r="CT26" i="3"/>
  <c r="AK33" i="3"/>
  <c r="CS26" i="3"/>
  <c r="CS19" i="3"/>
  <c r="AF8" i="3"/>
  <c r="CT8" i="3"/>
  <c r="AZ33" i="3"/>
  <c r="CT27" i="3"/>
  <c r="CS17" i="3"/>
  <c r="CS15" i="3"/>
  <c r="AD33" i="3"/>
  <c r="CS32" i="3"/>
  <c r="AF26" i="3"/>
  <c r="AF21" i="3"/>
  <c r="AL33" i="3"/>
  <c r="AZ63" i="3" l="1"/>
  <c r="D24" i="2"/>
  <c r="D23" i="2"/>
  <c r="D10" i="2"/>
  <c r="D32" i="2"/>
  <c r="M37" i="4"/>
  <c r="D37" i="4"/>
  <c r="S37" i="4"/>
  <c r="G35" i="4"/>
  <c r="E37" i="4"/>
  <c r="G37" i="4" s="1"/>
  <c r="J37" i="4"/>
  <c r="P35" i="4"/>
  <c r="N37" i="4"/>
  <c r="P37" i="4" s="1"/>
  <c r="J35" i="4"/>
  <c r="D35" i="4"/>
  <c r="D25" i="2"/>
  <c r="H30" i="2"/>
  <c r="D18" i="2"/>
  <c r="D11" i="2"/>
  <c r="I16" i="2"/>
  <c r="D16" i="2"/>
  <c r="D30" i="2"/>
  <c r="I30" i="2"/>
  <c r="I19" i="2"/>
  <c r="D19" i="2"/>
  <c r="D13" i="2"/>
  <c r="I13" i="2"/>
  <c r="S35" i="4"/>
  <c r="I15" i="2"/>
  <c r="D15" i="2"/>
  <c r="D29" i="2"/>
  <c r="I29" i="2"/>
  <c r="D33" i="2"/>
  <c r="I33" i="2"/>
  <c r="B35" i="2"/>
  <c r="I31" i="2"/>
  <c r="D31" i="2"/>
  <c r="F35" i="2"/>
  <c r="D12" i="2"/>
  <c r="I12" i="2"/>
  <c r="D22" i="2"/>
  <c r="I22" i="2"/>
  <c r="D34" i="2"/>
  <c r="I34" i="2"/>
  <c r="H32" i="2"/>
  <c r="E35" i="2"/>
  <c r="E37" i="2" s="1"/>
  <c r="C35" i="2"/>
  <c r="I27" i="2"/>
  <c r="D27" i="2"/>
  <c r="M35" i="4"/>
  <c r="D21" i="2"/>
  <c r="I21" i="2"/>
  <c r="D26" i="2"/>
  <c r="I26" i="2"/>
  <c r="D17" i="2"/>
  <c r="I17" i="2"/>
  <c r="D14" i="2"/>
  <c r="I14" i="2"/>
  <c r="I23" i="2"/>
  <c r="D28" i="2"/>
  <c r="I28" i="2"/>
  <c r="D20" i="2"/>
  <c r="DJ33" i="3"/>
  <c r="AH33" i="3"/>
  <c r="BB33" i="3"/>
  <c r="CT33" i="3"/>
  <c r="AM33" i="3"/>
  <c r="AF33" i="3"/>
  <c r="CS33" i="3"/>
  <c r="AJ33" i="3"/>
  <c r="F37" i="2" l="1"/>
  <c r="G35" i="2"/>
  <c r="C37" i="2"/>
  <c r="I35" i="2"/>
  <c r="I37" i="2" s="1"/>
  <c r="D35" i="2"/>
  <c r="B37" i="2"/>
  <c r="H35" i="2"/>
  <c r="H37" i="2" s="1"/>
  <c r="C165" i="1"/>
  <c r="J165" i="1"/>
  <c r="L149" i="1" l="1"/>
  <c r="L148" i="1"/>
  <c r="X148" i="1" s="1"/>
  <c r="L147" i="1"/>
  <c r="X147" i="1" s="1"/>
  <c r="L146" i="1"/>
  <c r="X146" i="1" s="1"/>
  <c r="L145" i="1"/>
  <c r="X145" i="1" s="1"/>
  <c r="L144" i="1"/>
  <c r="X144" i="1" s="1"/>
  <c r="L143" i="1"/>
  <c r="X143" i="1" s="1"/>
  <c r="L142" i="1"/>
  <c r="X142" i="1" s="1"/>
  <c r="E143" i="1"/>
  <c r="R143" i="1" s="1"/>
  <c r="E144" i="1"/>
  <c r="R144" i="1" s="1"/>
  <c r="E145" i="1"/>
  <c r="R145" i="1" s="1"/>
  <c r="E146" i="1"/>
  <c r="R146" i="1" s="1"/>
  <c r="E147" i="1"/>
  <c r="R147" i="1" s="1"/>
  <c r="E148" i="1"/>
  <c r="R148" i="1" s="1"/>
  <c r="E149" i="1"/>
  <c r="R149" i="1" s="1"/>
  <c r="E142" i="1"/>
  <c r="R142" i="1" s="1"/>
  <c r="L13" i="1"/>
  <c r="X13" i="1" s="1"/>
  <c r="L14" i="1"/>
  <c r="X14" i="1" s="1"/>
  <c r="L15" i="1"/>
  <c r="X15" i="1" s="1"/>
  <c r="BP34" i="3" s="1"/>
  <c r="L16" i="1"/>
  <c r="X16" i="1" s="1"/>
  <c r="CB34" i="3" s="1"/>
  <c r="L17" i="1"/>
  <c r="X17" i="1" s="1"/>
  <c r="L18" i="1"/>
  <c r="X18" i="1" s="1"/>
  <c r="L19" i="1"/>
  <c r="X19" i="1" s="1"/>
  <c r="L20" i="1"/>
  <c r="X20" i="1" s="1"/>
  <c r="L21" i="1"/>
  <c r="L22" i="1"/>
  <c r="X22" i="1" s="1"/>
  <c r="L23" i="1"/>
  <c r="X23" i="1" s="1"/>
  <c r="L24" i="1"/>
  <c r="X24" i="1" s="1"/>
  <c r="L25" i="1"/>
  <c r="X25" i="1" s="1"/>
  <c r="L26" i="1"/>
  <c r="X26" i="1" s="1"/>
  <c r="L27" i="1"/>
  <c r="X27" i="1" s="1"/>
  <c r="L28" i="1"/>
  <c r="X28" i="1" s="1"/>
  <c r="L11" i="1"/>
  <c r="X11" i="1" s="1"/>
  <c r="BL34" i="3" s="1"/>
  <c r="BL35" i="3" s="1"/>
  <c r="L132" i="1"/>
  <c r="S34" i="3" s="1"/>
  <c r="S35" i="3" s="1"/>
  <c r="E132" i="1"/>
  <c r="E12" i="1"/>
  <c r="R12" i="1" s="1"/>
  <c r="E13" i="1"/>
  <c r="R13" i="1" s="1"/>
  <c r="DL34" i="3" s="1"/>
  <c r="DL35" i="3" s="1"/>
  <c r="E14" i="1"/>
  <c r="R14" i="1" s="1"/>
  <c r="E15" i="1"/>
  <c r="R15" i="1" s="1"/>
  <c r="BN34" i="3" s="1"/>
  <c r="BN35" i="3" s="1"/>
  <c r="E16" i="1"/>
  <c r="R16" i="1" s="1"/>
  <c r="BX34" i="3" s="1"/>
  <c r="BX35" i="3" s="1"/>
  <c r="E17" i="1"/>
  <c r="E18" i="1"/>
  <c r="R18" i="1" s="1"/>
  <c r="E19" i="1"/>
  <c r="R19" i="1" s="1"/>
  <c r="E20" i="1"/>
  <c r="R20" i="1" s="1"/>
  <c r="E21" i="1"/>
  <c r="E22" i="1"/>
  <c r="R22" i="1" s="1"/>
  <c r="E23" i="1"/>
  <c r="R23" i="1" s="1"/>
  <c r="BS34" i="3" s="1"/>
  <c r="BS35" i="3" s="1"/>
  <c r="E24" i="1"/>
  <c r="R24" i="1" s="1"/>
  <c r="E25" i="1"/>
  <c r="E26" i="1"/>
  <c r="R26" i="1" s="1"/>
  <c r="E11" i="1"/>
  <c r="R11" i="1" s="1"/>
  <c r="BG34" i="3" s="1"/>
  <c r="BG35" i="3" s="1"/>
  <c r="AA168" i="1"/>
  <c r="Z168" i="1"/>
  <c r="Y168" i="1"/>
  <c r="W168" i="1"/>
  <c r="U168" i="1"/>
  <c r="T168" i="1"/>
  <c r="AF168" i="1" s="1"/>
  <c r="S168" i="1"/>
  <c r="Q168" i="1"/>
  <c r="L168" i="1"/>
  <c r="X168" i="1" s="1"/>
  <c r="E168" i="1"/>
  <c r="R168" i="1" s="1"/>
  <c r="AA167" i="1"/>
  <c r="Z167" i="1"/>
  <c r="Y167" i="1"/>
  <c r="W167" i="1"/>
  <c r="U167" i="1"/>
  <c r="T167" i="1"/>
  <c r="S167" i="1"/>
  <c r="Q167" i="1"/>
  <c r="L167" i="1"/>
  <c r="E167" i="1"/>
  <c r="AA166" i="1"/>
  <c r="Z166" i="1"/>
  <c r="Y166" i="1"/>
  <c r="W166" i="1"/>
  <c r="U166" i="1"/>
  <c r="T166" i="1"/>
  <c r="S166" i="1"/>
  <c r="Q166" i="1"/>
  <c r="L166" i="1"/>
  <c r="E166" i="1"/>
  <c r="O165" i="1"/>
  <c r="AA165" i="1" s="1"/>
  <c r="N165" i="1"/>
  <c r="Z165" i="1" s="1"/>
  <c r="M165" i="1"/>
  <c r="Y165" i="1" s="1"/>
  <c r="K165" i="1"/>
  <c r="H165" i="1"/>
  <c r="U165" i="1" s="1"/>
  <c r="G165" i="1"/>
  <c r="T165" i="1" s="1"/>
  <c r="F165" i="1"/>
  <c r="D165" i="1"/>
  <c r="DU34" i="3"/>
  <c r="DU35" i="3" s="1"/>
  <c r="O163" i="1"/>
  <c r="AA163" i="1" s="1"/>
  <c r="N163" i="1"/>
  <c r="M163" i="1"/>
  <c r="Y163" i="1" s="1"/>
  <c r="H163" i="1"/>
  <c r="U163" i="1" s="1"/>
  <c r="G163" i="1"/>
  <c r="T163" i="1" s="1"/>
  <c r="F163" i="1"/>
  <c r="AA162" i="1"/>
  <c r="Z162" i="1"/>
  <c r="Y162" i="1"/>
  <c r="W162" i="1"/>
  <c r="U162" i="1"/>
  <c r="T162" i="1"/>
  <c r="S162" i="1"/>
  <c r="Q162" i="1"/>
  <c r="AC162" i="1" s="1"/>
  <c r="L162" i="1"/>
  <c r="I162" i="1" s="1"/>
  <c r="V162" i="1" s="1"/>
  <c r="E162" i="1"/>
  <c r="R162" i="1" s="1"/>
  <c r="AA161" i="1"/>
  <c r="Z161" i="1"/>
  <c r="Y161" i="1"/>
  <c r="W161" i="1"/>
  <c r="U161" i="1"/>
  <c r="T161" i="1"/>
  <c r="S161" i="1"/>
  <c r="Q161" i="1"/>
  <c r="L161" i="1"/>
  <c r="I161" i="1" s="1"/>
  <c r="V161" i="1" s="1"/>
  <c r="E161" i="1"/>
  <c r="B161" i="1" s="1"/>
  <c r="P161" i="1" s="1"/>
  <c r="AA160" i="1"/>
  <c r="Z160" i="1"/>
  <c r="Y160" i="1"/>
  <c r="W160" i="1"/>
  <c r="U160" i="1"/>
  <c r="T160" i="1"/>
  <c r="S160" i="1"/>
  <c r="Q160" i="1"/>
  <c r="L160" i="1"/>
  <c r="I160" i="1" s="1"/>
  <c r="V160" i="1" s="1"/>
  <c r="E160" i="1"/>
  <c r="R160" i="1" s="1"/>
  <c r="CK34" i="3" s="1"/>
  <c r="CK35" i="3" s="1"/>
  <c r="O151" i="1"/>
  <c r="N151" i="1"/>
  <c r="M151" i="1"/>
  <c r="K151" i="1"/>
  <c r="J151" i="1"/>
  <c r="I151" i="1"/>
  <c r="H151" i="1"/>
  <c r="G151" i="1"/>
  <c r="F151" i="1"/>
  <c r="D151" i="1"/>
  <c r="C151" i="1"/>
  <c r="B151" i="1"/>
  <c r="P151" i="1" s="1"/>
  <c r="J150" i="1"/>
  <c r="C150" i="1"/>
  <c r="AA149" i="1"/>
  <c r="Z149" i="1"/>
  <c r="Y149" i="1"/>
  <c r="X149" i="1"/>
  <c r="W149" i="1"/>
  <c r="V149" i="1"/>
  <c r="U149" i="1"/>
  <c r="T149" i="1"/>
  <c r="S149" i="1"/>
  <c r="Q149" i="1"/>
  <c r="P149" i="1"/>
  <c r="AA148" i="1"/>
  <c r="Z148" i="1"/>
  <c r="Y148" i="1"/>
  <c r="W148" i="1"/>
  <c r="V148" i="1"/>
  <c r="U148" i="1"/>
  <c r="T148" i="1"/>
  <c r="S148" i="1"/>
  <c r="Q148" i="1"/>
  <c r="P148" i="1"/>
  <c r="AA147" i="1"/>
  <c r="Z147" i="1"/>
  <c r="Y147" i="1"/>
  <c r="W147" i="1"/>
  <c r="V147" i="1"/>
  <c r="U147" i="1"/>
  <c r="T147" i="1"/>
  <c r="S147" i="1"/>
  <c r="Q147" i="1"/>
  <c r="P147" i="1"/>
  <c r="AA146" i="1"/>
  <c r="Z146" i="1"/>
  <c r="Y146" i="1"/>
  <c r="W146" i="1"/>
  <c r="V146" i="1"/>
  <c r="U146" i="1"/>
  <c r="T146" i="1"/>
  <c r="S146" i="1"/>
  <c r="Q146" i="1"/>
  <c r="P146" i="1"/>
  <c r="AA145" i="1"/>
  <c r="Z145" i="1"/>
  <c r="Y145" i="1"/>
  <c r="W145" i="1"/>
  <c r="V145" i="1"/>
  <c r="U145" i="1"/>
  <c r="T145" i="1"/>
  <c r="S145" i="1"/>
  <c r="Q145" i="1"/>
  <c r="P145" i="1"/>
  <c r="AA144" i="1"/>
  <c r="Z144" i="1"/>
  <c r="Y144" i="1"/>
  <c r="W144" i="1"/>
  <c r="V144" i="1"/>
  <c r="U144" i="1"/>
  <c r="T144" i="1"/>
  <c r="S144" i="1"/>
  <c r="Q144" i="1"/>
  <c r="P144" i="1"/>
  <c r="AA143" i="1"/>
  <c r="Z143" i="1"/>
  <c r="Y143" i="1"/>
  <c r="W143" i="1"/>
  <c r="V143" i="1"/>
  <c r="U143" i="1"/>
  <c r="T143" i="1"/>
  <c r="S143" i="1"/>
  <c r="Q143" i="1"/>
  <c r="P143" i="1"/>
  <c r="AA142" i="1"/>
  <c r="Z142" i="1"/>
  <c r="Y142" i="1"/>
  <c r="W142" i="1"/>
  <c r="V142" i="1"/>
  <c r="U142" i="1"/>
  <c r="T142" i="1"/>
  <c r="S142" i="1"/>
  <c r="Q142" i="1"/>
  <c r="AA135" i="1"/>
  <c r="Z135" i="1"/>
  <c r="Y135" i="1"/>
  <c r="W135" i="1"/>
  <c r="V135" i="1"/>
  <c r="U135" i="1"/>
  <c r="T135" i="1"/>
  <c r="S135" i="1"/>
  <c r="Q135" i="1"/>
  <c r="P135" i="1"/>
  <c r="L135" i="1"/>
  <c r="E135" i="1"/>
  <c r="R135" i="1" s="1"/>
  <c r="O133" i="1"/>
  <c r="N133" i="1"/>
  <c r="M133" i="1"/>
  <c r="K133" i="1"/>
  <c r="J133" i="1"/>
  <c r="I133" i="1"/>
  <c r="H133" i="1"/>
  <c r="G133" i="1"/>
  <c r="F133" i="1"/>
  <c r="D133" i="1"/>
  <c r="C133" i="1"/>
  <c r="B133" i="1"/>
  <c r="AA132" i="1"/>
  <c r="Z132" i="1"/>
  <c r="Y132" i="1"/>
  <c r="W132" i="1"/>
  <c r="V132" i="1"/>
  <c r="U132" i="1"/>
  <c r="AG132" i="1" s="1"/>
  <c r="T132" i="1"/>
  <c r="S132" i="1"/>
  <c r="Q132" i="1"/>
  <c r="P132" i="1"/>
  <c r="O130" i="1"/>
  <c r="O131" i="1" s="1"/>
  <c r="AA131" i="1" s="1"/>
  <c r="N130" i="1"/>
  <c r="N131" i="1" s="1"/>
  <c r="Z131" i="1" s="1"/>
  <c r="M130" i="1"/>
  <c r="M131" i="1" s="1"/>
  <c r="Y131" i="1" s="1"/>
  <c r="K131" i="1"/>
  <c r="W131" i="1" s="1"/>
  <c r="J131" i="1"/>
  <c r="I131" i="1"/>
  <c r="V131" i="1" s="1"/>
  <c r="U130" i="1"/>
  <c r="G131" i="1"/>
  <c r="T131" i="1" s="1"/>
  <c r="D130" i="1"/>
  <c r="Q130" i="1" s="1"/>
  <c r="C130" i="1"/>
  <c r="C131" i="1" s="1"/>
  <c r="B130" i="1"/>
  <c r="P130" i="1" s="1"/>
  <c r="AA129" i="1"/>
  <c r="Z129" i="1"/>
  <c r="Y129" i="1"/>
  <c r="W129" i="1"/>
  <c r="V129" i="1"/>
  <c r="U129" i="1"/>
  <c r="T129" i="1"/>
  <c r="S129" i="1"/>
  <c r="Q129" i="1"/>
  <c r="P129" i="1"/>
  <c r="AA128" i="1"/>
  <c r="Z128" i="1"/>
  <c r="Y128" i="1"/>
  <c r="W128" i="1"/>
  <c r="V128" i="1"/>
  <c r="U128" i="1"/>
  <c r="T128" i="1"/>
  <c r="S128" i="1"/>
  <c r="Q128" i="1"/>
  <c r="P128" i="1"/>
  <c r="AA127" i="1"/>
  <c r="Z127" i="1"/>
  <c r="Y127" i="1"/>
  <c r="W127" i="1"/>
  <c r="V127" i="1"/>
  <c r="U127" i="1"/>
  <c r="T127" i="1"/>
  <c r="S127" i="1"/>
  <c r="Q127" i="1"/>
  <c r="P127" i="1"/>
  <c r="AA126" i="1"/>
  <c r="Z126" i="1"/>
  <c r="Y126" i="1"/>
  <c r="W126" i="1"/>
  <c r="V126" i="1"/>
  <c r="U126" i="1"/>
  <c r="T126" i="1"/>
  <c r="S126" i="1"/>
  <c r="Q126" i="1"/>
  <c r="P126" i="1"/>
  <c r="AA125" i="1"/>
  <c r="Z125" i="1"/>
  <c r="Y125" i="1"/>
  <c r="W125" i="1"/>
  <c r="V125" i="1"/>
  <c r="U125" i="1"/>
  <c r="T125" i="1"/>
  <c r="S125" i="1"/>
  <c r="Q125" i="1"/>
  <c r="P125" i="1"/>
  <c r="L125" i="1"/>
  <c r="X125" i="1" s="1"/>
  <c r="E125" i="1"/>
  <c r="R125" i="1" s="1"/>
  <c r="AA124" i="1"/>
  <c r="Z124" i="1"/>
  <c r="Y124" i="1"/>
  <c r="W124" i="1"/>
  <c r="V124" i="1"/>
  <c r="U124" i="1"/>
  <c r="T124" i="1"/>
  <c r="S124" i="1"/>
  <c r="Q124" i="1"/>
  <c r="P124" i="1"/>
  <c r="L124" i="1"/>
  <c r="X124" i="1" s="1"/>
  <c r="R124" i="1"/>
  <c r="AA123" i="1"/>
  <c r="Z123" i="1"/>
  <c r="W123" i="1"/>
  <c r="U123" i="1"/>
  <c r="T123" i="1"/>
  <c r="Q123" i="1"/>
  <c r="L123" i="1"/>
  <c r="E123" i="1"/>
  <c r="E122" i="1" s="1"/>
  <c r="R122" i="1" s="1"/>
  <c r="AA122" i="1"/>
  <c r="Z122" i="1"/>
  <c r="Y122" i="1"/>
  <c r="W122" i="1"/>
  <c r="V122" i="1"/>
  <c r="U122" i="1"/>
  <c r="T122" i="1"/>
  <c r="S122" i="1"/>
  <c r="Q122" i="1"/>
  <c r="P122" i="1"/>
  <c r="L122" i="1"/>
  <c r="X122" i="1" s="1"/>
  <c r="AA121" i="1"/>
  <c r="Z121" i="1"/>
  <c r="Y121" i="1"/>
  <c r="W121" i="1"/>
  <c r="V121" i="1"/>
  <c r="U121" i="1"/>
  <c r="T121" i="1"/>
  <c r="S121" i="1"/>
  <c r="Q121" i="1"/>
  <c r="P121" i="1"/>
  <c r="L121" i="1"/>
  <c r="X121" i="1" s="1"/>
  <c r="E121" i="1"/>
  <c r="E120" i="1" s="1"/>
  <c r="R120" i="1" s="1"/>
  <c r="AA120" i="1"/>
  <c r="Z120" i="1"/>
  <c r="Y120" i="1"/>
  <c r="W120" i="1"/>
  <c r="V120" i="1"/>
  <c r="U120" i="1"/>
  <c r="T120" i="1"/>
  <c r="S120" i="1"/>
  <c r="Q120" i="1"/>
  <c r="P120" i="1"/>
  <c r="L120" i="1"/>
  <c r="X120" i="1" s="1"/>
  <c r="AA119" i="1"/>
  <c r="Z119" i="1"/>
  <c r="Y119" i="1"/>
  <c r="W119" i="1"/>
  <c r="V119" i="1"/>
  <c r="U119" i="1"/>
  <c r="T119" i="1"/>
  <c r="S119" i="1"/>
  <c r="Q119" i="1"/>
  <c r="P119" i="1"/>
  <c r="L119" i="1"/>
  <c r="X119" i="1" s="1"/>
  <c r="E119" i="1"/>
  <c r="E118" i="1" s="1"/>
  <c r="R118" i="1" s="1"/>
  <c r="AA118" i="1"/>
  <c r="Z118" i="1"/>
  <c r="Y118" i="1"/>
  <c r="W118" i="1"/>
  <c r="V118" i="1"/>
  <c r="U118" i="1"/>
  <c r="T118" i="1"/>
  <c r="S118" i="1"/>
  <c r="Q118" i="1"/>
  <c r="P118" i="1"/>
  <c r="AA117" i="1"/>
  <c r="Z117" i="1"/>
  <c r="Y117" i="1"/>
  <c r="W117" i="1"/>
  <c r="V117" i="1"/>
  <c r="U117" i="1"/>
  <c r="T117" i="1"/>
  <c r="S117" i="1"/>
  <c r="Q117" i="1"/>
  <c r="P117" i="1"/>
  <c r="L117" i="1"/>
  <c r="X117" i="1" s="1"/>
  <c r="E117" i="1"/>
  <c r="R117" i="1" s="1"/>
  <c r="AA116" i="1"/>
  <c r="Z116" i="1"/>
  <c r="Y116" i="1"/>
  <c r="W116" i="1"/>
  <c r="V116" i="1"/>
  <c r="U116" i="1"/>
  <c r="T116" i="1"/>
  <c r="S116" i="1"/>
  <c r="Q116" i="1"/>
  <c r="P116" i="1"/>
  <c r="L116" i="1"/>
  <c r="X116" i="1" s="1"/>
  <c r="E116" i="1"/>
  <c r="R116" i="1" s="1"/>
  <c r="AA115" i="1"/>
  <c r="Z115" i="1"/>
  <c r="Y115" i="1"/>
  <c r="W115" i="1"/>
  <c r="V115" i="1"/>
  <c r="U115" i="1"/>
  <c r="T115" i="1"/>
  <c r="S115" i="1"/>
  <c r="Q115" i="1"/>
  <c r="P115" i="1"/>
  <c r="L115" i="1"/>
  <c r="X115" i="1" s="1"/>
  <c r="E115" i="1"/>
  <c r="R115" i="1" s="1"/>
  <c r="Z114" i="1"/>
  <c r="W114" i="1"/>
  <c r="V114" i="1"/>
  <c r="T114" i="1"/>
  <c r="Q114" i="1"/>
  <c r="P114" i="1"/>
  <c r="L114" i="1"/>
  <c r="L113" i="1" s="1"/>
  <c r="X113" i="1" s="1"/>
  <c r="E114" i="1"/>
  <c r="E113" i="1" s="1"/>
  <c r="R113" i="1" s="1"/>
  <c r="AA113" i="1"/>
  <c r="Z113" i="1"/>
  <c r="Y113" i="1"/>
  <c r="W113" i="1"/>
  <c r="V113" i="1"/>
  <c r="U113" i="1"/>
  <c r="T113" i="1"/>
  <c r="S113" i="1"/>
  <c r="Q113" i="1"/>
  <c r="P113" i="1"/>
  <c r="AA110" i="1"/>
  <c r="Z110" i="1"/>
  <c r="Y110" i="1"/>
  <c r="W110" i="1"/>
  <c r="V110" i="1"/>
  <c r="U110" i="1"/>
  <c r="T110" i="1"/>
  <c r="S110" i="1"/>
  <c r="Q110" i="1"/>
  <c r="P110" i="1"/>
  <c r="X110" i="1"/>
  <c r="R110" i="1"/>
  <c r="AA109" i="1"/>
  <c r="Z109" i="1"/>
  <c r="Y109" i="1"/>
  <c r="W109" i="1"/>
  <c r="V109" i="1"/>
  <c r="U109" i="1"/>
  <c r="T109" i="1"/>
  <c r="S109" i="1"/>
  <c r="Q109" i="1"/>
  <c r="P109" i="1"/>
  <c r="L109" i="1"/>
  <c r="X109" i="1" s="1"/>
  <c r="E109" i="1"/>
  <c r="R109" i="1" s="1"/>
  <c r="AA108" i="1"/>
  <c r="Z108" i="1"/>
  <c r="Y108" i="1"/>
  <c r="W108" i="1"/>
  <c r="V108" i="1"/>
  <c r="U108" i="1"/>
  <c r="T108" i="1"/>
  <c r="S108" i="1"/>
  <c r="Q108" i="1"/>
  <c r="L108" i="1"/>
  <c r="L107" i="1" s="1"/>
  <c r="X107" i="1" s="1"/>
  <c r="E108" i="1"/>
  <c r="E107" i="1" s="1"/>
  <c r="R107" i="1" s="1"/>
  <c r="AA107" i="1"/>
  <c r="Z107" i="1"/>
  <c r="Y107" i="1"/>
  <c r="W107" i="1"/>
  <c r="V107" i="1"/>
  <c r="U107" i="1"/>
  <c r="T107" i="1"/>
  <c r="S107" i="1"/>
  <c r="Q107" i="1"/>
  <c r="P107" i="1"/>
  <c r="AA106" i="1"/>
  <c r="Z106" i="1"/>
  <c r="W106" i="1"/>
  <c r="U106" i="1"/>
  <c r="T106" i="1"/>
  <c r="Q106" i="1"/>
  <c r="P106" i="1"/>
  <c r="L106" i="1"/>
  <c r="L105" i="1" s="1"/>
  <c r="X105" i="1" s="1"/>
  <c r="E106" i="1"/>
  <c r="E105" i="1" s="1"/>
  <c r="R105" i="1" s="1"/>
  <c r="AA105" i="1"/>
  <c r="Z105" i="1"/>
  <c r="Y105" i="1"/>
  <c r="W105" i="1"/>
  <c r="V105" i="1"/>
  <c r="U105" i="1"/>
  <c r="T105" i="1"/>
  <c r="S105" i="1"/>
  <c r="Q105" i="1"/>
  <c r="P105" i="1"/>
  <c r="AA91" i="1"/>
  <c r="Z91" i="1"/>
  <c r="W91" i="1"/>
  <c r="V91" i="1"/>
  <c r="U91" i="1"/>
  <c r="T91" i="1"/>
  <c r="Q91" i="1"/>
  <c r="P91" i="1"/>
  <c r="L91" i="1"/>
  <c r="L90" i="1" s="1"/>
  <c r="X90" i="1" s="1"/>
  <c r="E91" i="1"/>
  <c r="E90" i="1" s="1"/>
  <c r="R90" i="1" s="1"/>
  <c r="AA90" i="1"/>
  <c r="Z90" i="1"/>
  <c r="Y90" i="1"/>
  <c r="W90" i="1"/>
  <c r="V90" i="1"/>
  <c r="U90" i="1"/>
  <c r="T90" i="1"/>
  <c r="S90" i="1"/>
  <c r="Q90" i="1"/>
  <c r="P90" i="1"/>
  <c r="Z89" i="1"/>
  <c r="W89" i="1"/>
  <c r="T89" i="1"/>
  <c r="Q89" i="1"/>
  <c r="L89" i="1"/>
  <c r="L88" i="1" s="1"/>
  <c r="X88" i="1" s="1"/>
  <c r="E89" i="1"/>
  <c r="E88" i="1" s="1"/>
  <c r="R88" i="1" s="1"/>
  <c r="AA88" i="1"/>
  <c r="Z88" i="1"/>
  <c r="Y88" i="1"/>
  <c r="W88" i="1"/>
  <c r="V88" i="1"/>
  <c r="U88" i="1"/>
  <c r="T88" i="1"/>
  <c r="S88" i="1"/>
  <c r="Q88" i="1"/>
  <c r="P88" i="1"/>
  <c r="AA87" i="1"/>
  <c r="Z87" i="1"/>
  <c r="W87" i="1"/>
  <c r="U87" i="1"/>
  <c r="T87" i="1"/>
  <c r="Q87" i="1"/>
  <c r="L87" i="1"/>
  <c r="E87" i="1"/>
  <c r="E86" i="1" s="1"/>
  <c r="R86" i="1" s="1"/>
  <c r="AA86" i="1"/>
  <c r="Z86" i="1"/>
  <c r="Y86" i="1"/>
  <c r="W86" i="1"/>
  <c r="V86" i="1"/>
  <c r="U86" i="1"/>
  <c r="T86" i="1"/>
  <c r="S86" i="1"/>
  <c r="Q86" i="1"/>
  <c r="P86" i="1"/>
  <c r="L86" i="1"/>
  <c r="X86" i="1" s="1"/>
  <c r="AA85" i="1"/>
  <c r="Z85" i="1"/>
  <c r="W85" i="1"/>
  <c r="U85" i="1"/>
  <c r="T85" i="1"/>
  <c r="Q85" i="1"/>
  <c r="L85" i="1"/>
  <c r="L84" i="1" s="1"/>
  <c r="X84" i="1" s="1"/>
  <c r="E85" i="1"/>
  <c r="E84" i="1" s="1"/>
  <c r="R84" i="1" s="1"/>
  <c r="AA84" i="1"/>
  <c r="Z84" i="1"/>
  <c r="Y84" i="1"/>
  <c r="W84" i="1"/>
  <c r="V84" i="1"/>
  <c r="U84" i="1"/>
  <c r="T84" i="1"/>
  <c r="S84" i="1"/>
  <c r="Q84" i="1"/>
  <c r="P84" i="1"/>
  <c r="AA83" i="1"/>
  <c r="Z83" i="1"/>
  <c r="W83" i="1"/>
  <c r="U83" i="1"/>
  <c r="T83" i="1"/>
  <c r="Q83" i="1"/>
  <c r="L83" i="1"/>
  <c r="E83" i="1"/>
  <c r="E82" i="1" s="1"/>
  <c r="R82" i="1" s="1"/>
  <c r="AA82" i="1"/>
  <c r="Z82" i="1"/>
  <c r="Y82" i="1"/>
  <c r="W82" i="1"/>
  <c r="V82" i="1"/>
  <c r="U82" i="1"/>
  <c r="T82" i="1"/>
  <c r="S82" i="1"/>
  <c r="Q82" i="1"/>
  <c r="P82" i="1"/>
  <c r="L82" i="1"/>
  <c r="X82" i="1" s="1"/>
  <c r="AA81" i="1"/>
  <c r="Z81" i="1"/>
  <c r="W81" i="1"/>
  <c r="U81" i="1"/>
  <c r="T81" i="1"/>
  <c r="Q81" i="1"/>
  <c r="L81" i="1"/>
  <c r="E81" i="1"/>
  <c r="E80" i="1" s="1"/>
  <c r="R80" i="1" s="1"/>
  <c r="AA80" i="1"/>
  <c r="Z80" i="1"/>
  <c r="Y80" i="1"/>
  <c r="W80" i="1"/>
  <c r="V80" i="1"/>
  <c r="U80" i="1"/>
  <c r="T80" i="1"/>
  <c r="S80" i="1"/>
  <c r="Q80" i="1"/>
  <c r="P80" i="1"/>
  <c r="L80" i="1"/>
  <c r="X80" i="1" s="1"/>
  <c r="AA79" i="1"/>
  <c r="Z79" i="1"/>
  <c r="W79" i="1"/>
  <c r="V79" i="1"/>
  <c r="U79" i="1"/>
  <c r="T79" i="1"/>
  <c r="Q79" i="1"/>
  <c r="P79" i="1"/>
  <c r="L79" i="1"/>
  <c r="L78" i="1" s="1"/>
  <c r="X78" i="1" s="1"/>
  <c r="E79" i="1"/>
  <c r="E78" i="1" s="1"/>
  <c r="R78" i="1" s="1"/>
  <c r="AA78" i="1"/>
  <c r="Z78" i="1"/>
  <c r="Y78" i="1"/>
  <c r="W78" i="1"/>
  <c r="V78" i="1"/>
  <c r="U78" i="1"/>
  <c r="T78" i="1"/>
  <c r="S78" i="1"/>
  <c r="Q78" i="1"/>
  <c r="P78" i="1"/>
  <c r="AA77" i="1"/>
  <c r="Z77" i="1"/>
  <c r="W77" i="1"/>
  <c r="V77" i="1"/>
  <c r="U77" i="1"/>
  <c r="T77" i="1"/>
  <c r="S77" i="1"/>
  <c r="Q77" i="1"/>
  <c r="P77" i="1"/>
  <c r="L77" i="1"/>
  <c r="E77" i="1"/>
  <c r="E76" i="1" s="1"/>
  <c r="R76" i="1" s="1"/>
  <c r="AA76" i="1"/>
  <c r="Z76" i="1"/>
  <c r="Y76" i="1"/>
  <c r="W76" i="1"/>
  <c r="V76" i="1"/>
  <c r="U76" i="1"/>
  <c r="T76" i="1"/>
  <c r="S76" i="1"/>
  <c r="Q76" i="1"/>
  <c r="P76" i="1"/>
  <c r="L76" i="1"/>
  <c r="X76" i="1" s="1"/>
  <c r="Z75" i="1"/>
  <c r="W75" i="1"/>
  <c r="T75" i="1"/>
  <c r="Q75" i="1"/>
  <c r="L75" i="1"/>
  <c r="L74" i="1" s="1"/>
  <c r="X74" i="1" s="1"/>
  <c r="E75" i="1"/>
  <c r="E74" i="1" s="1"/>
  <c r="R74" i="1" s="1"/>
  <c r="AA74" i="1"/>
  <c r="Z74" i="1"/>
  <c r="Y74" i="1"/>
  <c r="W74" i="1"/>
  <c r="V74" i="1"/>
  <c r="U74" i="1"/>
  <c r="T74" i="1"/>
  <c r="S74" i="1"/>
  <c r="Q74" i="1"/>
  <c r="P74" i="1"/>
  <c r="AA73" i="1"/>
  <c r="Z73" i="1"/>
  <c r="W73" i="1"/>
  <c r="V73" i="1"/>
  <c r="U73" i="1"/>
  <c r="T73" i="1"/>
  <c r="Q73" i="1"/>
  <c r="P73" i="1"/>
  <c r="L73" i="1"/>
  <c r="L72" i="1" s="1"/>
  <c r="X72" i="1" s="1"/>
  <c r="E73" i="1"/>
  <c r="E72" i="1" s="1"/>
  <c r="R72" i="1" s="1"/>
  <c r="AA72" i="1"/>
  <c r="Z72" i="1"/>
  <c r="Y72" i="1"/>
  <c r="W72" i="1"/>
  <c r="V72" i="1"/>
  <c r="U72" i="1"/>
  <c r="T72" i="1"/>
  <c r="S72" i="1"/>
  <c r="Q72" i="1"/>
  <c r="P72" i="1"/>
  <c r="AA71" i="1"/>
  <c r="Z71" i="1"/>
  <c r="W71" i="1"/>
  <c r="U71" i="1"/>
  <c r="T71" i="1"/>
  <c r="Q71" i="1"/>
  <c r="L71" i="1"/>
  <c r="L70" i="1" s="1"/>
  <c r="X70" i="1" s="1"/>
  <c r="E71" i="1"/>
  <c r="E70" i="1" s="1"/>
  <c r="R70" i="1" s="1"/>
  <c r="AA70" i="1"/>
  <c r="Z70" i="1"/>
  <c r="Y70" i="1"/>
  <c r="W70" i="1"/>
  <c r="V70" i="1"/>
  <c r="U70" i="1"/>
  <c r="T70" i="1"/>
  <c r="S70" i="1"/>
  <c r="Q70" i="1"/>
  <c r="P70" i="1"/>
  <c r="Z69" i="1"/>
  <c r="W69" i="1"/>
  <c r="U69" i="1"/>
  <c r="T69" i="1"/>
  <c r="Q69" i="1"/>
  <c r="L69" i="1"/>
  <c r="E69" i="1"/>
  <c r="E68" i="1" s="1"/>
  <c r="R68" i="1" s="1"/>
  <c r="AA68" i="1"/>
  <c r="Z68" i="1"/>
  <c r="Y68" i="1"/>
  <c r="W68" i="1"/>
  <c r="V68" i="1"/>
  <c r="U68" i="1"/>
  <c r="T68" i="1"/>
  <c r="S68" i="1"/>
  <c r="Q68" i="1"/>
  <c r="P68" i="1"/>
  <c r="L68" i="1"/>
  <c r="X68" i="1" s="1"/>
  <c r="AA67" i="1"/>
  <c r="Z67" i="1"/>
  <c r="W67" i="1"/>
  <c r="U67" i="1"/>
  <c r="T67" i="1"/>
  <c r="Q67" i="1"/>
  <c r="L67" i="1"/>
  <c r="L66" i="1" s="1"/>
  <c r="X66" i="1" s="1"/>
  <c r="E67" i="1"/>
  <c r="E66" i="1" s="1"/>
  <c r="R66" i="1" s="1"/>
  <c r="AA66" i="1"/>
  <c r="Z66" i="1"/>
  <c r="Y66" i="1"/>
  <c r="W66" i="1"/>
  <c r="V66" i="1"/>
  <c r="U66" i="1"/>
  <c r="T66" i="1"/>
  <c r="S66" i="1"/>
  <c r="Q66" i="1"/>
  <c r="P66" i="1"/>
  <c r="AE65" i="1"/>
  <c r="AA65" i="1"/>
  <c r="Z65" i="1"/>
  <c r="W65" i="1"/>
  <c r="U65" i="1"/>
  <c r="T65" i="1"/>
  <c r="Q65" i="1"/>
  <c r="L65" i="1"/>
  <c r="L64" i="1" s="1"/>
  <c r="X64" i="1" s="1"/>
  <c r="E65" i="1"/>
  <c r="E64" i="1" s="1"/>
  <c r="R64" i="1" s="1"/>
  <c r="AA64" i="1"/>
  <c r="Z64" i="1"/>
  <c r="Y64" i="1"/>
  <c r="W64" i="1"/>
  <c r="V64" i="1"/>
  <c r="U64" i="1"/>
  <c r="T64" i="1"/>
  <c r="S64" i="1"/>
  <c r="Q64" i="1"/>
  <c r="P64" i="1"/>
  <c r="AE63" i="1"/>
  <c r="AA63" i="1"/>
  <c r="Z63" i="1"/>
  <c r="W63" i="1"/>
  <c r="U63" i="1"/>
  <c r="T63" i="1"/>
  <c r="Q63" i="1"/>
  <c r="L63" i="1"/>
  <c r="E63" i="1"/>
  <c r="AA62" i="1"/>
  <c r="Z62" i="1"/>
  <c r="Y62" i="1"/>
  <c r="W62" i="1"/>
  <c r="V62" i="1"/>
  <c r="U62" i="1"/>
  <c r="T62" i="1"/>
  <c r="S62" i="1"/>
  <c r="Q62" i="1"/>
  <c r="P62" i="1"/>
  <c r="L62" i="1"/>
  <c r="X62" i="1" s="1"/>
  <c r="E62" i="1"/>
  <c r="R62" i="1" s="1"/>
  <c r="AA61" i="1"/>
  <c r="Z61" i="1"/>
  <c r="Y61" i="1"/>
  <c r="W61" i="1"/>
  <c r="V61" i="1"/>
  <c r="U61" i="1"/>
  <c r="T61" i="1"/>
  <c r="S61" i="1"/>
  <c r="Q61" i="1"/>
  <c r="P61" i="1"/>
  <c r="L61" i="1"/>
  <c r="X61" i="1" s="1"/>
  <c r="E61" i="1"/>
  <c r="R61" i="1" s="1"/>
  <c r="AA60" i="1"/>
  <c r="Z60" i="1"/>
  <c r="W60" i="1"/>
  <c r="V60" i="1"/>
  <c r="U60" i="1"/>
  <c r="T60" i="1"/>
  <c r="Q60" i="1"/>
  <c r="P60" i="1"/>
  <c r="L60" i="1"/>
  <c r="L59" i="1" s="1"/>
  <c r="X59" i="1" s="1"/>
  <c r="E60" i="1"/>
  <c r="E59" i="1" s="1"/>
  <c r="R59" i="1" s="1"/>
  <c r="AA59" i="1"/>
  <c r="Z59" i="1"/>
  <c r="Y59" i="1"/>
  <c r="W59" i="1"/>
  <c r="V59" i="1"/>
  <c r="U59" i="1"/>
  <c r="T59" i="1"/>
  <c r="S59" i="1"/>
  <c r="Q59" i="1"/>
  <c r="P59" i="1"/>
  <c r="AA58" i="1"/>
  <c r="Z58" i="1"/>
  <c r="Y58" i="1"/>
  <c r="W58" i="1"/>
  <c r="U58" i="1"/>
  <c r="T58" i="1"/>
  <c r="Q58" i="1"/>
  <c r="L58" i="1"/>
  <c r="L57" i="1" s="1"/>
  <c r="X57" i="1" s="1"/>
  <c r="E58" i="1"/>
  <c r="E57" i="1" s="1"/>
  <c r="R57" i="1" s="1"/>
  <c r="AA57" i="1"/>
  <c r="Z57" i="1"/>
  <c r="Y57" i="1"/>
  <c r="W57" i="1"/>
  <c r="V57" i="1"/>
  <c r="U57" i="1"/>
  <c r="T57" i="1"/>
  <c r="S57" i="1"/>
  <c r="Q57" i="1"/>
  <c r="P57" i="1"/>
  <c r="AA56" i="1"/>
  <c r="Z56" i="1"/>
  <c r="W56" i="1"/>
  <c r="V56" i="1"/>
  <c r="U56" i="1"/>
  <c r="T56" i="1"/>
  <c r="Q56" i="1"/>
  <c r="P56" i="1"/>
  <c r="L56" i="1"/>
  <c r="E56" i="1"/>
  <c r="AA55" i="1"/>
  <c r="Z55" i="1"/>
  <c r="Y55" i="1"/>
  <c r="W55" i="1"/>
  <c r="V55" i="1"/>
  <c r="U55" i="1"/>
  <c r="T55" i="1"/>
  <c r="S55" i="1"/>
  <c r="Q55" i="1"/>
  <c r="P55" i="1"/>
  <c r="L55" i="1"/>
  <c r="X55" i="1" s="1"/>
  <c r="E55" i="1"/>
  <c r="R55" i="1" s="1"/>
  <c r="AA54" i="1"/>
  <c r="Z54" i="1"/>
  <c r="W54" i="1"/>
  <c r="U54" i="1"/>
  <c r="T54" i="1"/>
  <c r="S54" i="1"/>
  <c r="Q54" i="1"/>
  <c r="P54" i="1"/>
  <c r="AB54" i="1" s="1"/>
  <c r="L54" i="1"/>
  <c r="L53" i="1" s="1"/>
  <c r="E54" i="1"/>
  <c r="E53" i="1" s="1"/>
  <c r="AA53" i="1"/>
  <c r="Z53" i="1"/>
  <c r="Y53" i="1"/>
  <c r="W53" i="1"/>
  <c r="V53" i="1"/>
  <c r="U53" i="1"/>
  <c r="T53" i="1"/>
  <c r="S53" i="1"/>
  <c r="Q53" i="1"/>
  <c r="P53" i="1"/>
  <c r="AA52" i="1"/>
  <c r="Z52" i="1"/>
  <c r="Y52" i="1"/>
  <c r="W52" i="1"/>
  <c r="V52" i="1"/>
  <c r="U52" i="1"/>
  <c r="T52" i="1"/>
  <c r="S52" i="1"/>
  <c r="Q52" i="1"/>
  <c r="P52" i="1"/>
  <c r="L45" i="1"/>
  <c r="E45" i="1"/>
  <c r="O42" i="1"/>
  <c r="O43" i="1" s="1"/>
  <c r="N42" i="1"/>
  <c r="N43" i="1" s="1"/>
  <c r="M42" i="1"/>
  <c r="M43" i="1" s="1"/>
  <c r="K42" i="1"/>
  <c r="K43" i="1" s="1"/>
  <c r="J42" i="1"/>
  <c r="J43" i="1" s="1"/>
  <c r="I42" i="1"/>
  <c r="I43" i="1" s="1"/>
  <c r="H42" i="1"/>
  <c r="H43" i="1" s="1"/>
  <c r="G42" i="1"/>
  <c r="G43" i="1" s="1"/>
  <c r="F42" i="1"/>
  <c r="F43" i="1" s="1"/>
  <c r="D42" i="1"/>
  <c r="D43" i="1" s="1"/>
  <c r="C42" i="1"/>
  <c r="C43" i="1" s="1"/>
  <c r="B42" i="1"/>
  <c r="P42" i="1" s="1"/>
  <c r="O40" i="1"/>
  <c r="N40" i="1"/>
  <c r="M40" i="1"/>
  <c r="K40" i="1"/>
  <c r="J40" i="1"/>
  <c r="I40" i="1"/>
  <c r="H40" i="1"/>
  <c r="G40" i="1"/>
  <c r="F40" i="1"/>
  <c r="D40" i="1"/>
  <c r="C40" i="1"/>
  <c r="B40" i="1"/>
  <c r="O39" i="1"/>
  <c r="N39" i="1"/>
  <c r="M39" i="1"/>
  <c r="K39" i="1"/>
  <c r="J39" i="1"/>
  <c r="I39" i="1"/>
  <c r="H39" i="1"/>
  <c r="G39" i="1"/>
  <c r="F39" i="1"/>
  <c r="D39" i="1"/>
  <c r="C39" i="1"/>
  <c r="B39" i="1"/>
  <c r="O38" i="1"/>
  <c r="N38" i="1"/>
  <c r="Z38" i="1" s="1"/>
  <c r="M38" i="1"/>
  <c r="Y38" i="1" s="1"/>
  <c r="K38" i="1"/>
  <c r="J38" i="1"/>
  <c r="J41" i="1" s="1"/>
  <c r="I38" i="1"/>
  <c r="H38" i="1"/>
  <c r="G38" i="1"/>
  <c r="F38" i="1"/>
  <c r="D38" i="1"/>
  <c r="C38" i="1"/>
  <c r="C41" i="1" s="1"/>
  <c r="B38" i="1"/>
  <c r="P38" i="1" s="1"/>
  <c r="AA37" i="1"/>
  <c r="Z37" i="1"/>
  <c r="Y37" i="1"/>
  <c r="W37" i="1"/>
  <c r="V37" i="1"/>
  <c r="U37" i="1"/>
  <c r="T37" i="1"/>
  <c r="S37" i="1"/>
  <c r="Q37" i="1"/>
  <c r="P37" i="1"/>
  <c r="L37" i="1"/>
  <c r="X37" i="1" s="1"/>
  <c r="E37" i="1"/>
  <c r="R37" i="1" s="1"/>
  <c r="AA36" i="1"/>
  <c r="Z36" i="1"/>
  <c r="Y36" i="1"/>
  <c r="W36" i="1"/>
  <c r="V36" i="1"/>
  <c r="U36" i="1"/>
  <c r="T36" i="1"/>
  <c r="S36" i="1"/>
  <c r="Q36" i="1"/>
  <c r="P36" i="1"/>
  <c r="L36" i="1"/>
  <c r="X36" i="1" s="1"/>
  <c r="E36" i="1"/>
  <c r="R36" i="1" s="1"/>
  <c r="AA35" i="1"/>
  <c r="Z35" i="1"/>
  <c r="Y35" i="1"/>
  <c r="X35" i="1"/>
  <c r="W35" i="1"/>
  <c r="V35" i="1"/>
  <c r="U35" i="1"/>
  <c r="T35" i="1"/>
  <c r="S35" i="1"/>
  <c r="R35" i="1"/>
  <c r="Q35" i="1"/>
  <c r="P35" i="1"/>
  <c r="AA34" i="1"/>
  <c r="Z34" i="1"/>
  <c r="Y34" i="1"/>
  <c r="W34" i="1"/>
  <c r="V34" i="1"/>
  <c r="U34" i="1"/>
  <c r="T34" i="1"/>
  <c r="S34" i="1"/>
  <c r="Q34" i="1"/>
  <c r="P34" i="1"/>
  <c r="L34" i="1"/>
  <c r="X34" i="1" s="1"/>
  <c r="E34" i="1"/>
  <c r="R34" i="1" s="1"/>
  <c r="AA33" i="1"/>
  <c r="Z33" i="1"/>
  <c r="Y33" i="1"/>
  <c r="W33" i="1"/>
  <c r="V33" i="1"/>
  <c r="U33" i="1"/>
  <c r="T33" i="1"/>
  <c r="S33" i="1"/>
  <c r="Q33" i="1"/>
  <c r="P33" i="1"/>
  <c r="L33" i="1"/>
  <c r="X33" i="1" s="1"/>
  <c r="E33" i="1"/>
  <c r="R33" i="1" s="1"/>
  <c r="AA32" i="1"/>
  <c r="Z32" i="1"/>
  <c r="Y32" i="1"/>
  <c r="W32" i="1"/>
  <c r="V32" i="1"/>
  <c r="U32" i="1"/>
  <c r="T32" i="1"/>
  <c r="S32" i="1"/>
  <c r="Q32" i="1"/>
  <c r="P32" i="1"/>
  <c r="L32" i="1"/>
  <c r="X32" i="1" s="1"/>
  <c r="E32" i="1"/>
  <c r="R32" i="1" s="1"/>
  <c r="AA31" i="1"/>
  <c r="Z31" i="1"/>
  <c r="Y31" i="1"/>
  <c r="W31" i="1"/>
  <c r="V31" i="1"/>
  <c r="U31" i="1"/>
  <c r="T31" i="1"/>
  <c r="S31" i="1"/>
  <c r="Q31" i="1"/>
  <c r="P31" i="1"/>
  <c r="L31" i="1"/>
  <c r="S35" i="12" s="1"/>
  <c r="E31" i="1"/>
  <c r="AA30" i="1"/>
  <c r="Z30" i="1"/>
  <c r="Y30" i="1"/>
  <c r="X30" i="1"/>
  <c r="W30" i="1"/>
  <c r="V30" i="1"/>
  <c r="U30" i="1"/>
  <c r="T30" i="1"/>
  <c r="S30" i="1"/>
  <c r="R30" i="1"/>
  <c r="Q30" i="1"/>
  <c r="P30" i="1"/>
  <c r="AA29" i="1"/>
  <c r="Z29" i="1"/>
  <c r="Y29" i="1"/>
  <c r="W29" i="1"/>
  <c r="V29" i="1"/>
  <c r="U29" i="1"/>
  <c r="T29" i="1"/>
  <c r="S29" i="1"/>
  <c r="Q29" i="1"/>
  <c r="P29" i="1"/>
  <c r="AA28" i="1"/>
  <c r="Z28" i="1"/>
  <c r="Y28" i="1"/>
  <c r="W28" i="1"/>
  <c r="V28" i="1"/>
  <c r="U28" i="1"/>
  <c r="T28" i="1"/>
  <c r="S28" i="1"/>
  <c r="Q28" i="1"/>
  <c r="P28" i="1"/>
  <c r="E28" i="1"/>
  <c r="AA27" i="1"/>
  <c r="Z27" i="1"/>
  <c r="Y27" i="1"/>
  <c r="W27" i="1"/>
  <c r="V27" i="1"/>
  <c r="U27" i="1"/>
  <c r="S27" i="1"/>
  <c r="R27" i="1"/>
  <c r="P27" i="1"/>
  <c r="AA26" i="1"/>
  <c r="Z26" i="1"/>
  <c r="Y26" i="1"/>
  <c r="W26" i="1"/>
  <c r="V26" i="1"/>
  <c r="U26" i="1"/>
  <c r="T26" i="1"/>
  <c r="S26" i="1"/>
  <c r="Q26" i="1"/>
  <c r="P26" i="1"/>
  <c r="AA25" i="1"/>
  <c r="Z25" i="1"/>
  <c r="Y25" i="1"/>
  <c r="W25" i="1"/>
  <c r="V25" i="1"/>
  <c r="U25" i="1"/>
  <c r="T25" i="1"/>
  <c r="S25" i="1"/>
  <c r="R25" i="1"/>
  <c r="Q25" i="1"/>
  <c r="P25" i="1"/>
  <c r="AA24" i="1"/>
  <c r="Z24" i="1"/>
  <c r="Y24" i="1"/>
  <c r="W24" i="1"/>
  <c r="V24" i="1"/>
  <c r="U24" i="1"/>
  <c r="T24" i="1"/>
  <c r="S24" i="1"/>
  <c r="Q24" i="1"/>
  <c r="P24" i="1"/>
  <c r="AA23" i="1"/>
  <c r="Z23" i="1"/>
  <c r="Y23" i="1"/>
  <c r="W23" i="1"/>
  <c r="V23" i="1"/>
  <c r="U23" i="1"/>
  <c r="T23" i="1"/>
  <c r="S23" i="1"/>
  <c r="Q23" i="1"/>
  <c r="P23" i="1"/>
  <c r="AA22" i="1"/>
  <c r="Z22" i="1"/>
  <c r="Y22" i="1"/>
  <c r="W22" i="1"/>
  <c r="V22" i="1"/>
  <c r="U22" i="1"/>
  <c r="T22" i="1"/>
  <c r="S22" i="1"/>
  <c r="Q22" i="1"/>
  <c r="P22" i="1"/>
  <c r="AA21" i="1"/>
  <c r="Z21" i="1"/>
  <c r="Y21" i="1"/>
  <c r="W21" i="1"/>
  <c r="V21" i="1"/>
  <c r="U21" i="1"/>
  <c r="T21" i="1"/>
  <c r="S21" i="1"/>
  <c r="R21" i="1"/>
  <c r="Q21" i="1"/>
  <c r="P21" i="1"/>
  <c r="AA20" i="1"/>
  <c r="Z20" i="1"/>
  <c r="Y20" i="1"/>
  <c r="W20" i="1"/>
  <c r="V20" i="1"/>
  <c r="U20" i="1"/>
  <c r="T20" i="1"/>
  <c r="S20" i="1"/>
  <c r="Q20" i="1"/>
  <c r="P20" i="1"/>
  <c r="AA19" i="1"/>
  <c r="Z19" i="1"/>
  <c r="Y19" i="1"/>
  <c r="W19" i="1"/>
  <c r="V19" i="1"/>
  <c r="U19" i="1"/>
  <c r="T19" i="1"/>
  <c r="S19" i="1"/>
  <c r="Q19" i="1"/>
  <c r="P19" i="1"/>
  <c r="AA18" i="1"/>
  <c r="Z18" i="1"/>
  <c r="Y18" i="1"/>
  <c r="W18" i="1"/>
  <c r="V18" i="1"/>
  <c r="U18" i="1"/>
  <c r="T18" i="1"/>
  <c r="S18" i="1"/>
  <c r="Q18" i="1"/>
  <c r="P18" i="1"/>
  <c r="AA17" i="1"/>
  <c r="Z17" i="1"/>
  <c r="Y17" i="1"/>
  <c r="W17" i="1"/>
  <c r="V17" i="1"/>
  <c r="U17" i="1"/>
  <c r="T17" i="1"/>
  <c r="S17" i="1"/>
  <c r="R17" i="1"/>
  <c r="Q17" i="1"/>
  <c r="P17" i="1"/>
  <c r="AA16" i="1"/>
  <c r="Z16" i="1"/>
  <c r="Y16" i="1"/>
  <c r="W16" i="1"/>
  <c r="V16" i="1"/>
  <c r="U16" i="1"/>
  <c r="T16" i="1"/>
  <c r="S16" i="1"/>
  <c r="Q16" i="1"/>
  <c r="P16" i="1"/>
  <c r="AA15" i="1"/>
  <c r="Z15" i="1"/>
  <c r="Y15" i="1"/>
  <c r="W15" i="1"/>
  <c r="V15" i="1"/>
  <c r="U15" i="1"/>
  <c r="T15" i="1"/>
  <c r="S15" i="1"/>
  <c r="Q15" i="1"/>
  <c r="P15" i="1"/>
  <c r="AA14" i="1"/>
  <c r="Z14" i="1"/>
  <c r="Y14" i="1"/>
  <c r="W14" i="1"/>
  <c r="V14" i="1"/>
  <c r="U14" i="1"/>
  <c r="T14" i="1"/>
  <c r="S14" i="1"/>
  <c r="Q14" i="1"/>
  <c r="P14" i="1"/>
  <c r="AA13" i="1"/>
  <c r="Z13" i="1"/>
  <c r="Y13" i="1"/>
  <c r="W13" i="1"/>
  <c r="V13" i="1"/>
  <c r="U13" i="1"/>
  <c r="T13" i="1"/>
  <c r="S13" i="1"/>
  <c r="Q13" i="1"/>
  <c r="P13" i="1"/>
  <c r="AA12" i="1"/>
  <c r="Z12" i="1"/>
  <c r="Y12" i="1"/>
  <c r="X12" i="1"/>
  <c r="W12" i="1"/>
  <c r="V12" i="1"/>
  <c r="U12" i="1"/>
  <c r="T12" i="1"/>
  <c r="S12" i="1"/>
  <c r="Q12" i="1"/>
  <c r="P12" i="1"/>
  <c r="AA11" i="1"/>
  <c r="Z11" i="1"/>
  <c r="Y11" i="1"/>
  <c r="W11" i="1"/>
  <c r="V11" i="1"/>
  <c r="U11" i="1"/>
  <c r="T11" i="1"/>
  <c r="S11" i="1"/>
  <c r="Q11" i="1"/>
  <c r="P11" i="1"/>
  <c r="AA10" i="1"/>
  <c r="Z10" i="1"/>
  <c r="Y10" i="1"/>
  <c r="W10" i="1"/>
  <c r="V10" i="1"/>
  <c r="U10" i="1"/>
  <c r="T10" i="1"/>
  <c r="S10" i="1"/>
  <c r="Q10" i="1"/>
  <c r="P10" i="1"/>
  <c r="O9" i="1"/>
  <c r="N9" i="1"/>
  <c r="M9" i="1"/>
  <c r="K9" i="1"/>
  <c r="J9" i="1"/>
  <c r="I9" i="1"/>
  <c r="H9" i="1"/>
  <c r="G9" i="1"/>
  <c r="F9" i="1"/>
  <c r="D9" i="1"/>
  <c r="C9" i="1"/>
  <c r="B9" i="1"/>
  <c r="AJ3" i="1"/>
  <c r="R132" i="1" l="1"/>
  <c r="O34" i="3"/>
  <c r="O35" i="3" s="1"/>
  <c r="DW34" i="3"/>
  <c r="DW35" i="3" s="1"/>
  <c r="AG32" i="1"/>
  <c r="BU34" i="3"/>
  <c r="BV34" i="3" s="1"/>
  <c r="X31" i="1"/>
  <c r="X42" i="1" s="1"/>
  <c r="AC167" i="1"/>
  <c r="AC166" i="1"/>
  <c r="I168" i="1"/>
  <c r="V168" i="1" s="1"/>
  <c r="AC15" i="1"/>
  <c r="AG165" i="1"/>
  <c r="AE20" i="1"/>
  <c r="AG16" i="1"/>
  <c r="AB21" i="1"/>
  <c r="AF21" i="1"/>
  <c r="AD20" i="1"/>
  <c r="AB20" i="1"/>
  <c r="AG20" i="1"/>
  <c r="AC21" i="1"/>
  <c r="AG88" i="1"/>
  <c r="AF20" i="1"/>
  <c r="AC20" i="1"/>
  <c r="AE21" i="1"/>
  <c r="AE36" i="1"/>
  <c r="T40" i="1"/>
  <c r="AG13" i="1"/>
  <c r="T39" i="1"/>
  <c r="L10" i="1"/>
  <c r="X10" i="1" s="1"/>
  <c r="AG10" i="1"/>
  <c r="AD149" i="1"/>
  <c r="AF105" i="1"/>
  <c r="Y39" i="1"/>
  <c r="X39" i="1"/>
  <c r="AG37" i="1"/>
  <c r="AC143" i="1"/>
  <c r="AC145" i="1"/>
  <c r="AG105" i="1"/>
  <c r="AB107" i="1"/>
  <c r="AC109" i="1"/>
  <c r="AC110" i="1"/>
  <c r="AE15" i="1"/>
  <c r="AC107" i="1"/>
  <c r="AC90" i="1"/>
  <c r="AC67" i="1"/>
  <c r="AB114" i="1"/>
  <c r="AC11" i="1"/>
  <c r="P39" i="1"/>
  <c r="P40" i="1"/>
  <c r="R166" i="1"/>
  <c r="B166" i="1"/>
  <c r="P166" i="1" s="1"/>
  <c r="BU35" i="3"/>
  <c r="BQ34" i="3"/>
  <c r="BP35" i="3"/>
  <c r="AC12" i="1"/>
  <c r="Q39" i="1"/>
  <c r="U39" i="1"/>
  <c r="CC34" i="3"/>
  <c r="CB35" i="3"/>
  <c r="Q40" i="1"/>
  <c r="Y40" i="1"/>
  <c r="R39" i="1"/>
  <c r="V39" i="1"/>
  <c r="Z39" i="1"/>
  <c r="AH20" i="1"/>
  <c r="CG34" i="3"/>
  <c r="CG35" i="3" s="1"/>
  <c r="V40" i="1"/>
  <c r="Z40" i="1"/>
  <c r="X166" i="1"/>
  <c r="AD166" i="1" s="1"/>
  <c r="AI166" i="1" s="1"/>
  <c r="I166" i="1"/>
  <c r="V166" i="1" s="1"/>
  <c r="AL14" i="1"/>
  <c r="DN34" i="3"/>
  <c r="DN35" i="3" s="1"/>
  <c r="CI34" i="3"/>
  <c r="CI35" i="3" s="1"/>
  <c r="U40" i="1"/>
  <c r="S39" i="1"/>
  <c r="W39" i="1"/>
  <c r="AA39" i="1"/>
  <c r="AB17" i="1"/>
  <c r="S40" i="1"/>
  <c r="W40" i="1"/>
  <c r="AA40" i="1"/>
  <c r="AG123" i="1"/>
  <c r="AC106" i="1"/>
  <c r="AG160" i="1"/>
  <c r="AC160" i="1"/>
  <c r="AG149" i="1"/>
  <c r="AD145" i="1"/>
  <c r="AC142" i="1"/>
  <c r="AE142" i="1"/>
  <c r="AC122" i="1"/>
  <c r="L118" i="1"/>
  <c r="X118" i="1" s="1"/>
  <c r="AD118" i="1" s="1"/>
  <c r="AG66" i="1"/>
  <c r="AG62" i="1"/>
  <c r="AB61" i="1"/>
  <c r="AD59" i="1"/>
  <c r="AC56" i="1"/>
  <c r="AB36" i="1"/>
  <c r="Z42" i="1"/>
  <c r="Z43" i="1" s="1"/>
  <c r="AB33" i="1"/>
  <c r="AD142" i="1"/>
  <c r="AF85" i="1"/>
  <c r="AC149" i="1"/>
  <c r="M3" i="1"/>
  <c r="S42" i="1"/>
  <c r="S43" i="1" s="1"/>
  <c r="W42" i="1"/>
  <c r="W43" i="1" s="1"/>
  <c r="AC36" i="1"/>
  <c r="G134" i="1"/>
  <c r="T134" i="1" s="1"/>
  <c r="T136" i="1" s="1"/>
  <c r="K134" i="1"/>
  <c r="K150" i="1" s="1"/>
  <c r="W150" i="1" s="1"/>
  <c r="AC59" i="1"/>
  <c r="AF62" i="1"/>
  <c r="AD122" i="1"/>
  <c r="AD124" i="1"/>
  <c r="AE124" i="1"/>
  <c r="AE143" i="1"/>
  <c r="X161" i="1"/>
  <c r="CP34" i="3" s="1"/>
  <c r="CP35" i="3" s="1"/>
  <c r="X162" i="1"/>
  <c r="AD162" i="1" s="1"/>
  <c r="E163" i="1"/>
  <c r="AH25" i="1"/>
  <c r="AF160" i="1"/>
  <c r="AF54" i="1"/>
  <c r="AB55" i="1"/>
  <c r="AB80" i="1"/>
  <c r="AG80" i="1"/>
  <c r="AC82" i="1"/>
  <c r="AF86" i="1"/>
  <c r="AF106" i="1"/>
  <c r="AE107" i="1"/>
  <c r="AC119" i="1"/>
  <c r="AG122" i="1"/>
  <c r="AB142" i="1"/>
  <c r="AF142" i="1"/>
  <c r="AE145" i="1"/>
  <c r="AD36" i="1"/>
  <c r="AE37" i="1"/>
  <c r="AF70" i="1"/>
  <c r="AC72" i="1"/>
  <c r="AG76" i="1"/>
  <c r="AE119" i="1"/>
  <c r="AF121" i="1"/>
  <c r="AB124" i="1"/>
  <c r="AB125" i="1"/>
  <c r="AE162" i="1"/>
  <c r="AH12" i="1"/>
  <c r="AE13" i="1"/>
  <c r="AB18" i="1"/>
  <c r="Q42" i="1"/>
  <c r="Q43" i="1" s="1"/>
  <c r="AB32" i="1"/>
  <c r="AG34" i="1"/>
  <c r="O134" i="1"/>
  <c r="O150" i="1" s="1"/>
  <c r="AA150" i="1" s="1"/>
  <c r="AC55" i="1"/>
  <c r="AB64" i="1"/>
  <c r="AF72" i="1"/>
  <c r="AD76" i="1"/>
  <c r="AF79" i="1"/>
  <c r="AC118" i="1"/>
  <c r="AE122" i="1"/>
  <c r="AC123" i="1"/>
  <c r="AE125" i="1"/>
  <c r="AC144" i="1"/>
  <c r="AB149" i="1"/>
  <c r="AF149" i="1"/>
  <c r="B160" i="1"/>
  <c r="P160" i="1" s="1"/>
  <c r="AB160" i="1" s="1"/>
  <c r="X160" i="1"/>
  <c r="AG161" i="1"/>
  <c r="AG166" i="1"/>
  <c r="AE166" i="1"/>
  <c r="AF73" i="1"/>
  <c r="AB76" i="1"/>
  <c r="AB77" i="1"/>
  <c r="AC84" i="1"/>
  <c r="AI12" i="1"/>
  <c r="AC18" i="1"/>
  <c r="AE26" i="1"/>
  <c r="AF34" i="1"/>
  <c r="AF36" i="1"/>
  <c r="I134" i="1"/>
  <c r="I150" i="1" s="1"/>
  <c r="V150" i="1" s="1"/>
  <c r="AC62" i="1"/>
  <c r="AF75" i="1"/>
  <c r="AD84" i="1"/>
  <c r="AE105" i="1"/>
  <c r="AF107" i="1"/>
  <c r="AE113" i="1"/>
  <c r="AD113" i="1"/>
  <c r="AF115" i="1"/>
  <c r="AF116" i="1"/>
  <c r="AF117" i="1"/>
  <c r="AG119" i="1"/>
  <c r="AB144" i="1"/>
  <c r="AF166" i="1"/>
  <c r="AG24" i="1"/>
  <c r="AC24" i="1"/>
  <c r="AE23" i="1"/>
  <c r="AD23" i="1"/>
  <c r="AF23" i="1"/>
  <c r="AG23" i="1"/>
  <c r="AC23" i="1"/>
  <c r="AE22" i="1"/>
  <c r="AG22" i="1"/>
  <c r="AC22" i="1"/>
  <c r="L40" i="1"/>
  <c r="AI19" i="1"/>
  <c r="AG18" i="1"/>
  <c r="AF18" i="1"/>
  <c r="AE18" i="1"/>
  <c r="AD15" i="1"/>
  <c r="AG52" i="1"/>
  <c r="AB52" i="1"/>
  <c r="AF14" i="1"/>
  <c r="AC10" i="1"/>
  <c r="AE10" i="1"/>
  <c r="L39" i="1"/>
  <c r="AC13" i="1"/>
  <c r="E39" i="1"/>
  <c r="AG11" i="1"/>
  <c r="X9" i="1"/>
  <c r="AC132" i="1"/>
  <c r="AD168" i="1"/>
  <c r="AI168" i="1" s="1"/>
  <c r="AE168" i="1"/>
  <c r="AG162" i="1"/>
  <c r="AG163" i="1"/>
  <c r="AE161" i="1"/>
  <c r="B168" i="1"/>
  <c r="P168" i="1" s="1"/>
  <c r="AE167" i="1"/>
  <c r="AG168" i="1"/>
  <c r="AG167" i="1"/>
  <c r="AF167" i="1"/>
  <c r="R161" i="1"/>
  <c r="CL34" i="3" s="1"/>
  <c r="CL35" i="3" s="1"/>
  <c r="AE160" i="1"/>
  <c r="B162" i="1"/>
  <c r="P162" i="1" s="1"/>
  <c r="AB162" i="1" s="1"/>
  <c r="S163" i="1"/>
  <c r="AE163" i="1" s="1"/>
  <c r="AC168" i="1"/>
  <c r="AC161" i="1"/>
  <c r="AD143" i="1"/>
  <c r="AF143" i="1"/>
  <c r="AG142" i="1"/>
  <c r="AG143" i="1"/>
  <c r="AE149" i="1"/>
  <c r="AB143" i="1"/>
  <c r="AB145" i="1"/>
  <c r="AB147" i="1"/>
  <c r="L29" i="1"/>
  <c r="X29" i="1" s="1"/>
  <c r="DI34" i="3" s="1"/>
  <c r="X132" i="1"/>
  <c r="AD132" i="1" s="1"/>
  <c r="L52" i="1"/>
  <c r="X52" i="1" s="1"/>
  <c r="X51" i="1" s="1"/>
  <c r="AE55" i="1"/>
  <c r="AG64" i="1"/>
  <c r="AD70" i="1"/>
  <c r="AG72" i="1"/>
  <c r="AF80" i="1"/>
  <c r="AE84" i="1"/>
  <c r="AF90" i="1"/>
  <c r="AE57" i="1"/>
  <c r="AG70" i="1"/>
  <c r="AH13" i="1"/>
  <c r="AH17" i="1"/>
  <c r="AH18" i="1"/>
  <c r="AH14" i="1"/>
  <c r="L9" i="1"/>
  <c r="AH15" i="1"/>
  <c r="AD25" i="1"/>
  <c r="X21" i="1"/>
  <c r="AI16" i="1"/>
  <c r="AF33" i="1"/>
  <c r="AE11" i="1"/>
  <c r="AF15" i="1"/>
  <c r="AF11" i="1"/>
  <c r="AF13" i="1"/>
  <c r="AG14" i="1"/>
  <c r="AG15" i="1"/>
  <c r="AG25" i="1"/>
  <c r="AD37" i="1"/>
  <c r="E10" i="1"/>
  <c r="R10" i="1" s="1"/>
  <c r="E29" i="1"/>
  <c r="R29" i="1" s="1"/>
  <c r="DH34" i="3" s="1"/>
  <c r="DH35" i="3" s="1"/>
  <c r="E52" i="1"/>
  <c r="R52" i="1" s="1"/>
  <c r="AD105" i="1"/>
  <c r="AG57" i="1"/>
  <c r="AF58" i="1"/>
  <c r="AG59" i="1"/>
  <c r="AD64" i="1"/>
  <c r="AC66" i="1"/>
  <c r="AD74" i="1"/>
  <c r="AG78" i="1"/>
  <c r="AD80" i="1"/>
  <c r="AE80" i="1"/>
  <c r="AF82" i="1"/>
  <c r="AC83" i="1"/>
  <c r="AF83" i="1"/>
  <c r="AG86" i="1"/>
  <c r="AE88" i="1"/>
  <c r="AF118" i="1"/>
  <c r="AF119" i="1"/>
  <c r="AB126" i="1"/>
  <c r="AF126" i="1"/>
  <c r="AF128" i="1"/>
  <c r="AF60" i="1"/>
  <c r="AE53" i="1"/>
  <c r="AG61" i="1"/>
  <c r="AD68" i="1"/>
  <c r="AC74" i="1"/>
  <c r="AE78" i="1"/>
  <c r="AC80" i="1"/>
  <c r="AG81" i="1"/>
  <c r="AF84" i="1"/>
  <c r="AD86" i="1"/>
  <c r="AB90" i="1"/>
  <c r="AD107" i="1"/>
  <c r="AG115" i="1"/>
  <c r="AG116" i="1"/>
  <c r="AD120" i="1"/>
  <c r="AE121" i="1"/>
  <c r="AB122" i="1"/>
  <c r="AF129" i="1"/>
  <c r="AB53" i="1"/>
  <c r="AB78" i="1"/>
  <c r="AC88" i="1"/>
  <c r="AB113" i="1"/>
  <c r="AB118" i="1"/>
  <c r="AC121" i="1"/>
  <c r="AC127" i="1"/>
  <c r="AC129" i="1"/>
  <c r="AC65" i="1"/>
  <c r="AB74" i="1"/>
  <c r="AB82" i="1"/>
  <c r="AC85" i="1"/>
  <c r="AB105" i="1"/>
  <c r="AB110" i="1"/>
  <c r="AC126" i="1"/>
  <c r="AG60" i="1"/>
  <c r="AD82" i="1"/>
  <c r="AD55" i="1"/>
  <c r="AF57" i="1"/>
  <c r="AC60" i="1"/>
  <c r="AB79" i="1"/>
  <c r="AG55" i="1"/>
  <c r="AE59" i="1"/>
  <c r="AF67" i="1"/>
  <c r="AE70" i="1"/>
  <c r="AF77" i="1"/>
  <c r="AB88" i="1"/>
  <c r="AG90" i="1"/>
  <c r="AE90" i="1"/>
  <c r="AC91" i="1"/>
  <c r="AG120" i="1"/>
  <c r="AE120" i="1"/>
  <c r="AF122" i="1"/>
  <c r="AF125" i="1"/>
  <c r="B131" i="1"/>
  <c r="P131" i="1" s="1"/>
  <c r="AC52" i="1"/>
  <c r="AC53" i="1"/>
  <c r="AF55" i="1"/>
  <c r="AB57" i="1"/>
  <c r="AC58" i="1"/>
  <c r="AB59" i="1"/>
  <c r="AF59" i="1"/>
  <c r="AB60" i="1"/>
  <c r="AC61" i="1"/>
  <c r="AD62" i="1"/>
  <c r="AE62" i="1"/>
  <c r="AC63" i="1"/>
  <c r="AC64" i="1"/>
  <c r="AF65" i="1"/>
  <c r="AB66" i="1"/>
  <c r="AC68" i="1"/>
  <c r="AG71" i="1"/>
  <c r="AE72" i="1"/>
  <c r="AE74" i="1"/>
  <c r="AF76" i="1"/>
  <c r="AG77" i="1"/>
  <c r="AC78" i="1"/>
  <c r="AC79" i="1"/>
  <c r="AF81" i="1"/>
  <c r="AG82" i="1"/>
  <c r="AE82" i="1"/>
  <c r="AB86" i="1"/>
  <c r="AF88" i="1"/>
  <c r="AD88" i="1"/>
  <c r="AF89" i="1"/>
  <c r="AF91" i="1"/>
  <c r="AF113" i="1"/>
  <c r="AB115" i="1"/>
  <c r="AB116" i="1"/>
  <c r="AB117" i="1"/>
  <c r="AG118" i="1"/>
  <c r="AE118" i="1"/>
  <c r="AC120" i="1"/>
  <c r="AB120" i="1"/>
  <c r="AF120" i="1"/>
  <c r="AF123" i="1"/>
  <c r="AD125" i="1"/>
  <c r="AC125" i="1"/>
  <c r="AG125" i="1"/>
  <c r="T130" i="1"/>
  <c r="AF52" i="1"/>
  <c r="AG53" i="1"/>
  <c r="AF53" i="1"/>
  <c r="AC57" i="1"/>
  <c r="AB62" i="1"/>
  <c r="AG63" i="1"/>
  <c r="AB68" i="1"/>
  <c r="AF69" i="1"/>
  <c r="AC70" i="1"/>
  <c r="AB70" i="1"/>
  <c r="AC71" i="1"/>
  <c r="AF71" i="1"/>
  <c r="AB72" i="1"/>
  <c r="AE76" i="1"/>
  <c r="AC77" i="1"/>
  <c r="AF78" i="1"/>
  <c r="AB84" i="1"/>
  <c r="AG84" i="1"/>
  <c r="AE86" i="1"/>
  <c r="AC86" i="1"/>
  <c r="AG87" i="1"/>
  <c r="AB91" i="1"/>
  <c r="AC105" i="1"/>
  <c r="AB109" i="1"/>
  <c r="AC113" i="1"/>
  <c r="AE115" i="1"/>
  <c r="AC115" i="1"/>
  <c r="AE116" i="1"/>
  <c r="AC116" i="1"/>
  <c r="AC117" i="1"/>
  <c r="AB119" i="1"/>
  <c r="AB121" i="1"/>
  <c r="AF127" i="1"/>
  <c r="AC128" i="1"/>
  <c r="V130" i="1"/>
  <c r="AB130" i="1" s="1"/>
  <c r="E151" i="1"/>
  <c r="AB132" i="1"/>
  <c r="R9" i="1"/>
  <c r="AD13" i="1"/>
  <c r="AH19" i="1"/>
  <c r="AK19" i="1"/>
  <c r="E40" i="1"/>
  <c r="AD22" i="1"/>
  <c r="AD11" i="1"/>
  <c r="AC16" i="1"/>
  <c r="AE16" i="1"/>
  <c r="AI18" i="1"/>
  <c r="AB22" i="1"/>
  <c r="AB23" i="1"/>
  <c r="AB24" i="1"/>
  <c r="AB25" i="1"/>
  <c r="AI32" i="1"/>
  <c r="AJ32" i="1" s="1"/>
  <c r="AD34" i="1"/>
  <c r="AE34" i="1"/>
  <c r="AG36" i="1"/>
  <c r="AC37" i="1"/>
  <c r="AF37" i="1"/>
  <c r="AC14" i="1"/>
  <c r="AE14" i="1"/>
  <c r="AC25" i="1"/>
  <c r="AE25" i="1"/>
  <c r="AB26" i="1"/>
  <c r="AB29" i="1"/>
  <c r="AB16" i="1"/>
  <c r="AB37" i="1"/>
  <c r="AC32" i="1"/>
  <c r="AC34" i="1"/>
  <c r="AF10" i="1"/>
  <c r="AH11" i="1"/>
  <c r="AB10" i="1"/>
  <c r="AG29" i="1"/>
  <c r="AE29" i="1"/>
  <c r="AC29" i="1"/>
  <c r="V42" i="1"/>
  <c r="V43" i="1" s="1"/>
  <c r="AF31" i="1"/>
  <c r="T42" i="1"/>
  <c r="T43" i="1" s="1"/>
  <c r="T38" i="1"/>
  <c r="AF38" i="1" s="1"/>
  <c r="B43" i="1"/>
  <c r="P43" i="1" s="1"/>
  <c r="AG26" i="1"/>
  <c r="I41" i="1"/>
  <c r="E9" i="1"/>
  <c r="K41" i="1"/>
  <c r="M41" i="1"/>
  <c r="M134" i="1"/>
  <c r="M136" i="1" s="1"/>
  <c r="AI27" i="1"/>
  <c r="AJ27" i="1" s="1"/>
  <c r="V38" i="1"/>
  <c r="AB38" i="1" s="1"/>
  <c r="G41" i="1"/>
  <c r="O41" i="1"/>
  <c r="AI17" i="1"/>
  <c r="AC17" i="1"/>
  <c r="AH24" i="1"/>
  <c r="AD24" i="1"/>
  <c r="AI20" i="1"/>
  <c r="AF22" i="1"/>
  <c r="AF29" i="1"/>
  <c r="X45" i="1"/>
  <c r="AA42" i="1"/>
  <c r="AA43" i="1" s="1"/>
  <c r="AF74" i="1"/>
  <c r="AI11" i="1"/>
  <c r="AB11" i="1"/>
  <c r="AI13" i="1"/>
  <c r="AB13" i="1"/>
  <c r="AD14" i="1"/>
  <c r="AI15" i="1"/>
  <c r="AB15" i="1"/>
  <c r="AH23" i="1"/>
  <c r="AF25" i="1"/>
  <c r="AD26" i="1"/>
  <c r="AH26" i="1"/>
  <c r="AG31" i="1"/>
  <c r="AI36" i="1"/>
  <c r="AJ36" i="1" s="1"/>
  <c r="H134" i="1"/>
  <c r="H41" i="1"/>
  <c r="U38" i="1"/>
  <c r="AD57" i="1"/>
  <c r="AC76" i="1"/>
  <c r="AI14" i="1"/>
  <c r="AB14" i="1"/>
  <c r="AH22" i="1"/>
  <c r="U42" i="1"/>
  <c r="U43" i="1" s="1"/>
  <c r="R45" i="1"/>
  <c r="AD33" i="1"/>
  <c r="L130" i="1"/>
  <c r="X53" i="1"/>
  <c r="AD61" i="1"/>
  <c r="AD66" i="1"/>
  <c r="AD72" i="1"/>
  <c r="AG73" i="1"/>
  <c r="D41" i="1"/>
  <c r="D134" i="1"/>
  <c r="Q38" i="1"/>
  <c r="AE52" i="1"/>
  <c r="AC54" i="1"/>
  <c r="AD115" i="1"/>
  <c r="R119" i="1"/>
  <c r="AD119" i="1" s="1"/>
  <c r="AJ19" i="1"/>
  <c r="AH16" i="1"/>
  <c r="AI25" i="1"/>
  <c r="AI26" i="1"/>
  <c r="AJ26" i="1" s="1"/>
  <c r="AH27" i="1"/>
  <c r="E42" i="1"/>
  <c r="AC31" i="1"/>
  <c r="AI33" i="1"/>
  <c r="AJ33" i="1" s="1"/>
  <c r="AI34" i="1"/>
  <c r="AJ34" i="1" s="1"/>
  <c r="AI37" i="1"/>
  <c r="AJ37" i="1" s="1"/>
  <c r="F134" i="1"/>
  <c r="S38" i="1"/>
  <c r="AE38" i="1" s="1"/>
  <c r="F41" i="1"/>
  <c r="N134" i="1"/>
  <c r="N41" i="1"/>
  <c r="AF61" i="1"/>
  <c r="AF64" i="1"/>
  <c r="AC73" i="1"/>
  <c r="AD78" i="1"/>
  <c r="AG79" i="1"/>
  <c r="AC108" i="1"/>
  <c r="AB161" i="1"/>
  <c r="AD116" i="1"/>
  <c r="AD117" i="1"/>
  <c r="AD16" i="1"/>
  <c r="AI22" i="1"/>
  <c r="AI23" i="1"/>
  <c r="AI24" i="1"/>
  <c r="R28" i="1"/>
  <c r="AH28" i="1" s="1"/>
  <c r="Y42" i="1"/>
  <c r="Y43" i="1" s="1"/>
  <c r="AE31" i="1"/>
  <c r="B134" i="1"/>
  <c r="B41" i="1"/>
  <c r="P41" i="1" s="1"/>
  <c r="L42" i="1"/>
  <c r="L133" i="1"/>
  <c r="AG54" i="1"/>
  <c r="AF56" i="1"/>
  <c r="AG58" i="1"/>
  <c r="AF66" i="1"/>
  <c r="AG68" i="1"/>
  <c r="AC75" i="1"/>
  <c r="R77" i="1"/>
  <c r="R121" i="1"/>
  <c r="AD121" i="1" s="1"/>
  <c r="AB12" i="1"/>
  <c r="AJ12" i="1"/>
  <c r="AB31" i="1"/>
  <c r="AB34" i="1"/>
  <c r="AK35" i="1"/>
  <c r="AD90" i="1"/>
  <c r="AG106" i="1"/>
  <c r="AF161" i="1"/>
  <c r="AF162" i="1"/>
  <c r="R163" i="1"/>
  <c r="B163" i="1"/>
  <c r="P163" i="1" s="1"/>
  <c r="Z163" i="1"/>
  <c r="AF163" i="1" s="1"/>
  <c r="L163" i="1"/>
  <c r="D131" i="1"/>
  <c r="Q131" i="1" s="1"/>
  <c r="Q165" i="1"/>
  <c r="AD18" i="1"/>
  <c r="R31" i="1"/>
  <c r="W38" i="1"/>
  <c r="AA38" i="1"/>
  <c r="E130" i="1"/>
  <c r="R53" i="1"/>
  <c r="E133" i="1"/>
  <c r="R54" i="1"/>
  <c r="AC81" i="1"/>
  <c r="AG83" i="1"/>
  <c r="AG85" i="1"/>
  <c r="AC114" i="1"/>
  <c r="AC124" i="1"/>
  <c r="S130" i="1"/>
  <c r="F131" i="1"/>
  <c r="S131" i="1" s="1"/>
  <c r="Z130" i="1"/>
  <c r="W165" i="1"/>
  <c r="AG121" i="1"/>
  <c r="X135" i="1"/>
  <c r="L151" i="1"/>
  <c r="E165" i="1"/>
  <c r="R165" i="1" s="1"/>
  <c r="CU34" i="3" s="1"/>
  <c r="CU35" i="3" s="1"/>
  <c r="L165" i="1"/>
  <c r="X165" i="1" s="1"/>
  <c r="S165" i="1"/>
  <c r="AE165" i="1" s="1"/>
  <c r="R167" i="1"/>
  <c r="B167" i="1"/>
  <c r="P167" i="1" s="1"/>
  <c r="H131" i="1"/>
  <c r="U131" i="1" s="1"/>
  <c r="AF132" i="1"/>
  <c r="AF165" i="1"/>
  <c r="I167" i="1"/>
  <c r="V167" i="1" s="1"/>
  <c r="X167" i="1"/>
  <c r="W130" i="1"/>
  <c r="AC130" i="1" s="1"/>
  <c r="AA130" i="1"/>
  <c r="AG130" i="1" s="1"/>
  <c r="Y130" i="1"/>
  <c r="AF40" i="1" l="1"/>
  <c r="AB168" i="1"/>
  <c r="BA34" i="3"/>
  <c r="BA35" i="3" s="1"/>
  <c r="G38" i="5"/>
  <c r="AI31" i="1"/>
  <c r="AJ31" i="1" s="1"/>
  <c r="AK31" i="1" s="1"/>
  <c r="CJ34" i="3"/>
  <c r="AH21" i="1"/>
  <c r="AD21" i="1"/>
  <c r="X40" i="1"/>
  <c r="AB40" i="1"/>
  <c r="AG40" i="1"/>
  <c r="AE40" i="1"/>
  <c r="AC40" i="1"/>
  <c r="AE39" i="1"/>
  <c r="AB39" i="1"/>
  <c r="AF39" i="1"/>
  <c r="AC39" i="1"/>
  <c r="AL15" i="1"/>
  <c r="AD10" i="1"/>
  <c r="AG39" i="1"/>
  <c r="AB166" i="1"/>
  <c r="R42" i="1"/>
  <c r="R43" i="1" s="1"/>
  <c r="AZ34" i="3"/>
  <c r="DJ34" i="3"/>
  <c r="DI35" i="3"/>
  <c r="I165" i="1"/>
  <c r="V165" i="1" s="1"/>
  <c r="E43" i="1"/>
  <c r="B165" i="1"/>
  <c r="P165" i="1" s="1"/>
  <c r="CV34" i="3"/>
  <c r="CV35" i="3" s="1"/>
  <c r="R40" i="1"/>
  <c r="L38" i="1"/>
  <c r="X38" i="1" s="1"/>
  <c r="AE34" i="3" s="1"/>
  <c r="AD160" i="1"/>
  <c r="CN34" i="3"/>
  <c r="CN35" i="3" s="1"/>
  <c r="AD161" i="1"/>
  <c r="K136" i="1"/>
  <c r="L43" i="1"/>
  <c r="W134" i="1"/>
  <c r="W136" i="1" s="1"/>
  <c r="G136" i="1"/>
  <c r="O136" i="1"/>
  <c r="AA134" i="1"/>
  <c r="AA136" i="1" s="1"/>
  <c r="G150" i="1"/>
  <c r="T150" i="1" s="1"/>
  <c r="I136" i="1"/>
  <c r="V134" i="1"/>
  <c r="V136" i="1" s="1"/>
  <c r="AD52" i="1"/>
  <c r="AF130" i="1"/>
  <c r="E38" i="1"/>
  <c r="E134" i="1" s="1"/>
  <c r="Y134" i="1"/>
  <c r="Y136" i="1" s="1"/>
  <c r="AI21" i="1"/>
  <c r="AH9" i="1"/>
  <c r="AD39" i="1"/>
  <c r="AK38" i="1"/>
  <c r="AB167" i="1"/>
  <c r="AD165" i="1"/>
  <c r="AD29" i="1"/>
  <c r="AI29" i="1"/>
  <c r="AJ29" i="1" s="1"/>
  <c r="AD53" i="1"/>
  <c r="X43" i="1"/>
  <c r="M150" i="1"/>
  <c r="Y150" i="1" s="1"/>
  <c r="AC38" i="1"/>
  <c r="H150" i="1"/>
  <c r="U150" i="1" s="1"/>
  <c r="AG150" i="1" s="1"/>
  <c r="H136" i="1"/>
  <c r="U134" i="1"/>
  <c r="U136" i="1" s="1"/>
  <c r="AD167" i="1"/>
  <c r="AI167" i="1" s="1"/>
  <c r="I163" i="1"/>
  <c r="V163" i="1" s="1"/>
  <c r="AB163" i="1" s="1"/>
  <c r="X163" i="1"/>
  <c r="AD163" i="1" s="1"/>
  <c r="F150" i="1"/>
  <c r="S150" i="1" s="1"/>
  <c r="F136" i="1"/>
  <c r="S134" i="1"/>
  <c r="S136" i="1" s="1"/>
  <c r="X130" i="1"/>
  <c r="AL34" i="3" s="1"/>
  <c r="L131" i="1"/>
  <c r="X131" i="1" s="1"/>
  <c r="AE130" i="1"/>
  <c r="E131" i="1"/>
  <c r="R131" i="1" s="1"/>
  <c r="R130" i="1"/>
  <c r="AK34" i="3" s="1"/>
  <c r="AK35" i="3" s="1"/>
  <c r="AD31" i="1"/>
  <c r="N150" i="1"/>
  <c r="Z150" i="1" s="1"/>
  <c r="Z134" i="1"/>
  <c r="Z136" i="1" s="1"/>
  <c r="N136" i="1"/>
  <c r="D150" i="1"/>
  <c r="Q150" i="1" s="1"/>
  <c r="AC150" i="1" s="1"/>
  <c r="Q134" i="1"/>
  <c r="Q136" i="1" s="1"/>
  <c r="D136" i="1"/>
  <c r="AC165" i="1"/>
  <c r="AG38" i="1"/>
  <c r="B150" i="1"/>
  <c r="P150" i="1" s="1"/>
  <c r="AB150" i="1" s="1"/>
  <c r="B136" i="1"/>
  <c r="P134" i="1"/>
  <c r="P136" i="1" s="1"/>
  <c r="AI165" i="1" l="1"/>
  <c r="CW34" i="3"/>
  <c r="CW35" i="3" s="1"/>
  <c r="AM20" i="1"/>
  <c r="AL23" i="1"/>
  <c r="AK20" i="1"/>
  <c r="AL20" i="1"/>
  <c r="AD40" i="1"/>
  <c r="L41" i="1"/>
  <c r="E41" i="1"/>
  <c r="AM34" i="3"/>
  <c r="AL35" i="3"/>
  <c r="AE35" i="3"/>
  <c r="L134" i="1"/>
  <c r="X134" i="1" s="1"/>
  <c r="X136" i="1" s="1"/>
  <c r="AI38" i="1"/>
  <c r="AJ38" i="1" s="1"/>
  <c r="AZ35" i="3"/>
  <c r="BB34" i="3"/>
  <c r="AF150" i="1"/>
  <c r="R38" i="1"/>
  <c r="AE150" i="1"/>
  <c r="R134" i="1"/>
  <c r="R136" i="1" s="1"/>
  <c r="E136" i="1"/>
  <c r="E150" i="1"/>
  <c r="R150" i="1" s="1"/>
  <c r="AD130" i="1"/>
  <c r="AB165" i="1"/>
  <c r="L150" i="1" l="1"/>
  <c r="X150" i="1" s="1"/>
  <c r="AD150" i="1" s="1"/>
  <c r="L136" i="1"/>
  <c r="AD38" i="1"/>
  <c r="AD34" i="3"/>
  <c r="AD35" i="3" l="1"/>
  <c r="AF34" i="3"/>
</calcChain>
</file>

<file path=xl/comments1.xml><?xml version="1.0" encoding="utf-8"?>
<comments xmlns="http://schemas.openxmlformats.org/spreadsheetml/2006/main">
  <authors>
    <author>Алексей Кичёв</author>
  </authors>
  <commentList>
    <comment ref="I164" authorId="0" shapeId="0">
      <text>
        <r>
          <rPr>
            <b/>
            <sz val="9"/>
            <color indexed="81"/>
            <rFont val="Tahoma"/>
            <family val="2"/>
            <charset val="204"/>
          </rPr>
          <t>исключил сч. 302.51 Мезенский район должен поселениям</t>
        </r>
      </text>
    </comment>
  </commentList>
</comments>
</file>

<file path=xl/sharedStrings.xml><?xml version="1.0" encoding="utf-8"?>
<sst xmlns="http://schemas.openxmlformats.org/spreadsheetml/2006/main" count="1709" uniqueCount="533">
  <si>
    <t>Показатели</t>
  </si>
  <si>
    <t>Процент выполнения (%)</t>
  </si>
  <si>
    <t>Консоли-дирован-ный бюджет области</t>
  </si>
  <si>
    <t>в том числе бюджеты:</t>
  </si>
  <si>
    <t>из них бюджеты:</t>
  </si>
  <si>
    <t>суммы подлежащие исключению</t>
  </si>
  <si>
    <t>област-ной</t>
  </si>
  <si>
    <t>консоли-дирован-ные бюджеты МО</t>
  </si>
  <si>
    <t>в т.ч.:</t>
  </si>
  <si>
    <t>город-ские</t>
  </si>
  <si>
    <t>район-ные</t>
  </si>
  <si>
    <t>поселе-ний</t>
  </si>
  <si>
    <t>посе-лений</t>
  </si>
  <si>
    <t>А</t>
  </si>
  <si>
    <t>1</t>
  </si>
  <si>
    <t>2</t>
  </si>
  <si>
    <t>3</t>
  </si>
  <si>
    <t>7</t>
  </si>
  <si>
    <t>8</t>
  </si>
  <si>
    <t>9</t>
  </si>
  <si>
    <t>13=7/1*100</t>
  </si>
  <si>
    <t>14=8/2*100</t>
  </si>
  <si>
    <t>15=9/3*100</t>
  </si>
  <si>
    <t>16=10/4*100</t>
  </si>
  <si>
    <t>17=11/5*100</t>
  </si>
  <si>
    <t>18=12/6*100</t>
  </si>
  <si>
    <t>ДОХОДЫ (по форме 0503317)</t>
  </si>
  <si>
    <t>Доходы бюджета - ИТОГО - спрятать</t>
  </si>
  <si>
    <t>Налоговые и неналоговые доходы, из них:</t>
  </si>
  <si>
    <t>Налог на прибыль организаций</t>
  </si>
  <si>
    <t>-</t>
  </si>
  <si>
    <t>Налог на доходы физических лиц</t>
  </si>
  <si>
    <t>Акцизы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</si>
  <si>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</si>
  <si>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</si>
  <si>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</si>
  <si>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</si>
  <si>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</si>
  <si>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</si>
  <si>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</si>
  <si>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</si>
  <si>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</si>
  <si>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</si>
  <si>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</si>
  <si>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</si>
  <si>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 - из них: невыясненные поступления</t>
  </si>
  <si>
    <t>Поступления (перечисления) по урегулированию расчетов между бюджетами</t>
  </si>
  <si>
    <t>Безвозмездные поступления, в т.ч.:</t>
  </si>
  <si>
    <t>1. От нерезидентов</t>
  </si>
  <si>
    <t>1. От других бюджетов</t>
  </si>
  <si>
    <t>2. Безвозмездные поступления от государственных (муниципальных) организаций</t>
  </si>
  <si>
    <t>3. Безвозмездные поступления от негосударственных  организаций</t>
  </si>
  <si>
    <t>4. Прочие безвозмездные поступления</t>
  </si>
  <si>
    <t>5. 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</si>
  <si>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6. Доходы от возврата целевых остатков прошлых лет</t>
  </si>
  <si>
    <t>7. Возврат целевых остатков прошлых лет</t>
  </si>
  <si>
    <t>ВСЕГО ДОХОДЫ, из них:</t>
  </si>
  <si>
    <t xml:space="preserve"> - налоговые доходы</t>
  </si>
  <si>
    <t xml:space="preserve"> - неналоговые доходы</t>
  </si>
  <si>
    <t>Контроль - спрятать</t>
  </si>
  <si>
    <t>Итого безвозмездные</t>
  </si>
  <si>
    <t>Отклонение</t>
  </si>
  <si>
    <t>Отклонения в доходах получено поселениями от районов и в расходах - отдано в районах межбюджетных</t>
  </si>
  <si>
    <t>посе-ле-ний</t>
  </si>
  <si>
    <t>РАСХОДЫ (по форме 0503317)</t>
  </si>
  <si>
    <r>
      <t xml:space="preserve">Расходы - </t>
    </r>
    <r>
      <rPr>
        <b/>
        <sz val="10"/>
        <color indexed="10"/>
        <rFont val="Arial"/>
        <family val="2"/>
        <charset val="204"/>
      </rPr>
      <t>спрятать</t>
    </r>
  </si>
  <si>
    <t>Общегосударственные вопросы (01)</t>
  </si>
  <si>
    <t>в т.ч. межбюджетные трансферты</t>
  </si>
  <si>
    <t>Национальная оборона (02)</t>
  </si>
  <si>
    <t>Национальная безопасность и правоохранительная деятельность (03)</t>
  </si>
  <si>
    <t>Национальная экономика (04), из них:</t>
  </si>
  <si>
    <t xml:space="preserve"> - общеэкономические вопросы (0401)</t>
  </si>
  <si>
    <t xml:space="preserve"> - топливно-энергетический комплекс (0402)</t>
  </si>
  <si>
    <t xml:space="preserve">   в т.ч межбюджетные трансферты</t>
  </si>
  <si>
    <t xml:space="preserve"> - сельское хозяйство и рыболовство (0405)</t>
  </si>
  <si>
    <t xml:space="preserve"> - водное хозяйство (0406)</t>
  </si>
  <si>
    <t xml:space="preserve"> - лесное хозяйство (0407)</t>
  </si>
  <si>
    <t xml:space="preserve"> - транспорт (0408)</t>
  </si>
  <si>
    <t xml:space="preserve"> - дорожное хозяйство, фонды (0409)</t>
  </si>
  <si>
    <t xml:space="preserve"> - связь и информатика (0410)</t>
  </si>
  <si>
    <t xml:space="preserve"> - другие вопросы в области национальной экономики (0412)</t>
  </si>
  <si>
    <t>Жилищно-коммунальное хозяйство (05), из них:</t>
  </si>
  <si>
    <t xml:space="preserve"> - жилищное хозяйство (0501)</t>
  </si>
  <si>
    <t xml:space="preserve"> - коммунальное хозяйство (0502)</t>
  </si>
  <si>
    <t xml:space="preserve"> - благоустройство (0503)</t>
  </si>
  <si>
    <t xml:space="preserve"> - другие вопросы в области жилищно-коммунального хозяйства (0505)</t>
  </si>
  <si>
    <t>Охрана окружающей среды (06)</t>
  </si>
  <si>
    <t>Культура, кинематография (08)</t>
  </si>
  <si>
    <t>Здравоохранение (09), из них:</t>
  </si>
  <si>
    <t xml:space="preserve"> - стационарная медицинская помощь (0901)</t>
  </si>
  <si>
    <t xml:space="preserve"> - амбулаторная помощь (0902)</t>
  </si>
  <si>
    <t xml:space="preserve"> - другие вопросы в области здравоохранения (0909)</t>
  </si>
  <si>
    <t>Социальная политика (1000), из них:</t>
  </si>
  <si>
    <t xml:space="preserve"> - социальное обслуживание населения (1002)</t>
  </si>
  <si>
    <t xml:space="preserve"> - социальное обеспечение населения (1003)</t>
  </si>
  <si>
    <t xml:space="preserve"> - охрана семьи и детства (1004)</t>
  </si>
  <si>
    <t>Физическая культура и спорт (1100)</t>
  </si>
  <si>
    <t>Средства массовой информации (1200)</t>
  </si>
  <si>
    <t>Обслуживание гос. и муниципального долга (1300)</t>
  </si>
  <si>
    <t>Межбюджетные трансферты общего характера (1400)</t>
  </si>
  <si>
    <t xml:space="preserve"> -  дотации на выравнивание бюджетной обеспеченности</t>
  </si>
  <si>
    <t xml:space="preserve"> - иные дотации</t>
  </si>
  <si>
    <t xml:space="preserve"> - прочие межбюджетные трансферты общего характера</t>
  </si>
  <si>
    <t>ВСЕГО РАСХОДЫ</t>
  </si>
  <si>
    <t>контроль - спрятать</t>
  </si>
  <si>
    <t>контроль межбюджетных - спрятать</t>
  </si>
  <si>
    <t>РЕЗУЛЬТАТ ИСПОЛНЕНИЯ БЮДЖЕТОВ:                   дефицит (-),  профицит (+)</t>
  </si>
  <si>
    <t>х</t>
  </si>
  <si>
    <t>результат по отчету - спрятать</t>
  </si>
  <si>
    <t>Контроль результата - спрятать</t>
  </si>
  <si>
    <t>Источники финансирования дефицита бюджетов (по форме 0503317), в т.ч.:</t>
  </si>
  <si>
    <t>Кредиты кредитных организаций (оборот)</t>
  </si>
  <si>
    <t>Бюджетные кредиты (оборот)</t>
  </si>
  <si>
    <t>Средства от продажи акций и иных форм участия в капитале</t>
  </si>
  <si>
    <t>Исполнение государственных и муниципальных гарантий</t>
  </si>
  <si>
    <t>Возврат бюджетных кредитов</t>
  </si>
  <si>
    <t>Операции по управлению остатками средств на единых счетах бюджетов (оборот)</t>
  </si>
  <si>
    <t>Изменение остатков средств бюджетов (оборот)</t>
  </si>
  <si>
    <t>СПРАВОЧНО:</t>
  </si>
  <si>
    <t>Показатели на 01.01.2017 год (руб.)</t>
  </si>
  <si>
    <t>Показатели на 01.01.2017 года (млн.руб.)</t>
  </si>
  <si>
    <t>Изменение (+/-), млн.руб.</t>
  </si>
  <si>
    <t xml:space="preserve">  целевые (ф. 0503387), в т.ч.:</t>
  </si>
  <si>
    <t xml:space="preserve">         - федерального бюджета</t>
  </si>
  <si>
    <t xml:space="preserve">         - областного бюджета</t>
  </si>
  <si>
    <t>Внутренний долг, в т.ч.:</t>
  </si>
  <si>
    <t xml:space="preserve"> - по бюджетным кредитам</t>
  </si>
  <si>
    <t xml:space="preserve"> - по кредитам кредитных организаций</t>
  </si>
  <si>
    <t xml:space="preserve"> - по выданным гарантиям</t>
  </si>
  <si>
    <t>Утверждено по отчету на 2017 год (руб.)</t>
  </si>
  <si>
    <t>Утверждено по отчету на 2017 год (млн.руб.)</t>
  </si>
  <si>
    <t>Остатки на счетах бюджета (сч. 202.10 ф. 0503320, 0503387), из них:</t>
  </si>
  <si>
    <t>Бюджеты</t>
  </si>
  <si>
    <t>ДОХОДЫ, всего с внутренними оборотами</t>
  </si>
  <si>
    <t>Межбюджетные трансферты в расходах - внутренние обороты (ВР 500 по разделам и подразделам)</t>
  </si>
  <si>
    <t>РАСХОДЫ, всего с внутренними оборотами</t>
  </si>
  <si>
    <t>Итого ДОХОДЫ</t>
  </si>
  <si>
    <t>Итого ДОХОДЫ - сайт Правительства АО, по месячной форме</t>
  </si>
  <si>
    <t>Итого РАСХОДЫ</t>
  </si>
  <si>
    <t>Безвозмездые поступления от других бюджетов, всего с внутренними оборотами</t>
  </si>
  <si>
    <t>Безвозмездные из областного бюджета</t>
  </si>
  <si>
    <t>Налоговые и неналоговые доходы</t>
  </si>
  <si>
    <t>Доходы от продажи материальных и нематериальных активов</t>
  </si>
  <si>
    <t>в т.ч.</t>
  </si>
  <si>
    <t>Остатки средств на 01.01.2017 (баланс)</t>
  </si>
  <si>
    <t>Результат исполнения бюджета</t>
  </si>
  <si>
    <t>Безвозмездные поступления ВСЕГО, с внутренними оборотами</t>
  </si>
  <si>
    <t>Безвозмеждные поступления ВСЕГО, без вн. оборотов</t>
  </si>
  <si>
    <t>НДФЛ</t>
  </si>
  <si>
    <t>Назначено</t>
  </si>
  <si>
    <t>Исполнено</t>
  </si>
  <si>
    <t>%</t>
  </si>
  <si>
    <t>целевые (ф. 387)</t>
  </si>
  <si>
    <t>целевые</t>
  </si>
  <si>
    <t>целевых</t>
  </si>
  <si>
    <t>город</t>
  </si>
  <si>
    <t>район</t>
  </si>
  <si>
    <t>посел. гор.</t>
  </si>
  <si>
    <t>посел. сель</t>
  </si>
  <si>
    <t>ВСЕГО в тыс.руб.</t>
  </si>
  <si>
    <t>Неправильно отражено</t>
  </si>
  <si>
    <t>итого</t>
  </si>
  <si>
    <t>всего руб.</t>
  </si>
  <si>
    <t>Вельский район</t>
  </si>
  <si>
    <t>Верхнетоемский район</t>
  </si>
  <si>
    <t>Вилегодский район</t>
  </si>
  <si>
    <t>Виноградовский район</t>
  </si>
  <si>
    <t>Каргопольский район</t>
  </si>
  <si>
    <t>Коношский район</t>
  </si>
  <si>
    <t>Котласский район</t>
  </si>
  <si>
    <t>Красноборский район</t>
  </si>
  <si>
    <t>Ленский район</t>
  </si>
  <si>
    <t>Лешуконский район</t>
  </si>
  <si>
    <t>Мезенский район</t>
  </si>
  <si>
    <t>Няндомский район</t>
  </si>
  <si>
    <t>Онежский район</t>
  </si>
  <si>
    <t>Пинежский район</t>
  </si>
  <si>
    <t>Плесецкий район</t>
  </si>
  <si>
    <t>Приморский район</t>
  </si>
  <si>
    <t>Устьянский район</t>
  </si>
  <si>
    <t>Холмогорский район</t>
  </si>
  <si>
    <t>Шенкурский район</t>
  </si>
  <si>
    <t>Город Архангельск</t>
  </si>
  <si>
    <t>Северодвинск</t>
  </si>
  <si>
    <t>Котлас</t>
  </si>
  <si>
    <t>Город Новодвинск</t>
  </si>
  <si>
    <t>Город Коряжма</t>
  </si>
  <si>
    <t>Мирный</t>
  </si>
  <si>
    <t>Новая Земля</t>
  </si>
  <si>
    <t>Итого по МО</t>
  </si>
  <si>
    <t>Внутренний долг на 01.01.2017</t>
  </si>
  <si>
    <t>Приложение № 2</t>
  </si>
  <si>
    <t>тыс.руб.</t>
  </si>
  <si>
    <t>Консолидированные бюджеты</t>
  </si>
  <si>
    <t>Доходы</t>
  </si>
  <si>
    <t>Расходы</t>
  </si>
  <si>
    <t>Результат исполнения (дефицит "-", профицит "+")</t>
  </si>
  <si>
    <t>назначено на год</t>
  </si>
  <si>
    <t>исполнено</t>
  </si>
  <si>
    <t>Всего</t>
  </si>
  <si>
    <t>в т.ч. целевых</t>
  </si>
  <si>
    <t>3=2/1</t>
  </si>
  <si>
    <t>4</t>
  </si>
  <si>
    <t>5=4/3</t>
  </si>
  <si>
    <t>6</t>
  </si>
  <si>
    <t>10</t>
  </si>
  <si>
    <t>11</t>
  </si>
  <si>
    <t>12</t>
  </si>
  <si>
    <t>Приложение № 3</t>
  </si>
  <si>
    <t>из них:</t>
  </si>
  <si>
    <t>налог на доходы физических лиц</t>
  </si>
  <si>
    <t>налоги на совокупный доход</t>
  </si>
  <si>
    <t>налоги на имущество</t>
  </si>
  <si>
    <t>5</t>
  </si>
  <si>
    <t>13</t>
  </si>
  <si>
    <t>14</t>
  </si>
  <si>
    <t>15</t>
  </si>
  <si>
    <t>16</t>
  </si>
  <si>
    <t>17</t>
  </si>
  <si>
    <t>18</t>
  </si>
  <si>
    <t>доходы от продажи активов</t>
  </si>
  <si>
    <t>Сайт Пр-ва АО</t>
  </si>
  <si>
    <t>субсидии</t>
  </si>
  <si>
    <t>субвенции</t>
  </si>
  <si>
    <t>дотации</t>
  </si>
  <si>
    <t>иные межбюд-жетные</t>
  </si>
  <si>
    <t>ИТОГО</t>
  </si>
  <si>
    <t>Приложение № 4</t>
  </si>
  <si>
    <t>табл. Конс. Расчсетов</t>
  </si>
  <si>
    <t>отклоние</t>
  </si>
  <si>
    <t>Просроченная кредиторская задолженность (ф. 0503369)</t>
  </si>
  <si>
    <t>Внутренний долг</t>
  </si>
  <si>
    <t>Приложение № 1.1</t>
  </si>
  <si>
    <t>7=4-1</t>
  </si>
  <si>
    <t>8=5-2</t>
  </si>
  <si>
    <t>9=6-3</t>
  </si>
  <si>
    <t>10=4/1*100-100</t>
  </si>
  <si>
    <t>11=5/2*100-100</t>
  </si>
  <si>
    <t>12=6/3*100-100</t>
  </si>
  <si>
    <t>Налоги на имущество, из них:</t>
  </si>
  <si>
    <t xml:space="preserve">  - налог на имущество физических лиц</t>
  </si>
  <si>
    <t xml:space="preserve">  - налог на имущество организаций</t>
  </si>
  <si>
    <t xml:space="preserve">  - транспортный налог</t>
  </si>
  <si>
    <t xml:space="preserve">  - земельный налог</t>
  </si>
  <si>
    <t>Налоги, сборы и регулярные платежи за пользование природными ресурсами, из них:</t>
  </si>
  <si>
    <t xml:space="preserve">  - налог на добычу полезных ископаемых в виде природных алмазов</t>
  </si>
  <si>
    <t>Платежи при пользовании природными ресурсами, из них:</t>
  </si>
  <si>
    <t xml:space="preserve">  - плата за негативное воздействие на окружающую среду</t>
  </si>
  <si>
    <t xml:space="preserve">  - платежи при пользовании недрами</t>
  </si>
  <si>
    <t xml:space="preserve">  - плата за использование лесов</t>
  </si>
  <si>
    <t xml:space="preserve">  - доходы от оказания платных услуг (работ)</t>
  </si>
  <si>
    <t xml:space="preserve">  -доходы от компенсации затрат государства</t>
  </si>
  <si>
    <t>01 00. Общегосударственные вопросы</t>
  </si>
  <si>
    <t>01 02. Функционирование высшего должностного лица субъекта РФ и муниципального образования</t>
  </si>
  <si>
    <t>01 03.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</si>
  <si>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04. Функционирование Правительства РФ, высших исполнительных органов государственной власти субъектов РФ, местных администраций</t>
  </si>
  <si>
    <t>01 05. Судебная система</t>
  </si>
  <si>
    <t>01 06. Обеспечение деятельности финансовых, налоговых и таможенных органов и органов финансового (финансово-бюджетного) надзора</t>
  </si>
  <si>
    <t>01 07. Обеспечение проведения выборов и референдумов</t>
  </si>
  <si>
    <t>01 11. Резервные фонды</t>
  </si>
  <si>
    <t>01 12. Прикладные научные исследования в области общегосударственных вопросов</t>
  </si>
  <si>
    <t>01 13. Другие общегосударственные вопросы</t>
  </si>
  <si>
    <t>02 00. Национальная оборона</t>
  </si>
  <si>
    <t>02 03. Мобилизационная и вневойсковая подготовка</t>
  </si>
  <si>
    <t>03 00. Национальная безопасность и правоохранительная деятельность</t>
  </si>
  <si>
    <t>03 02. Органы внутренних дел</t>
  </si>
  <si>
    <t>03 09. Защита населения и территории от чрезвычайных ситуаций природного и техногенного характера, гражданская оборона</t>
  </si>
  <si>
    <t>03 10. Обеспечение пожарной безопасности</t>
  </si>
  <si>
    <t>03 14. Другие вопросы в области национальной безопасности и правоохранительной деятельности</t>
  </si>
  <si>
    <t>04 00. Национальная экономика</t>
  </si>
  <si>
    <t>04 01. Общеэкономические вопросы</t>
  </si>
  <si>
    <t>04 02. Топливно-энергетический комплекс</t>
  </si>
  <si>
    <t>04 05. Сельское хозяйство и рыболовство</t>
  </si>
  <si>
    <t>04 06. Водное хозяйство</t>
  </si>
  <si>
    <t>04 07. Лесное хозяйство</t>
  </si>
  <si>
    <t>04 08. Транспорт</t>
  </si>
  <si>
    <t>04 09. Дорожное хозяйство (дорожные фонды)</t>
  </si>
  <si>
    <t>04 10. Связь и информатика</t>
  </si>
  <si>
    <t>04 12. Другие вопросы в области национальной экономики</t>
  </si>
  <si>
    <t>05 00. Жилищно-коммунальное хозяйство</t>
  </si>
  <si>
    <t>05 01. Жилищное хозяйство</t>
  </si>
  <si>
    <t>05 03. Благоустройство</t>
  </si>
  <si>
    <t>05 05. Другие вопросы в области жилищно-коммунального хозяйства</t>
  </si>
  <si>
    <t>06 00. Охрана окружающей среды</t>
  </si>
  <si>
    <t>06 02. Сбор, удаление отходов и очистка сточных вод</t>
  </si>
  <si>
    <t>06 03. Охрана объектов растительного и животного мира и среды их обитания</t>
  </si>
  <si>
    <t>06 05. Другие вопросы в области охраны окружающей среды</t>
  </si>
  <si>
    <t>07 00. Образование</t>
  </si>
  <si>
    <t>07 01. Дошкольное образование</t>
  </si>
  <si>
    <t>07 02. Общее образование</t>
  </si>
  <si>
    <t>07 04. Среднее профессиональное образование</t>
  </si>
  <si>
    <t>07 05. Профессиональная подготовка, переподготовка и повышение квалификации</t>
  </si>
  <si>
    <t>07 08. Прикладные научные исследования в области образования</t>
  </si>
  <si>
    <t>07 09. Другие вопросы в области образования</t>
  </si>
  <si>
    <t>08 00. Культура, кинематография</t>
  </si>
  <si>
    <t>08 01. Культура</t>
  </si>
  <si>
    <t>08 04. Другие вопросы в области культуры, кинематографии</t>
  </si>
  <si>
    <t>09 00. Здравоохранение</t>
  </si>
  <si>
    <t>09 01. Стационарная медицинская помощь</t>
  </si>
  <si>
    <t>09 02. Амбулаторная помощь</t>
  </si>
  <si>
    <t>09 04. Скорая медицинская помощь</t>
  </si>
  <si>
    <t>09 05. Санаторно-оздоровительная помощь</t>
  </si>
  <si>
    <t>09 06. Заготовка, переработка, хранение и обеспечение безопасности донорской крови и её компонентов</t>
  </si>
  <si>
    <t>09 07. Санитарно-эпидемиологическое благополучие</t>
  </si>
  <si>
    <t>09 09. Другие вопросы в области здравоохранения</t>
  </si>
  <si>
    <t>10 00. Социальная политика</t>
  </si>
  <si>
    <t>10 01. Пенсионное обеспечение</t>
  </si>
  <si>
    <t>10 02. Социальное обслуживание населения</t>
  </si>
  <si>
    <t>10 04. Охрана семьи и детства</t>
  </si>
  <si>
    <t>10 06. Другие вопросы в области социальной политики</t>
  </si>
  <si>
    <t>11 00. Физическая культура и спорт</t>
  </si>
  <si>
    <t>11 01. Физическая культура</t>
  </si>
  <si>
    <t>11 02. Массовый спорт</t>
  </si>
  <si>
    <t>11 03. Спорт высших достижений</t>
  </si>
  <si>
    <t>11 05. Другие вопросы в области физической культуры и спорта</t>
  </si>
  <si>
    <t>12 00. Средства массовой информации</t>
  </si>
  <si>
    <t>12 01. Телевидение и радиовещание</t>
  </si>
  <si>
    <t>12 02. Периодическая печать и издательства</t>
  </si>
  <si>
    <t>12 04. Другие вопросы в области средств массовой информации</t>
  </si>
  <si>
    <t>13 00. Обслуживание государственного и муниципального долга</t>
  </si>
  <si>
    <t>13 01. Обслуживание государственного внутреннего и муниципального долга</t>
  </si>
  <si>
    <t>14 00. Межбюджетные трансферты общего характера бюджетам субъектов РФ и муниципальных образований</t>
  </si>
  <si>
    <t>14 01. Дотации на выравнивание бюджетной обеспеченности субъектов РФ и муниципальных образований</t>
  </si>
  <si>
    <t>14 02. Иные дотации</t>
  </si>
  <si>
    <t>14 03. Прочие межбюджетные трансферты общего характера</t>
  </si>
  <si>
    <t xml:space="preserve"> - межбюджетные</t>
  </si>
  <si>
    <t>Операции по управлению остатками средств на единых счетах бюджетов</t>
  </si>
  <si>
    <t>09 03. Медицинская помощь в дневных стационарах всех типов</t>
  </si>
  <si>
    <t>Наименование</t>
  </si>
  <si>
    <t>ДОХОДЫ</t>
  </si>
  <si>
    <t>РАСХОДЫ</t>
  </si>
  <si>
    <t>бюд-жетные</t>
  </si>
  <si>
    <t>Областные учреждения</t>
  </si>
  <si>
    <t>Всего по области</t>
  </si>
  <si>
    <t>бюджетные</t>
  </si>
  <si>
    <t>Итого</t>
  </si>
  <si>
    <t>Дебиторская задолженность</t>
  </si>
  <si>
    <t>Кредиторская задолженность</t>
  </si>
  <si>
    <t>ВСЕГО</t>
  </si>
  <si>
    <t>из нее:</t>
  </si>
  <si>
    <t>Бюд-жетные</t>
  </si>
  <si>
    <t>просро-ченная</t>
  </si>
  <si>
    <t>на 01.01.2017</t>
  </si>
  <si>
    <t>всего</t>
  </si>
  <si>
    <t>в т.ч. просроч.</t>
  </si>
  <si>
    <t>Кредиторская задолженность, ф. 369, в тыс.руб., исключен счет 302.51 поселений</t>
  </si>
  <si>
    <t>Всего, (+,-) в %</t>
  </si>
  <si>
    <t>Уд. вес. просро-ченной, в %</t>
  </si>
  <si>
    <t>3=2/1%</t>
  </si>
  <si>
    <t>6=5/4%</t>
  </si>
  <si>
    <t>7=4/1%-100</t>
  </si>
  <si>
    <t>8=5/2%-100</t>
  </si>
  <si>
    <t>просро-ченной, (+,-) в %</t>
  </si>
  <si>
    <t>Уд. веса просро-ченной, (+,-) % пунктов</t>
  </si>
  <si>
    <t>07 03. Дополнительное образование детей</t>
  </si>
  <si>
    <t>07 07. Молодежная политика</t>
  </si>
  <si>
    <t>10 03. Социальное обеспечение населения</t>
  </si>
  <si>
    <t xml:space="preserve"> - дошкольное образование (0701)</t>
  </si>
  <si>
    <t xml:space="preserve"> - общее образование (0702)</t>
  </si>
  <si>
    <t xml:space="preserve"> - дополнительное образование детей (0703)</t>
  </si>
  <si>
    <t xml:space="preserve"> - среднее профессиональное образование (0704)</t>
  </si>
  <si>
    <t xml:space="preserve"> - профессиональная подготовка, переподготовка и повышение квалификации (0705)</t>
  </si>
  <si>
    <t xml:space="preserve"> - молодежная политика (0707)</t>
  </si>
  <si>
    <t xml:space="preserve"> - прикладные научные исследования в области образования (0708)</t>
  </si>
  <si>
    <t xml:space="preserve"> - другие вопросы в области образования (0709)</t>
  </si>
  <si>
    <t xml:space="preserve"> - скорая медицинская помощь (0904)</t>
  </si>
  <si>
    <t>Образование (07), из них:</t>
  </si>
  <si>
    <t>иные</t>
  </si>
  <si>
    <t>субси-дии</t>
  </si>
  <si>
    <t>дота-ции</t>
  </si>
  <si>
    <t>уд. вес.</t>
  </si>
  <si>
    <t>317 - доходы, без вн. оборотов</t>
  </si>
  <si>
    <t>субсидии (911)</t>
  </si>
  <si>
    <t>субвенции (912)</t>
  </si>
  <si>
    <t>дотации (913)</t>
  </si>
  <si>
    <t>иные межбюд-жетные (914)</t>
  </si>
  <si>
    <t>суб-вен-ции</t>
  </si>
  <si>
    <t>Рост, снижение в % к аналогичному периоду прошлого года</t>
  </si>
  <si>
    <t>ф. 317 доходы</t>
  </si>
  <si>
    <t xml:space="preserve">  - единый сельскохозяйственный налог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</si>
  <si>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</si>
  <si>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</si>
  <si>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 - налог, взимаемый в связи с применением патентной системы налогообложения</t>
  </si>
  <si>
    <t xml:space="preserve"> +,- к прошлому периоду</t>
  </si>
  <si>
    <t>Назначено на 2017</t>
  </si>
  <si>
    <t>иные межбюджетные</t>
  </si>
  <si>
    <t>Налоги на совокупный доход, из них:</t>
  </si>
  <si>
    <t>Доходы от оказания платных услуг (работ) и компенсации затрат государства, из них:</t>
  </si>
  <si>
    <t>Приложение № 8</t>
  </si>
  <si>
    <t>Приложение № 7</t>
  </si>
  <si>
    <t>Приложение № 9</t>
  </si>
  <si>
    <t>Приложение № 10</t>
  </si>
  <si>
    <t>317 - доходы, от др. бюджетов, без вн. оборотов</t>
  </si>
  <si>
    <t>% выполнения к годовому плану</t>
  </si>
  <si>
    <t>Областной бюджет</t>
  </si>
  <si>
    <t>вн. Обороты</t>
  </si>
  <si>
    <t>Сведения об исполнении консолидированного бюджета Архангельской области за 2017 год, согласно отчету, представленному в Минфин России по ф. 0503317</t>
  </si>
  <si>
    <t>Исполнено за 2017 год (руб.)</t>
  </si>
  <si>
    <t>Исполнено за 2017 год (млн.руб.)</t>
  </si>
  <si>
    <t>Показатели на 01.01.2018 год (руб.)</t>
  </si>
  <si>
    <t>Показатели на 01.01.2018 года (млн.руб.)</t>
  </si>
  <si>
    <t>Сведения об исполнении консолидированного бюджета Архангельской области за 2016 и 2017 годы, согласно отчетам по ф. 0503317, представленным в Минфин России на отчетные даты</t>
  </si>
  <si>
    <t>Исполнено за 2016 года, млн.руб.</t>
  </si>
  <si>
    <t>Исполнено за 2017 год, млн.руб.</t>
  </si>
  <si>
    <t>Межбюджетные трансферты из областного бюджета в бюджеты городских огругов и муниципальных районов за 2016 года и за 2017 годы, согласно отчету по ф. 0503317 "Таблица консолидируемых расчетов", представленному в Минфин России (код. 910, 911, 912, 913, 914)</t>
  </si>
  <si>
    <t>Всего за 2016 год</t>
  </si>
  <si>
    <t>Всего за 2017 год (910)</t>
  </si>
  <si>
    <t>Исполнено за 2016 год</t>
  </si>
  <si>
    <t>Исполнено за 2017 год</t>
  </si>
  <si>
    <t>2016 год</t>
  </si>
  <si>
    <t>2017 год</t>
  </si>
  <si>
    <t>в 12,8 раз</t>
  </si>
  <si>
    <t>в 16 раз</t>
  </si>
  <si>
    <t>в 1 153,8 раза</t>
  </si>
  <si>
    <t>в 40,7 раз</t>
  </si>
  <si>
    <t>Внутренний долг на 01.01.2018</t>
  </si>
  <si>
    <t>Изменение внутреннего долга за  2017</t>
  </si>
  <si>
    <t>Остатки средств на 01.01.2018  (баланс сч. 210.02))</t>
  </si>
  <si>
    <t>Изменение остатков за  2017</t>
  </si>
  <si>
    <t>Сведения об исполнении консолидированных бюджетов муниципальных образований в Архангельской области за 2017 год, согласно отчетам по ф. 0503317 и 0503387, представленным в Минфин России</t>
  </si>
  <si>
    <t>Остатки средств на 01.01.2018</t>
  </si>
  <si>
    <t>Изменение остатков за 2017 г.</t>
  </si>
  <si>
    <t>на 01.01.2018</t>
  </si>
  <si>
    <t>изменение за 2017 г. (+,-)</t>
  </si>
  <si>
    <t>Исполнено на 01.01.2017</t>
  </si>
  <si>
    <t>Исполнено на 01.01.2018</t>
  </si>
  <si>
    <t>(+,-) к 2016</t>
  </si>
  <si>
    <t>(+,-) в % к 2016</t>
  </si>
  <si>
    <t>На 01.01.2017</t>
  </si>
  <si>
    <t>Единый сельскохозяйственный налог (исполнено)</t>
  </si>
  <si>
    <t>На 01.01.2018</t>
  </si>
  <si>
    <t>Изменения за  год</t>
  </si>
  <si>
    <t>Свод 369</t>
  </si>
  <si>
    <t>Мезенский р-н сч. 302.51</t>
  </si>
  <si>
    <t>Состояние кредиторской задолженности бюджетов муниципальных образований, с учетом казенных учреждений (без бюджетных и автономных учреждений), согласно отчетам по ф. 0503369 за 2017 год</t>
  </si>
  <si>
    <t>Изменение за год</t>
  </si>
  <si>
    <t>в 179,3 раза</t>
  </si>
  <si>
    <t>Изменения за год</t>
  </si>
  <si>
    <t>Изменения за год (+,-)</t>
  </si>
  <si>
    <t>собствен-нные и ОМС</t>
  </si>
  <si>
    <t>на гос. задание</t>
  </si>
  <si>
    <t>на гос. и муниц. задание</t>
  </si>
  <si>
    <t>иные цели</t>
  </si>
  <si>
    <t>Остатки средств, с учетом в пути, без временного распоряжения</t>
  </si>
  <si>
    <t>собст-вен-нные и ОМС</t>
  </si>
  <si>
    <t>из них субсидии:</t>
  </si>
  <si>
    <t>Минстрой</t>
  </si>
  <si>
    <t>Министерство ТЭК и ЖКХ</t>
  </si>
  <si>
    <t>Минлеспром</t>
  </si>
  <si>
    <t>Минздрав</t>
  </si>
  <si>
    <t>Инспекция по памятникам</t>
  </si>
  <si>
    <t>Минкультуры</t>
  </si>
  <si>
    <t>Минсвязи</t>
  </si>
  <si>
    <t>Минобрнауки</t>
  </si>
  <si>
    <t>Минагропромторг</t>
  </si>
  <si>
    <t>Минтранс</t>
  </si>
  <si>
    <t>Минэкономразвития</t>
  </si>
  <si>
    <t>Минтрудсоцразвития</t>
  </si>
  <si>
    <t>Минимущество</t>
  </si>
  <si>
    <t>Агентство ГПС и ГЗ</t>
  </si>
  <si>
    <t>Администрация ГАО и ПАО</t>
  </si>
  <si>
    <t>Контрактное агентство</t>
  </si>
  <si>
    <t>Инспекция по ветнадзору</t>
  </si>
  <si>
    <t>Бюджетные</t>
  </si>
  <si>
    <t>Собствен-ные и ОМС</t>
  </si>
  <si>
    <t>Состояние задолженности государственных бюджетных и автономных учреждений на 01.01.2018, согласно отчетам по ф. 0503769, без учета средств во временном распоряжении</t>
  </si>
  <si>
    <t>06 04. Прикладные научные исследования в области охраны окружающей среды</t>
  </si>
  <si>
    <t>Приложение № 1.2</t>
  </si>
  <si>
    <t>Приложение № 5</t>
  </si>
  <si>
    <t>Выполнение планов финансово-хозяйственной деятельности государственных, муниципальных бюджетных и автономных учреждений за 2017 год, согласно отчетам по ф. 0503779 и 0503737</t>
  </si>
  <si>
    <t>Выполнение планов финансово-хозяйственной деятельности государственных бюджетных и автономных учреждений за 2017 год, в разрезе главных распорядителей, согласно отчетам по ф. 0503779 и 0503737</t>
  </si>
  <si>
    <t>Состояние задолженности государственных и муниципальных бюджетных, автономных учреждений на 01.01.2018, без учета средств во временном распоряжении, согласно отчетам по ф. 0503769</t>
  </si>
  <si>
    <t>в т.ч. просро-ченная</t>
  </si>
  <si>
    <t>Приложение №</t>
  </si>
  <si>
    <t>млн.руб.</t>
  </si>
  <si>
    <t>№ п/п</t>
  </si>
  <si>
    <t>Наименование  ГП АО</t>
  </si>
  <si>
    <t>2013 года</t>
  </si>
  <si>
    <t>Значение интегрального (итогового) показателя оценки эффективности по ГП АО (%)</t>
  </si>
  <si>
    <t>2014 года</t>
  </si>
  <si>
    <t>2015 года</t>
  </si>
  <si>
    <t>Значение оценки эффективности реализации ГП АО (%)</t>
  </si>
  <si>
    <t>Значение оценки эффективности и упраления реализацией ГП АО (%)</t>
  </si>
  <si>
    <t>Отклонение по выполненю в сравнении с 2016 годом</t>
  </si>
  <si>
    <t>Уточненная бюджетная роспись по состоянию на 31.12.2013</t>
  </si>
  <si>
    <t>Доведено финансирование на 31.12.2013</t>
  </si>
  <si>
    <t>исполнено на 31.12.2013</t>
  </si>
  <si>
    <t>% исполнения к бюджетной росписи</t>
  </si>
  <si>
    <t>Уточненная бюджетная роспись по состоянию на 31.12.2014</t>
  </si>
  <si>
    <t>Доведено финансирование на 31.12.2014</t>
  </si>
  <si>
    <t>исполнено на 31.12.2014</t>
  </si>
  <si>
    <t>Уточненная бюджетная роспись по состоянию на 31.12.2015</t>
  </si>
  <si>
    <t>Доведено финансирование на 31.12.2015</t>
  </si>
  <si>
    <t>Исполнено на 31.12.2015</t>
  </si>
  <si>
    <t>Уточненная бюджетная роспись по состоянию на 31.12.2016</t>
  </si>
  <si>
    <t>Доведено финансирование на 31.12.2016</t>
  </si>
  <si>
    <t>Исполнено на 31.12.2016</t>
  </si>
  <si>
    <t>Уточненная бюджетная роспись по состоянию на 31.12.2017</t>
  </si>
  <si>
    <t>Доведено финансирование на 31.12.2017</t>
  </si>
  <si>
    <t>Исполнено на 31.12.2017</t>
  </si>
  <si>
    <t>Развитие здравоохранения Архангельской области на 2013 – 2020 годы</t>
  </si>
  <si>
    <t xml:space="preserve">  </t>
  </si>
  <si>
    <t>Социальная поддержка граждан в Архангельской области (2013 – 2020 годы)</t>
  </si>
  <si>
    <t>Культура Русского Севера (2013 – 2020 годы)</t>
  </si>
  <si>
    <t>Развития сельского хозяйства  и регулирования рынков сельскохозяйственной продукции, сырья и продовольствия Архангельской области на 2013 – 2020 годы</t>
  </si>
  <si>
    <t>Обеспечение качественным, доступным жильем и объектами инженерной инфраструктуры населения Архангельской области (2014 – 2020 годы)</t>
  </si>
  <si>
    <t>Содействие занятости населения Архангельской области, улучшение условий и охраны труда (2014 – 2020 годы)</t>
  </si>
  <si>
    <t>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2020 годы)</t>
  </si>
  <si>
    <t>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2020 годы)</t>
  </si>
  <si>
    <t>Охрана окружающей среды, воспроизводство и использование природных ресурсов Архангельской области (2014 – 2020 годы)</t>
  </si>
  <si>
    <t>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</t>
  </si>
  <si>
    <t>Экономическое развитие и инвестиционная деятельность в Архангельской области (2014 – 2020 годы)</t>
  </si>
  <si>
    <t>Развитие торговли в Архангельской области (2014 – 2020 годы)</t>
  </si>
  <si>
    <t>Развитие лесного комплекса Архангельской области (2014 – 2020 годы)</t>
  </si>
  <si>
    <t>Развитие местного самоуправления в Архангельской области и государственная поддержка социально ориентированных некоммерческих организаций (2014 – 2020 годы)</t>
  </si>
  <si>
    <t>Развитие транспортной системы Архангельской области (2014 – 2020 годы)</t>
  </si>
  <si>
    <t>Развитие инфраструктуры Соловецкого архипелага (2014 – 2019 годы)</t>
  </si>
  <si>
    <t>Развитие имущественно-земельных отношений Архангельской области (2014 – 2020 годы)</t>
  </si>
  <si>
    <t>Управление государственными финансами и государственным долгом Архангельской области (2014 – 2020 годы)</t>
  </si>
  <si>
    <t>Эффективное государственное управление в Архангельской области (2014 – 2020 годы)</t>
  </si>
  <si>
    <t>Устойчивое развитие сельских территорий Архангельской области (2014 – 2020 годы)</t>
  </si>
  <si>
    <t>ИТОГО по государственным программам Архангельской области</t>
  </si>
  <si>
    <t>Результаты реализации государственных программ Архангельской области за 2016 -2017 годы</t>
  </si>
  <si>
    <t>Развитие образования и науки Архангельской области (2013 – 2025 годы)</t>
  </si>
  <si>
    <t>Развитие энергетики и жилищно-коммунального хозяйства Архангельской области (2014-2020 годы),</t>
  </si>
  <si>
    <t>Налоговые и неналоговые доходы консолидированных бюджетов муниципальных образований Архангельской области за 2017 год, согласно отчету, представленному в Минфин России по ф. 0503317</t>
  </si>
  <si>
    <t>Межбюджетные трансферты из областного бюджета в бюджеты городских округов и муниципальных районов за 2016 и за 2017 годы, согласно отчету по ф. 0503317 "Таблица консолидируемых расчетов", представленному в Минфин России</t>
  </si>
  <si>
    <t>Приложение № 6</t>
  </si>
  <si>
    <t>05 02. Коммунальное хозяйство</t>
  </si>
  <si>
    <t>Рост, снижение к 2016 г., (+,-) в млн.руб.</t>
  </si>
  <si>
    <t>Рост, снижение к 2016 г., (+,-) в %</t>
  </si>
  <si>
    <t>доходы от использования имущества, находящегося в собственности</t>
  </si>
  <si>
    <t>Агентство по спорту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</si>
</sst>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_ ;[Red]\-#,##0.00\ "/>
    <numFmt numFmtId="165" formatCode="#,##0.0_ ;[Red]\-#,##0.0\ "/>
    <numFmt numFmtId="166" formatCode="#,##0.000000_ ;[Red]\-#,##0.000000\ "/>
    <numFmt numFmtId="167" formatCode="#,##0.000000000000_ ;[Red]\-#,##0.000000000000\ "/>
    <numFmt numFmtId="168" formatCode="#,##0.00000000000_ ;[Red]\-#,##0.00000000000\ "/>
    <numFmt numFmtId="169" formatCode="#,##0.00000_ ;[Red]\-#,##0.00000\ "/>
    <numFmt numFmtId="170" formatCode="#,##0_ ;[Red]\-#,##0\ "/>
    <numFmt numFmtId="171" formatCode="#,##0.0"/>
    <numFmt numFmtId="172" formatCode="#,##0.00_ ;[Red]\-#,##0.00"/>
    <numFmt numFmtId="173" formatCode="0.0"/>
  </numFmts>
  <fonts count="32" x14ac:knownFonts="1"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i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sz val="10"/>
      <color rgb="FF000000"/>
      <name val="Arial Cyr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theme="1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65FFA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4" fontId="22" fillId="0" borderId="18">
      <alignment horizontal="right"/>
    </xf>
    <xf numFmtId="172" fontId="24" fillId="11" borderId="23">
      <alignment horizontal="center" vertical="center" shrinkToFit="1"/>
    </xf>
    <xf numFmtId="0" fontId="26" fillId="0" borderId="0"/>
    <xf numFmtId="4" fontId="22" fillId="0" borderId="18">
      <alignment horizontal="right"/>
    </xf>
    <xf numFmtId="4" fontId="22" fillId="0" borderId="24">
      <alignment horizontal="right"/>
    </xf>
    <xf numFmtId="0" fontId="29" fillId="11" borderId="24">
      <alignment horizontal="center" vertical="center" wrapText="1"/>
    </xf>
    <xf numFmtId="0" fontId="30" fillId="0" borderId="28">
      <alignment horizontal="left" vertical="center" wrapText="1"/>
    </xf>
  </cellStyleXfs>
  <cellXfs count="526"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shrinkToFi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vertical="center" shrinkToFit="1"/>
    </xf>
    <xf numFmtId="165" fontId="7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shrinkToFit="1"/>
    </xf>
    <xf numFmtId="49" fontId="10" fillId="0" borderId="6" xfId="0" applyNumberFormat="1" applyFont="1" applyFill="1" applyBorder="1" applyAlignment="1">
      <alignment horizontal="center" vertical="center" shrinkToFit="1"/>
    </xf>
    <xf numFmtId="4" fontId="10" fillId="0" borderId="6" xfId="0" applyNumberFormat="1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vertical="center" shrinkToFit="1"/>
    </xf>
    <xf numFmtId="0" fontId="4" fillId="0" borderId="6" xfId="0" applyFont="1" applyBorder="1" applyAlignment="1">
      <alignment vertical="center" wrapText="1"/>
    </xf>
    <xf numFmtId="165" fontId="6" fillId="0" borderId="6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shrinkToFit="1"/>
    </xf>
    <xf numFmtId="165" fontId="4" fillId="0" borderId="6" xfId="0" applyNumberFormat="1" applyFont="1" applyBorder="1" applyAlignment="1">
      <alignment vertical="center" wrapText="1"/>
    </xf>
    <xf numFmtId="165" fontId="1" fillId="0" borderId="6" xfId="0" applyNumberFormat="1" applyFont="1" applyBorder="1" applyAlignment="1">
      <alignment vertical="center" wrapText="1"/>
    </xf>
    <xf numFmtId="165" fontId="4" fillId="0" borderId="10" xfId="0" applyNumberFormat="1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2" borderId="6" xfId="0" applyNumberFormat="1" applyFont="1" applyFill="1" applyBorder="1" applyAlignment="1">
      <alignment horizontal="right" shrinkToFit="1"/>
    </xf>
    <xf numFmtId="4" fontId="8" fillId="4" borderId="6" xfId="0" applyNumberFormat="1" applyFont="1" applyFill="1" applyBorder="1" applyAlignment="1">
      <alignment horizontal="right" shrinkToFit="1"/>
    </xf>
    <xf numFmtId="165" fontId="8" fillId="0" borderId="6" xfId="0" applyNumberFormat="1" applyFont="1" applyBorder="1" applyAlignment="1">
      <alignment vertical="center" wrapText="1"/>
    </xf>
    <xf numFmtId="165" fontId="8" fillId="0" borderId="10" xfId="0" applyNumberFormat="1" applyFont="1" applyBorder="1" applyAlignment="1">
      <alignment vertical="center" wrapText="1"/>
    </xf>
    <xf numFmtId="165" fontId="8" fillId="0" borderId="0" xfId="0" applyNumberFormat="1" applyFont="1" applyBorder="1" applyAlignment="1">
      <alignment vertical="center" wrapText="1"/>
    </xf>
    <xf numFmtId="166" fontId="8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vertical="center" wrapText="1"/>
    </xf>
    <xf numFmtId="164" fontId="4" fillId="2" borderId="6" xfId="0" applyNumberFormat="1" applyFont="1" applyFill="1" applyBorder="1" applyAlignment="1">
      <alignment vertical="center" wrapText="1"/>
    </xf>
    <xf numFmtId="4" fontId="4" fillId="5" borderId="6" xfId="0" applyNumberFormat="1" applyFont="1" applyFill="1" applyBorder="1" applyAlignment="1">
      <alignment horizontal="right" shrinkToFit="1"/>
    </xf>
    <xf numFmtId="164" fontId="4" fillId="5" borderId="6" xfId="0" applyNumberFormat="1" applyFont="1" applyFill="1" applyBorder="1" applyAlignment="1">
      <alignment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shrinkToFit="1"/>
    </xf>
    <xf numFmtId="167" fontId="4" fillId="0" borderId="0" xfId="0" applyNumberFormat="1" applyFont="1" applyAlignment="1">
      <alignment vertical="center" wrapText="1"/>
    </xf>
    <xf numFmtId="165" fontId="4" fillId="0" borderId="6" xfId="0" applyNumberFormat="1" applyFont="1" applyFill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8" fontId="4" fillId="0" borderId="0" xfId="0" applyNumberFormat="1" applyFont="1" applyAlignment="1">
      <alignment vertical="center" wrapText="1"/>
    </xf>
    <xf numFmtId="0" fontId="13" fillId="6" borderId="5" xfId="0" applyFont="1" applyFill="1" applyBorder="1" applyAlignment="1">
      <alignment vertical="center" wrapText="1"/>
    </xf>
    <xf numFmtId="165" fontId="13" fillId="6" borderId="6" xfId="0" applyNumberFormat="1" applyFont="1" applyFill="1" applyBorder="1" applyAlignment="1">
      <alignment vertical="center" wrapText="1"/>
    </xf>
    <xf numFmtId="165" fontId="13" fillId="6" borderId="10" xfId="0" applyNumberFormat="1" applyFont="1" applyFill="1" applyBorder="1" applyAlignment="1">
      <alignment vertical="center" wrapText="1"/>
    </xf>
    <xf numFmtId="165" fontId="13" fillId="6" borderId="0" xfId="0" applyNumberFormat="1" applyFont="1" applyFill="1" applyAlignment="1">
      <alignment vertical="center" wrapText="1"/>
    </xf>
    <xf numFmtId="164" fontId="13" fillId="6" borderId="0" xfId="0" applyNumberFormat="1" applyFont="1" applyFill="1" applyAlignment="1">
      <alignment vertical="center" wrapText="1"/>
    </xf>
    <xf numFmtId="4" fontId="2" fillId="5" borderId="6" xfId="0" applyNumberFormat="1" applyFont="1" applyFill="1" applyBorder="1" applyAlignment="1">
      <alignment horizontal="right" shrinkToFit="1"/>
    </xf>
    <xf numFmtId="4" fontId="2" fillId="4" borderId="6" xfId="0" applyNumberFormat="1" applyFont="1" applyFill="1" applyBorder="1" applyAlignment="1">
      <alignment horizontal="right" shrinkToFit="1"/>
    </xf>
    <xf numFmtId="165" fontId="2" fillId="0" borderId="6" xfId="0" applyNumberFormat="1" applyFont="1" applyBorder="1" applyAlignment="1">
      <alignment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8" fillId="3" borderId="6" xfId="0" applyNumberFormat="1" applyFont="1" applyFill="1" applyBorder="1" applyAlignment="1">
      <alignment horizontal="right" vertical="center" shrinkToFit="1"/>
    </xf>
    <xf numFmtId="165" fontId="8" fillId="0" borderId="0" xfId="0" applyNumberFormat="1" applyFont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right" shrinkToFit="1"/>
    </xf>
    <xf numFmtId="4" fontId="15" fillId="3" borderId="6" xfId="0" applyNumberFormat="1" applyFont="1" applyFill="1" applyBorder="1" applyAlignment="1">
      <alignment horizontal="right" vertical="center" shrinkToFit="1"/>
    </xf>
    <xf numFmtId="4" fontId="15" fillId="2" borderId="6" xfId="0" applyNumberFormat="1" applyFont="1" applyFill="1" applyBorder="1" applyAlignment="1">
      <alignment horizontal="right" shrinkToFi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15" fillId="0" borderId="0" xfId="0" applyNumberFormat="1" applyFont="1" applyAlignment="1">
      <alignment vertical="center" wrapText="1"/>
    </xf>
    <xf numFmtId="4" fontId="4" fillId="3" borderId="6" xfId="0" applyNumberFormat="1" applyFont="1" applyFill="1" applyBorder="1" applyAlignment="1">
      <alignment horizontal="right" vertical="center" shrinkToFit="1"/>
    </xf>
    <xf numFmtId="164" fontId="1" fillId="0" borderId="0" xfId="0" applyNumberFormat="1" applyFont="1" applyAlignment="1">
      <alignment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4" fontId="8" fillId="7" borderId="11" xfId="0" applyNumberFormat="1" applyFont="1" applyFill="1" applyBorder="1" applyAlignment="1">
      <alignment horizontal="right" vertical="center" shrinkToFit="1"/>
    </xf>
    <xf numFmtId="165" fontId="8" fillId="7" borderId="11" xfId="0" applyNumberFormat="1" applyFont="1" applyFill="1" applyBorder="1" applyAlignment="1">
      <alignment vertical="center" wrapText="1"/>
    </xf>
    <xf numFmtId="165" fontId="8" fillId="7" borderId="14" xfId="0" applyNumberFormat="1" applyFont="1" applyFill="1" applyBorder="1" applyAlignment="1">
      <alignment vertical="center" wrapText="1"/>
    </xf>
    <xf numFmtId="165" fontId="8" fillId="7" borderId="0" xfId="0" applyNumberFormat="1" applyFont="1" applyFill="1" applyBorder="1" applyAlignment="1">
      <alignment vertical="center" wrapText="1"/>
    </xf>
    <xf numFmtId="4" fontId="8" fillId="7" borderId="6" xfId="0" applyNumberFormat="1" applyFont="1" applyFill="1" applyBorder="1" applyAlignment="1">
      <alignment horizontal="right" vertical="center" shrinkToFit="1"/>
    </xf>
    <xf numFmtId="165" fontId="8" fillId="7" borderId="6" xfId="0" applyNumberFormat="1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shrinkToFit="1"/>
    </xf>
    <xf numFmtId="164" fontId="2" fillId="0" borderId="12" xfId="0" applyNumberFormat="1" applyFont="1" applyBorder="1" applyAlignment="1">
      <alignment vertical="center" wrapText="1"/>
    </xf>
    <xf numFmtId="164" fontId="2" fillId="0" borderId="16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4" fontId="2" fillId="0" borderId="17" xfId="0" applyNumberFormat="1" applyFont="1" applyBorder="1" applyAlignment="1">
      <alignment vertical="center" shrinkToFit="1"/>
    </xf>
    <xf numFmtId="164" fontId="2" fillId="0" borderId="17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shrinkToFit="1"/>
    </xf>
    <xf numFmtId="165" fontId="2" fillId="0" borderId="0" xfId="0" applyNumberFormat="1" applyFont="1" applyBorder="1" applyAlignment="1">
      <alignment vertical="center" shrinkToFit="1"/>
    </xf>
    <xf numFmtId="164" fontId="15" fillId="0" borderId="0" xfId="0" applyNumberFormat="1" applyFont="1" applyFill="1" applyBorder="1" applyAlignment="1">
      <alignment vertical="center" shrinkToFit="1"/>
    </xf>
    <xf numFmtId="169" fontId="15" fillId="0" borderId="0" xfId="0" applyNumberFormat="1" applyFont="1" applyFill="1" applyBorder="1" applyAlignment="1">
      <alignment vertical="center" shrinkToFit="1"/>
    </xf>
    <xf numFmtId="165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8" fillId="8" borderId="5" xfId="0" applyFont="1" applyFill="1" applyBorder="1" applyAlignment="1">
      <alignment vertical="center" wrapText="1"/>
    </xf>
    <xf numFmtId="4" fontId="8" fillId="9" borderId="6" xfId="0" applyNumberFormat="1" applyFont="1" applyFill="1" applyBorder="1" applyAlignment="1">
      <alignment horizontal="right" shrinkToFit="1"/>
    </xf>
    <xf numFmtId="165" fontId="8" fillId="8" borderId="6" xfId="0" applyNumberFormat="1" applyFont="1" applyFill="1" applyBorder="1" applyAlignment="1">
      <alignment vertical="center" wrapText="1"/>
    </xf>
    <xf numFmtId="165" fontId="8" fillId="8" borderId="10" xfId="0" applyNumberFormat="1" applyFont="1" applyFill="1" applyBorder="1" applyAlignment="1">
      <alignment vertical="center" wrapText="1"/>
    </xf>
    <xf numFmtId="165" fontId="8" fillId="8" borderId="0" xfId="0" applyNumberFormat="1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14" fillId="0" borderId="6" xfId="0" applyNumberFormat="1" applyFont="1" applyBorder="1" applyAlignment="1">
      <alignment vertical="center" wrapText="1"/>
    </xf>
    <xf numFmtId="165" fontId="14" fillId="0" borderId="10" xfId="0" applyNumberFormat="1" applyFont="1" applyBorder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164" fontId="4" fillId="2" borderId="6" xfId="0" applyNumberFormat="1" applyFont="1" applyFill="1" applyBorder="1" applyAlignment="1">
      <alignment vertical="center" shrinkToFit="1"/>
    </xf>
    <xf numFmtId="164" fontId="4" fillId="2" borderId="6" xfId="0" applyNumberFormat="1" applyFont="1" applyFill="1" applyBorder="1" applyAlignment="1">
      <alignment shrinkToFit="1"/>
    </xf>
    <xf numFmtId="0" fontId="1" fillId="0" borderId="5" xfId="0" applyFont="1" applyBorder="1" applyAlignment="1">
      <alignment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vertical="center" shrinkToFit="1"/>
    </xf>
    <xf numFmtId="4" fontId="8" fillId="3" borderId="6" xfId="0" applyNumberFormat="1" applyFont="1" applyFill="1" applyBorder="1" applyAlignment="1">
      <alignment horizontal="right" shrinkToFit="1"/>
    </xf>
    <xf numFmtId="4" fontId="4" fillId="3" borderId="6" xfId="0" applyNumberFormat="1" applyFont="1" applyFill="1" applyBorder="1" applyAlignment="1">
      <alignment horizontal="right" shrinkToFit="1"/>
    </xf>
    <xf numFmtId="0" fontId="8" fillId="7" borderId="5" xfId="0" applyFont="1" applyFill="1" applyBorder="1" applyAlignment="1">
      <alignment vertical="center" wrapText="1"/>
    </xf>
    <xf numFmtId="164" fontId="8" fillId="7" borderId="6" xfId="0" applyNumberFormat="1" applyFont="1" applyFill="1" applyBorder="1" applyAlignment="1">
      <alignment vertical="center" shrinkToFit="1"/>
    </xf>
    <xf numFmtId="165" fontId="8" fillId="7" borderId="10" xfId="0" applyNumberFormat="1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164" fontId="15" fillId="0" borderId="6" xfId="0" applyNumberFormat="1" applyFont="1" applyFill="1" applyBorder="1" applyAlignment="1">
      <alignment vertical="center" shrinkToFit="1"/>
    </xf>
    <xf numFmtId="165" fontId="2" fillId="0" borderId="6" xfId="0" applyNumberFormat="1" applyFont="1" applyFill="1" applyBorder="1" applyAlignment="1">
      <alignment vertical="center" wrapText="1"/>
    </xf>
    <xf numFmtId="165" fontId="15" fillId="0" borderId="6" xfId="0" applyNumberFormat="1" applyFont="1" applyFill="1" applyBorder="1" applyAlignment="1">
      <alignment vertical="center" wrapText="1"/>
    </xf>
    <xf numFmtId="165" fontId="15" fillId="0" borderId="10" xfId="0" applyNumberFormat="1" applyFont="1" applyFill="1" applyBorder="1" applyAlignment="1">
      <alignment vertical="center" wrapText="1"/>
    </xf>
    <xf numFmtId="165" fontId="15" fillId="0" borderId="0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 shrinkToFit="1"/>
    </xf>
    <xf numFmtId="4" fontId="8" fillId="0" borderId="6" xfId="0" applyNumberFormat="1" applyFont="1" applyFill="1" applyBorder="1" applyAlignment="1">
      <alignment vertical="center" shrinkToFi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0" fontId="8" fillId="7" borderId="19" xfId="0" applyFont="1" applyFill="1" applyBorder="1" applyAlignment="1">
      <alignment vertical="center" wrapText="1"/>
    </xf>
    <xf numFmtId="164" fontId="8" fillId="7" borderId="20" xfId="0" applyNumberFormat="1" applyFont="1" applyFill="1" applyBorder="1" applyAlignment="1">
      <alignment vertical="center" shrinkToFit="1"/>
    </xf>
    <xf numFmtId="165" fontId="8" fillId="7" borderId="20" xfId="0" applyNumberFormat="1" applyFont="1" applyFill="1" applyBorder="1" applyAlignment="1">
      <alignment vertical="center" wrapText="1"/>
    </xf>
    <xf numFmtId="165" fontId="8" fillId="7" borderId="20" xfId="0" applyNumberFormat="1" applyFont="1" applyFill="1" applyBorder="1" applyAlignment="1">
      <alignment horizontal="center" vertical="center" wrapText="1"/>
    </xf>
    <xf numFmtId="165" fontId="8" fillId="7" borderId="21" xfId="0" applyNumberFormat="1" applyFont="1" applyFill="1" applyBorder="1" applyAlignment="1">
      <alignment horizontal="center" vertical="center" wrapText="1"/>
    </xf>
    <xf numFmtId="165" fontId="8" fillId="7" borderId="0" xfId="0" applyNumberFormat="1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164" fontId="8" fillId="2" borderId="12" xfId="0" applyNumberFormat="1" applyFont="1" applyFill="1" applyBorder="1" applyAlignment="1">
      <alignment vertical="center" shrinkToFit="1"/>
    </xf>
    <xf numFmtId="164" fontId="8" fillId="9" borderId="12" xfId="0" applyNumberFormat="1" applyFont="1" applyFill="1" applyBorder="1" applyAlignment="1">
      <alignment vertical="center" shrinkToFit="1"/>
    </xf>
    <xf numFmtId="165" fontId="8" fillId="2" borderId="12" xfId="0" applyNumberFormat="1" applyFont="1" applyFill="1" applyBorder="1" applyAlignment="1">
      <alignment vertical="center" wrapText="1"/>
    </xf>
    <xf numFmtId="165" fontId="8" fillId="2" borderId="16" xfId="0" applyNumberFormat="1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164" fontId="8" fillId="2" borderId="11" xfId="0" applyNumberFormat="1" applyFont="1" applyFill="1" applyBorder="1" applyAlignment="1">
      <alignment vertical="center" shrinkToFit="1"/>
    </xf>
    <xf numFmtId="165" fontId="8" fillId="2" borderId="11" xfId="0" applyNumberFormat="1" applyFont="1" applyFill="1" applyBorder="1" applyAlignment="1">
      <alignment vertical="center" wrapText="1"/>
    </xf>
    <xf numFmtId="165" fontId="8" fillId="2" borderId="1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shrinkToFit="1"/>
    </xf>
    <xf numFmtId="164" fontId="8" fillId="9" borderId="0" xfId="0" applyNumberFormat="1" applyFont="1" applyFill="1" applyBorder="1" applyAlignment="1">
      <alignment vertical="center" shrinkToFit="1"/>
    </xf>
    <xf numFmtId="164" fontId="4" fillId="9" borderId="0" xfId="0" applyNumberFormat="1" applyFont="1" applyFill="1" applyBorder="1" applyAlignment="1">
      <alignment vertical="center" shrinkToFit="1"/>
    </xf>
    <xf numFmtId="0" fontId="4" fillId="0" borderId="19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shrinkToFit="1"/>
    </xf>
    <xf numFmtId="164" fontId="4" fillId="9" borderId="1" xfId="0" applyNumberFormat="1" applyFont="1" applyFill="1" applyBorder="1" applyAlignment="1">
      <alignment vertical="center" shrinkToFit="1"/>
    </xf>
    <xf numFmtId="165" fontId="4" fillId="0" borderId="20" xfId="0" applyNumberFormat="1" applyFont="1" applyBorder="1" applyAlignment="1">
      <alignment vertical="center" wrapText="1"/>
    </xf>
    <xf numFmtId="165" fontId="4" fillId="0" borderId="21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6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vertical="center" wrapText="1"/>
    </xf>
    <xf numFmtId="165" fontId="8" fillId="0" borderId="17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vertical="center" shrinkToFit="1"/>
    </xf>
    <xf numFmtId="164" fontId="8" fillId="0" borderId="6" xfId="0" applyNumberFormat="1" applyFont="1" applyFill="1" applyBorder="1" applyAlignment="1">
      <alignment vertical="center" shrinkToFit="1"/>
    </xf>
    <xf numFmtId="164" fontId="4" fillId="3" borderId="6" xfId="0" applyNumberFormat="1" applyFont="1" applyFill="1" applyBorder="1" applyAlignment="1">
      <alignment vertical="center" shrinkToFit="1"/>
    </xf>
    <xf numFmtId="164" fontId="17" fillId="0" borderId="6" xfId="0" applyNumberFormat="1" applyFont="1" applyFill="1" applyBorder="1" applyAlignment="1">
      <alignment horizontal="right" shrinkToFit="1"/>
    </xf>
    <xf numFmtId="164" fontId="4" fillId="10" borderId="6" xfId="0" applyNumberFormat="1" applyFont="1" applyFill="1" applyBorder="1" applyAlignment="1">
      <alignment vertical="center" shrinkToFit="1"/>
    </xf>
    <xf numFmtId="164" fontId="8" fillId="0" borderId="6" xfId="0" applyNumberFormat="1" applyFont="1" applyBorder="1" applyAlignment="1">
      <alignment vertical="center" shrinkToFit="1"/>
    </xf>
    <xf numFmtId="164" fontId="8" fillId="9" borderId="6" xfId="0" applyNumberFormat="1" applyFont="1" applyFill="1" applyBorder="1" applyAlignment="1">
      <alignment vertical="center" shrinkToFit="1"/>
    </xf>
    <xf numFmtId="164" fontId="4" fillId="3" borderId="20" xfId="0" applyNumberFormat="1" applyFont="1" applyFill="1" applyBorder="1" applyAlignment="1">
      <alignment vertical="center" shrinkToFit="1"/>
    </xf>
    <xf numFmtId="164" fontId="4" fillId="0" borderId="20" xfId="0" applyNumberFormat="1" applyFont="1" applyBorder="1" applyAlignment="1">
      <alignment vertical="center" shrinkToFit="1"/>
    </xf>
    <xf numFmtId="164" fontId="4" fillId="0" borderId="20" xfId="0" applyNumberFormat="1" applyFont="1" applyFill="1" applyBorder="1" applyAlignment="1">
      <alignment vertical="center" shrinkToFit="1"/>
    </xf>
    <xf numFmtId="4" fontId="13" fillId="6" borderId="6" xfId="0" applyNumberFormat="1" applyFont="1" applyFill="1" applyBorder="1" applyAlignment="1">
      <alignment horizontal="right" shrinkToFit="1"/>
    </xf>
    <xf numFmtId="165" fontId="15" fillId="0" borderId="0" xfId="0" applyNumberFormat="1" applyFont="1" applyBorder="1" applyAlignment="1">
      <alignment vertical="center" wrapText="1"/>
    </xf>
    <xf numFmtId="4" fontId="8" fillId="9" borderId="6" xfId="0" applyNumberFormat="1" applyFont="1" applyFill="1" applyBorder="1" applyAlignment="1">
      <alignment vertical="center" shrinkToFit="1"/>
    </xf>
    <xf numFmtId="0" fontId="16" fillId="0" borderId="5" xfId="0" applyFont="1" applyFill="1" applyBorder="1" applyAlignment="1">
      <alignment vertical="center" wrapText="1"/>
    </xf>
    <xf numFmtId="164" fontId="8" fillId="3" borderId="6" xfId="0" applyNumberFormat="1" applyFont="1" applyFill="1" applyBorder="1" applyAlignment="1">
      <alignment horizontal="right" vertical="center" shrinkToFit="1"/>
    </xf>
    <xf numFmtId="4" fontId="8" fillId="2" borderId="9" xfId="0" applyNumberFormat="1" applyFont="1" applyFill="1" applyBorder="1" applyAlignment="1">
      <alignment horizontal="right" shrinkToFit="1"/>
    </xf>
    <xf numFmtId="165" fontId="3" fillId="0" borderId="6" xfId="0" applyNumberFormat="1" applyFont="1" applyBorder="1" applyAlignment="1">
      <alignment vertical="center" wrapText="1"/>
    </xf>
    <xf numFmtId="165" fontId="14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5" fontId="15" fillId="0" borderId="17" xfId="0" applyNumberFormat="1" applyFont="1" applyFill="1" applyBorder="1" applyAlignment="1">
      <alignment vertical="center" wrapText="1"/>
    </xf>
    <xf numFmtId="165" fontId="15" fillId="0" borderId="1" xfId="0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horizontal="left" vertical="center" shrinkToFit="1"/>
    </xf>
    <xf numFmtId="0" fontId="1" fillId="0" borderId="0" xfId="0" applyFont="1" applyAlignment="1">
      <alignment vertical="center" wrapText="1"/>
    </xf>
    <xf numFmtId="0" fontId="1" fillId="7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7" borderId="0" xfId="0" applyNumberFormat="1" applyFont="1" applyFill="1" applyAlignment="1">
      <alignment vertical="center" shrinkToFit="1"/>
    </xf>
    <xf numFmtId="165" fontId="1" fillId="0" borderId="0" xfId="0" applyNumberFormat="1" applyFont="1" applyAlignment="1">
      <alignment vertical="center" shrinkToFit="1"/>
    </xf>
    <xf numFmtId="165" fontId="1" fillId="7" borderId="0" xfId="0" applyNumberFormat="1" applyFont="1" applyFill="1" applyAlignment="1">
      <alignment vertical="center" shrinkToFit="1"/>
    </xf>
    <xf numFmtId="164" fontId="1" fillId="0" borderId="0" xfId="0" applyNumberFormat="1" applyFont="1" applyAlignment="1">
      <alignment vertical="center" shrinkToFi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 shrinkToFit="1"/>
    </xf>
    <xf numFmtId="165" fontId="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4" fontId="0" fillId="7" borderId="0" xfId="0" applyNumberFormat="1" applyFont="1" applyFill="1" applyAlignment="1">
      <alignment vertical="center" shrinkToFit="1"/>
    </xf>
    <xf numFmtId="165" fontId="0" fillId="0" borderId="0" xfId="0" applyNumberFormat="1" applyFont="1" applyAlignment="1">
      <alignment vertical="center" shrinkToFit="1"/>
    </xf>
    <xf numFmtId="170" fontId="0" fillId="8" borderId="0" xfId="0" applyNumberFormat="1" applyFont="1" applyFill="1" applyAlignment="1">
      <alignment vertical="center" shrinkToFit="1"/>
    </xf>
    <xf numFmtId="164" fontId="0" fillId="8" borderId="0" xfId="0" applyNumberFormat="1" applyFont="1" applyFill="1" applyAlignment="1">
      <alignment vertical="center" shrinkToFit="1"/>
    </xf>
    <xf numFmtId="165" fontId="0" fillId="7" borderId="0" xfId="0" applyNumberFormat="1" applyFont="1" applyFill="1" applyAlignment="1">
      <alignment vertical="center" shrinkToFit="1"/>
    </xf>
    <xf numFmtId="164" fontId="0" fillId="0" borderId="0" xfId="0" applyNumberFormat="1" applyFont="1" applyAlignment="1">
      <alignment vertical="center" shrinkToFit="1"/>
    </xf>
    <xf numFmtId="0" fontId="1" fillId="0" borderId="0" xfId="0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165" fontId="1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horizontal="center" vertical="center" wrapText="1"/>
    </xf>
    <xf numFmtId="165" fontId="0" fillId="0" borderId="6" xfId="0" applyNumberFormat="1" applyFont="1" applyFill="1" applyBorder="1" applyAlignment="1">
      <alignment vertical="center" wrapText="1"/>
    </xf>
    <xf numFmtId="165" fontId="0" fillId="0" borderId="10" xfId="0" applyNumberFormat="1" applyFont="1" applyFill="1" applyBorder="1" applyAlignment="1">
      <alignment vertical="center" wrapText="1"/>
    </xf>
    <xf numFmtId="165" fontId="8" fillId="7" borderId="12" xfId="0" applyNumberFormat="1" applyFont="1" applyFill="1" applyBorder="1" applyAlignment="1">
      <alignment vertical="center" wrapText="1"/>
    </xf>
    <xf numFmtId="4" fontId="8" fillId="7" borderId="20" xfId="0" applyNumberFormat="1" applyFont="1" applyFill="1" applyBorder="1" applyAlignment="1">
      <alignment horizontal="right" vertical="center" shrinkToFit="1"/>
    </xf>
    <xf numFmtId="165" fontId="8" fillId="7" borderId="21" xfId="0" applyNumberFormat="1" applyFont="1" applyFill="1" applyBorder="1" applyAlignment="1">
      <alignment vertical="center" wrapText="1"/>
    </xf>
    <xf numFmtId="0" fontId="3" fillId="5" borderId="19" xfId="0" applyFont="1" applyFill="1" applyBorder="1"/>
    <xf numFmtId="165" fontId="3" fillId="5" borderId="20" xfId="0" applyNumberFormat="1" applyFont="1" applyFill="1" applyBorder="1" applyAlignment="1">
      <alignment vertical="center" wrapText="1"/>
    </xf>
    <xf numFmtId="165" fontId="3" fillId="5" borderId="21" xfId="0" applyNumberFormat="1" applyFont="1" applyFill="1" applyBorder="1" applyAlignment="1">
      <alignment vertical="center" wrapText="1"/>
    </xf>
    <xf numFmtId="170" fontId="1" fillId="0" borderId="0" xfId="0" applyNumberFormat="1" applyFont="1" applyAlignment="1">
      <alignment vertical="center" wrapText="1"/>
    </xf>
    <xf numFmtId="0" fontId="0" fillId="0" borderId="22" xfId="0" applyFont="1" applyFill="1" applyBorder="1"/>
    <xf numFmtId="170" fontId="1" fillId="0" borderId="0" xfId="0" applyNumberFormat="1" applyFont="1" applyBorder="1" applyAlignment="1">
      <alignment vertical="center" wrapText="1"/>
    </xf>
    <xf numFmtId="165" fontId="3" fillId="0" borderId="6" xfId="0" applyNumberFormat="1" applyFont="1" applyFill="1" applyBorder="1" applyAlignment="1">
      <alignment vertical="center" wrapText="1"/>
    </xf>
    <xf numFmtId="0" fontId="3" fillId="5" borderId="19" xfId="0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1" fillId="6" borderId="6" xfId="0" applyNumberFormat="1" applyFont="1" applyFill="1" applyBorder="1" applyAlignment="1">
      <alignment vertical="center" wrapText="1"/>
    </xf>
    <xf numFmtId="165" fontId="3" fillId="5" borderId="0" xfId="0" applyNumberFormat="1" applyFont="1" applyFill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vertical="center" shrinkToFit="1"/>
    </xf>
    <xf numFmtId="170" fontId="3" fillId="7" borderId="0" xfId="0" applyNumberFormat="1" applyFont="1" applyFill="1" applyAlignment="1">
      <alignment vertical="center" shrinkToFit="1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" fillId="0" borderId="0" xfId="0" applyNumberFormat="1" applyFont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0" fontId="14" fillId="0" borderId="5" xfId="0" applyFont="1" applyFill="1" applyBorder="1" applyAlignment="1">
      <alignment horizontal="left" vertical="center" wrapText="1" indent="1"/>
    </xf>
    <xf numFmtId="165" fontId="14" fillId="0" borderId="6" xfId="0" applyNumberFormat="1" applyFont="1" applyFill="1" applyBorder="1" applyAlignment="1">
      <alignment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165" fontId="8" fillId="5" borderId="6" xfId="0" applyNumberFormat="1" applyFont="1" applyFill="1" applyBorder="1" applyAlignment="1">
      <alignment vertical="center" wrapText="1"/>
    </xf>
    <xf numFmtId="165" fontId="8" fillId="5" borderId="10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 indent="1"/>
    </xf>
    <xf numFmtId="165" fontId="13" fillId="0" borderId="6" xfId="0" applyNumberFormat="1" applyFont="1" applyBorder="1" applyAlignment="1">
      <alignment vertical="center" wrapText="1"/>
    </xf>
    <xf numFmtId="165" fontId="13" fillId="0" borderId="10" xfId="0" applyNumberFormat="1" applyFont="1" applyBorder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2" fillId="0" borderId="5" xfId="0" applyFont="1" applyBorder="1" applyAlignment="1">
      <alignment horizontal="left" vertical="center" wrapText="1" indent="1"/>
    </xf>
    <xf numFmtId="165" fontId="2" fillId="0" borderId="10" xfId="0" applyNumberFormat="1" applyFont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165" fontId="4" fillId="0" borderId="11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165" fontId="0" fillId="0" borderId="0" xfId="0" applyNumberFormat="1" applyFont="1" applyAlignment="1">
      <alignment vertical="center" wrapText="1"/>
    </xf>
    <xf numFmtId="0" fontId="0" fillId="0" borderId="5" xfId="0" applyFont="1" applyBorder="1" applyAlignment="1">
      <alignment vertical="center" wrapText="1"/>
    </xf>
    <xf numFmtId="165" fontId="0" fillId="0" borderId="6" xfId="0" applyNumberFormat="1" applyFont="1" applyBorder="1" applyAlignment="1">
      <alignment vertical="center" wrapText="1"/>
    </xf>
    <xf numFmtId="165" fontId="0" fillId="0" borderId="10" xfId="0" applyNumberFormat="1" applyFont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165" fontId="3" fillId="5" borderId="6" xfId="0" applyNumberFormat="1" applyFont="1" applyFill="1" applyBorder="1" applyAlignment="1">
      <alignment vertical="center" wrapText="1"/>
    </xf>
    <xf numFmtId="165" fontId="3" fillId="5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165" fontId="0" fillId="0" borderId="6" xfId="0" applyNumberFormat="1" applyBorder="1" applyAlignment="1">
      <alignment vertical="center" wrapText="1"/>
    </xf>
    <xf numFmtId="165" fontId="0" fillId="0" borderId="0" xfId="0" applyNumberFormat="1" applyFill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3" fillId="7" borderId="5" xfId="0" applyFont="1" applyFill="1" applyBorder="1" applyAlignment="1">
      <alignment vertical="center" wrapText="1"/>
    </xf>
    <xf numFmtId="165" fontId="3" fillId="7" borderId="6" xfId="0" applyNumberFormat="1" applyFont="1" applyFill="1" applyBorder="1" applyAlignment="1">
      <alignment vertical="center" wrapText="1"/>
    </xf>
    <xf numFmtId="165" fontId="3" fillId="7" borderId="10" xfId="0" applyNumberFormat="1" applyFont="1" applyFill="1" applyBorder="1" applyAlignment="1">
      <alignment vertical="center" wrapText="1"/>
    </xf>
    <xf numFmtId="0" fontId="3" fillId="7" borderId="19" xfId="0" applyFont="1" applyFill="1" applyBorder="1" applyAlignment="1">
      <alignment vertical="center" wrapText="1"/>
    </xf>
    <xf numFmtId="165" fontId="3" fillId="7" borderId="20" xfId="0" applyNumberFormat="1" applyFont="1" applyFill="1" applyBorder="1" applyAlignment="1">
      <alignment vertical="center" wrapText="1"/>
    </xf>
    <xf numFmtId="165" fontId="3" fillId="7" borderId="21" xfId="0" applyNumberFormat="1" applyFont="1" applyFill="1" applyBorder="1" applyAlignment="1">
      <alignment vertical="center" wrapText="1"/>
    </xf>
    <xf numFmtId="171" fontId="8" fillId="7" borderId="6" xfId="0" applyNumberFormat="1" applyFont="1" applyFill="1" applyBorder="1" applyAlignment="1">
      <alignment horizontal="right" vertical="center" shrinkToFit="1"/>
    </xf>
    <xf numFmtId="171" fontId="8" fillId="7" borderId="20" xfId="0" applyNumberFormat="1" applyFont="1" applyFill="1" applyBorder="1" applyAlignment="1">
      <alignment horizontal="right"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3" fillId="7" borderId="0" xfId="0" applyNumberFormat="1" applyFont="1" applyFill="1" applyAlignment="1">
      <alignment vertical="center" wrapText="1"/>
    </xf>
    <xf numFmtId="165" fontId="0" fillId="0" borderId="10" xfId="0" applyNumberForma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4" fontId="13" fillId="2" borderId="6" xfId="0" applyNumberFormat="1" applyFont="1" applyFill="1" applyBorder="1" applyAlignment="1">
      <alignment vertical="center" shrinkToFit="1"/>
    </xf>
    <xf numFmtId="4" fontId="13" fillId="2" borderId="6" xfId="0" applyNumberFormat="1" applyFont="1" applyFill="1" applyBorder="1" applyAlignment="1">
      <alignment horizontal="center" vertical="center" shrinkToFit="1"/>
    </xf>
    <xf numFmtId="4" fontId="13" fillId="4" borderId="6" xfId="0" applyNumberFormat="1" applyFont="1" applyFill="1" applyBorder="1" applyAlignment="1">
      <alignment horizontal="center" vertical="center" shrinkToFit="1"/>
    </xf>
    <xf numFmtId="4" fontId="13" fillId="2" borderId="6" xfId="0" applyNumberFormat="1" applyFont="1" applyFill="1" applyBorder="1" applyAlignment="1">
      <alignment horizontal="right" shrinkToFit="1"/>
    </xf>
    <xf numFmtId="165" fontId="13" fillId="0" borderId="0" xfId="0" applyNumberFormat="1" applyFont="1" applyBorder="1" applyAlignment="1">
      <alignment vertical="center" wrapText="1"/>
    </xf>
    <xf numFmtId="4" fontId="13" fillId="4" borderId="6" xfId="0" applyNumberFormat="1" applyFont="1" applyFill="1" applyBorder="1" applyAlignment="1">
      <alignment vertical="center" shrinkToFit="1"/>
    </xf>
    <xf numFmtId="165" fontId="23" fillId="0" borderId="6" xfId="0" applyNumberFormat="1" applyFont="1" applyBorder="1" applyAlignment="1">
      <alignment horizontal="center" vertical="center" wrapText="1"/>
    </xf>
    <xf numFmtId="165" fontId="23" fillId="0" borderId="6" xfId="0" applyNumberFormat="1" applyFont="1" applyBorder="1" applyAlignment="1">
      <alignment vertical="center" wrapText="1"/>
    </xf>
    <xf numFmtId="164" fontId="13" fillId="2" borderId="6" xfId="0" applyNumberFormat="1" applyFont="1" applyFill="1" applyBorder="1" applyAlignment="1">
      <alignment vertical="center" shrinkToFit="1"/>
    </xf>
    <xf numFmtId="165" fontId="1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64" fontId="2" fillId="2" borderId="6" xfId="0" applyNumberFormat="1" applyFont="1" applyFill="1" applyBorder="1" applyAlignment="1">
      <alignment shrinkToFit="1"/>
    </xf>
    <xf numFmtId="4" fontId="2" fillId="4" borderId="6" xfId="0" applyNumberFormat="1" applyFont="1" applyFill="1" applyBorder="1" applyAlignment="1">
      <alignment vertical="center" shrinkToFit="1"/>
    </xf>
    <xf numFmtId="165" fontId="15" fillId="0" borderId="6" xfId="0" applyNumberFormat="1" applyFont="1" applyBorder="1" applyAlignment="1">
      <alignment vertical="center" wrapText="1"/>
    </xf>
    <xf numFmtId="164" fontId="13" fillId="2" borderId="6" xfId="0" applyNumberFormat="1" applyFont="1" applyFill="1" applyBorder="1" applyAlignment="1">
      <alignment shrinkToFit="1"/>
    </xf>
    <xf numFmtId="165" fontId="23" fillId="0" borderId="10" xfId="0" applyNumberFormat="1" applyFont="1" applyBorder="1" applyAlignment="1">
      <alignment vertical="center" wrapText="1"/>
    </xf>
    <xf numFmtId="165" fontId="23" fillId="0" borderId="0" xfId="0" applyNumberFormat="1" applyFont="1" applyBorder="1" applyAlignment="1">
      <alignment vertical="center" wrapText="1"/>
    </xf>
    <xf numFmtId="164" fontId="0" fillId="2" borderId="6" xfId="0" applyNumberFormat="1" applyFont="1" applyFill="1" applyBorder="1" applyAlignment="1">
      <alignment shrinkToFit="1"/>
    </xf>
    <xf numFmtId="0" fontId="8" fillId="0" borderId="5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 shrinkToFit="1"/>
    </xf>
    <xf numFmtId="164" fontId="4" fillId="0" borderId="6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4" fontId="8" fillId="8" borderId="6" xfId="0" applyNumberFormat="1" applyFont="1" applyFill="1" applyBorder="1" applyAlignment="1">
      <alignment horizontal="right" shrinkToFit="1"/>
    </xf>
    <xf numFmtId="4" fontId="4" fillId="4" borderId="6" xfId="0" applyNumberFormat="1" applyFont="1" applyFill="1" applyBorder="1" applyAlignment="1">
      <alignment horizontal="right" shrinkToFit="1"/>
    </xf>
    <xf numFmtId="4" fontId="23" fillId="2" borderId="6" xfId="0" applyNumberFormat="1" applyFont="1" applyFill="1" applyBorder="1" applyAlignment="1">
      <alignment horizontal="right" shrinkToFit="1"/>
    </xf>
    <xf numFmtId="4" fontId="13" fillId="5" borderId="6" xfId="0" applyNumberFormat="1" applyFont="1" applyFill="1" applyBorder="1" applyAlignment="1">
      <alignment horizontal="right" shrinkToFit="1"/>
    </xf>
    <xf numFmtId="164" fontId="13" fillId="5" borderId="6" xfId="0" applyNumberFormat="1" applyFont="1" applyFill="1" applyBorder="1" applyAlignment="1">
      <alignment vertical="center" shrinkToFit="1"/>
    </xf>
    <xf numFmtId="164" fontId="2" fillId="0" borderId="6" xfId="0" applyNumberFormat="1" applyFont="1" applyFill="1" applyBorder="1" applyAlignment="1">
      <alignment vertical="center" shrinkToFit="1"/>
    </xf>
    <xf numFmtId="165" fontId="2" fillId="0" borderId="10" xfId="0" applyNumberFormat="1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25" fillId="0" borderId="0" xfId="0" applyNumberFormat="1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165" fontId="8" fillId="7" borderId="6" xfId="0" applyNumberFormat="1" applyFont="1" applyFill="1" applyBorder="1" applyAlignment="1">
      <alignment vertical="center" wrapText="1" shrinkToFit="1"/>
    </xf>
    <xf numFmtId="165" fontId="8" fillId="7" borderId="10" xfId="0" applyNumberFormat="1" applyFont="1" applyFill="1" applyBorder="1" applyAlignment="1">
      <alignment vertical="center" wrapText="1" shrinkToFit="1"/>
    </xf>
    <xf numFmtId="165" fontId="14" fillId="0" borderId="0" xfId="0" applyNumberFormat="1" applyFont="1" applyAlignment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165" fontId="13" fillId="0" borderId="0" xfId="0" applyNumberFormat="1" applyFont="1" applyAlignment="1">
      <alignment vertical="center" wrapText="1"/>
    </xf>
    <xf numFmtId="165" fontId="3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0" fillId="7" borderId="0" xfId="0" applyNumberFormat="1" applyFill="1" applyBorder="1" applyAlignment="1">
      <alignment shrinkToFit="1"/>
    </xf>
    <xf numFmtId="0" fontId="3" fillId="0" borderId="6" xfId="0" applyFont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9" fillId="0" borderId="7" xfId="0" applyFont="1" applyBorder="1" applyAlignment="1">
      <alignment horizontal="center" vertical="center" wrapText="1"/>
    </xf>
    <xf numFmtId="165" fontId="0" fillId="0" borderId="7" xfId="0" applyNumberFormat="1" applyFont="1" applyBorder="1" applyAlignment="1">
      <alignment vertical="center" wrapText="1"/>
    </xf>
    <xf numFmtId="165" fontId="3" fillId="0" borderId="7" xfId="0" applyNumberFormat="1" applyFont="1" applyBorder="1" applyAlignment="1">
      <alignment vertical="center" wrapText="1"/>
    </xf>
    <xf numFmtId="165" fontId="3" fillId="5" borderId="7" xfId="0" applyNumberFormat="1" applyFont="1" applyFill="1" applyBorder="1" applyAlignment="1">
      <alignment vertical="center" wrapText="1"/>
    </xf>
    <xf numFmtId="165" fontId="3" fillId="5" borderId="26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2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vertical="top" wrapText="1"/>
    </xf>
    <xf numFmtId="165" fontId="0" fillId="0" borderId="0" xfId="0" applyNumberFormat="1" applyFont="1" applyAlignment="1">
      <alignment vertical="top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165" fontId="0" fillId="0" borderId="6" xfId="0" applyNumberFormat="1" applyFill="1" applyBorder="1" applyAlignment="1">
      <alignment vertical="center" wrapText="1"/>
    </xf>
    <xf numFmtId="165" fontId="0" fillId="0" borderId="10" xfId="0" applyNumberForma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165" fontId="0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/>
    </xf>
    <xf numFmtId="0" fontId="26" fillId="0" borderId="0" xfId="3"/>
    <xf numFmtId="0" fontId="26" fillId="0" borderId="0" xfId="3" applyAlignment="1">
      <alignment horizontal="right"/>
    </xf>
    <xf numFmtId="0" fontId="26" fillId="12" borderId="0" xfId="3" applyFill="1"/>
    <xf numFmtId="0" fontId="26" fillId="8" borderId="0" xfId="3" applyFill="1"/>
    <xf numFmtId="0" fontId="31" fillId="0" borderId="0" xfId="3" applyFont="1" applyAlignment="1">
      <alignment horizontal="center"/>
    </xf>
    <xf numFmtId="0" fontId="1" fillId="0" borderId="0" xfId="3" applyFont="1"/>
    <xf numFmtId="0" fontId="1" fillId="0" borderId="0" xfId="3" applyFont="1" applyAlignment="1">
      <alignment horizontal="right"/>
    </xf>
    <xf numFmtId="0" fontId="1" fillId="12" borderId="0" xfId="3" applyFont="1" applyFill="1"/>
    <xf numFmtId="0" fontId="1" fillId="8" borderId="0" xfId="3" applyFont="1" applyFill="1"/>
    <xf numFmtId="0" fontId="3" fillId="8" borderId="31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8" borderId="9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/>
    </xf>
    <xf numFmtId="0" fontId="1" fillId="12" borderId="6" xfId="3" applyFont="1" applyFill="1" applyBorder="1" applyAlignment="1">
      <alignment wrapText="1"/>
    </xf>
    <xf numFmtId="171" fontId="1" fillId="12" borderId="6" xfId="3" applyNumberFormat="1" applyFont="1" applyFill="1" applyBorder="1"/>
    <xf numFmtId="171" fontId="1" fillId="12" borderId="9" xfId="3" applyNumberFormat="1" applyFont="1" applyFill="1" applyBorder="1"/>
    <xf numFmtId="171" fontId="1" fillId="12" borderId="7" xfId="3" applyNumberFormat="1" applyFont="1" applyFill="1" applyBorder="1"/>
    <xf numFmtId="0" fontId="1" fillId="12" borderId="10" xfId="3" applyFont="1" applyFill="1" applyBorder="1"/>
    <xf numFmtId="0" fontId="1" fillId="12" borderId="6" xfId="3" applyFont="1" applyFill="1" applyBorder="1"/>
    <xf numFmtId="171" fontId="1" fillId="8" borderId="9" xfId="3" applyNumberFormat="1" applyFont="1" applyFill="1" applyBorder="1"/>
    <xf numFmtId="171" fontId="1" fillId="0" borderId="0" xfId="3" applyNumberFormat="1" applyFont="1"/>
    <xf numFmtId="171" fontId="1" fillId="8" borderId="6" xfId="3" applyNumberFormat="1" applyFont="1" applyFill="1" applyBorder="1"/>
    <xf numFmtId="173" fontId="1" fillId="12" borderId="10" xfId="3" applyNumberFormat="1" applyFont="1" applyFill="1" applyBorder="1"/>
    <xf numFmtId="173" fontId="1" fillId="12" borderId="6" xfId="3" applyNumberFormat="1" applyFont="1" applyFill="1" applyBorder="1"/>
    <xf numFmtId="0" fontId="1" fillId="12" borderId="6" xfId="3" applyFont="1" applyFill="1" applyBorder="1" applyAlignment="1">
      <alignment vertical="top" wrapText="1"/>
    </xf>
    <xf numFmtId="0" fontId="4" fillId="12" borderId="6" xfId="3" applyNumberFormat="1" applyFont="1" applyFill="1" applyBorder="1" applyAlignment="1">
      <alignment wrapText="1"/>
    </xf>
    <xf numFmtId="0" fontId="1" fillId="0" borderId="5" xfId="3" applyFont="1" applyFill="1" applyBorder="1" applyAlignment="1">
      <alignment horizontal="center" vertical="center"/>
    </xf>
    <xf numFmtId="0" fontId="4" fillId="12" borderId="6" xfId="3" applyNumberFormat="1" applyFont="1" applyFill="1" applyBorder="1" applyAlignment="1">
      <alignment horizontal="left" vertical="center" wrapText="1"/>
    </xf>
    <xf numFmtId="171" fontId="1" fillId="12" borderId="6" xfId="3" applyNumberFormat="1" applyFont="1" applyFill="1" applyBorder="1" applyAlignment="1">
      <alignment horizontal="right"/>
    </xf>
    <xf numFmtId="0" fontId="1" fillId="0" borderId="19" xfId="3" applyFont="1" applyBorder="1"/>
    <xf numFmtId="0" fontId="8" fillId="12" borderId="20" xfId="3" applyNumberFormat="1" applyFont="1" applyFill="1" applyBorder="1" applyAlignment="1">
      <alignment horizontal="left" vertical="center" wrapText="1"/>
    </xf>
    <xf numFmtId="171" fontId="3" fillId="12" borderId="20" xfId="3" applyNumberFormat="1" applyFont="1" applyFill="1" applyBorder="1"/>
    <xf numFmtId="171" fontId="3" fillId="12" borderId="35" xfId="3" applyNumberFormat="1" applyFont="1" applyFill="1" applyBorder="1" applyAlignment="1">
      <alignment horizontal="center"/>
    </xf>
    <xf numFmtId="171" fontId="3" fillId="12" borderId="26" xfId="3" applyNumberFormat="1" applyFont="1" applyFill="1" applyBorder="1"/>
    <xf numFmtId="0" fontId="3" fillId="12" borderId="21" xfId="3" applyFont="1" applyFill="1" applyBorder="1" applyAlignment="1">
      <alignment horizontal="center"/>
    </xf>
    <xf numFmtId="0" fontId="3" fillId="12" borderId="20" xfId="3" applyFont="1" applyFill="1" applyBorder="1" applyAlignment="1">
      <alignment horizontal="center"/>
    </xf>
    <xf numFmtId="171" fontId="3" fillId="12" borderId="35" xfId="3" applyNumberFormat="1" applyFont="1" applyFill="1" applyBorder="1"/>
    <xf numFmtId="0" fontId="26" fillId="12" borderId="0" xfId="3" applyFill="1" applyAlignment="1">
      <alignment horizontal="right"/>
    </xf>
    <xf numFmtId="0" fontId="0" fillId="12" borderId="6" xfId="3" applyFont="1" applyFill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0" xfId="3" applyFont="1" applyFill="1" applyBorder="1"/>
    <xf numFmtId="173" fontId="1" fillId="0" borderId="10" xfId="3" applyNumberFormat="1" applyFont="1" applyFill="1" applyBorder="1"/>
    <xf numFmtId="0" fontId="3" fillId="0" borderId="21" xfId="3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3" fillId="12" borderId="4" xfId="3" applyFont="1" applyFill="1" applyBorder="1" applyAlignment="1">
      <alignment horizontal="center" vertical="center" wrapText="1"/>
    </xf>
    <xf numFmtId="0" fontId="3" fillId="12" borderId="10" xfId="3" applyFont="1" applyFill="1" applyBorder="1" applyAlignment="1">
      <alignment horizontal="center" vertical="center" wrapText="1"/>
    </xf>
    <xf numFmtId="0" fontId="1" fillId="8" borderId="6" xfId="3" applyFont="1" applyFill="1" applyBorder="1" applyAlignment="1">
      <alignment horizont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wrapText="1"/>
    </xf>
    <xf numFmtId="0" fontId="3" fillId="0" borderId="30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/>
    </xf>
    <xf numFmtId="0" fontId="3" fillId="0" borderId="31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33" xfId="3" applyFont="1" applyFill="1" applyBorder="1" applyAlignment="1">
      <alignment horizontal="center" vertical="center" wrapText="1"/>
    </xf>
    <xf numFmtId="0" fontId="3" fillId="0" borderId="34" xfId="3" applyFont="1" applyFill="1" applyBorder="1" applyAlignment="1">
      <alignment horizontal="center" vertical="center" wrapText="1"/>
    </xf>
    <xf numFmtId="0" fontId="21" fillId="0" borderId="0" xfId="3" applyFont="1" applyAlignment="1">
      <alignment horizont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12" borderId="3" xfId="3" applyFont="1" applyFill="1" applyBorder="1" applyAlignment="1">
      <alignment horizontal="center" vertical="center" wrapText="1"/>
    </xf>
    <xf numFmtId="0" fontId="3" fillId="12" borderId="6" xfId="3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right" vertical="top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5" fontId="28" fillId="0" borderId="0" xfId="0" applyNumberFormat="1" applyFont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165" fontId="0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 shrinkToFit="1"/>
    </xf>
  </cellXfs>
  <cellStyles count="8">
    <cellStyle name="xl105" xfId="1"/>
    <cellStyle name="xl26" xfId="6"/>
    <cellStyle name="xl27" xfId="7"/>
    <cellStyle name="xl57" xfId="5"/>
    <cellStyle name="xl58" xfId="4"/>
    <cellStyle name="xl81" xfId="2"/>
    <cellStyle name="Обычный" xfId="0" builtinId="0"/>
    <cellStyle name="Обычный 2" xfId="3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'4_Межбюд.'!$B$43</c:f>
              <c:strCache>
                <c:ptCount val="1"/>
                <c:pt idx="0">
                  <c:v>2016 год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'4_Межбюд.'!$A$44:$A$47</c:f>
              <c:strCache>
                <c:ptCount val="4"/>
                <c:pt idx="0">
                  <c:v>субсидии</c:v>
                </c:pt>
                <c:pt idx="1">
                  <c:v>субвенции</c:v>
                </c:pt>
                <c:pt idx="2">
                  <c:v>дотации</c:v>
                </c:pt>
                <c:pt idx="3">
                  <c:v>иные межбюджетные</c:v>
                </c:pt>
              </c:strCache>
            </c:strRef>
          </c:cat>
          <c:val>
            <c:numRef>
              <c:f>'4_Межбюд.'!$B$44:$B$47</c:f>
              <c:numCache>
                <c:formatCode>#\ ##0.0_ ;[Red]\-#\ ##0.0\ </c:formatCode>
                <c:ptCount val="4"/>
                <c:pt idx="0">
                  <c:v>5862.8450988400009</c:v>
                </c:pt>
                <c:pt idx="1">
                  <c:v>12996.894609870002</c:v>
                </c:pt>
                <c:pt idx="2">
                  <c:v>1391.5505919500001</c:v>
                </c:pt>
                <c:pt idx="3">
                  <c:v>249.39106338000002</c:v>
                </c:pt>
              </c:numCache>
            </c:numRef>
          </c:val>
        </c:ser>
        <c:ser>
          <c:idx val="1"/>
          <c:order val="1"/>
          <c:tx>
            <c:strRef>
              <c:f>'4_Межбюд.'!$C$43</c:f>
              <c:strCache>
                <c:ptCount val="1"/>
                <c:pt idx="0">
                  <c:v>2017 год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Lbl>
              <c:idx val="0"/>
              <c:layout>
                <c:manualLayout>
                  <c:x val="1.070951823190070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386897789875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386897789875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'4_Межбюд.'!$A$44:$A$47</c:f>
              <c:strCache>
                <c:ptCount val="4"/>
                <c:pt idx="0">
                  <c:v>субсидии</c:v>
                </c:pt>
                <c:pt idx="1">
                  <c:v>субвенции</c:v>
                </c:pt>
                <c:pt idx="2">
                  <c:v>дотации</c:v>
                </c:pt>
                <c:pt idx="3">
                  <c:v>иные межбюджетные</c:v>
                </c:pt>
              </c:strCache>
            </c:strRef>
          </c:cat>
          <c:val>
            <c:numRef>
              <c:f>'4_Межбюд.'!$C$44:$C$47</c:f>
              <c:numCache>
                <c:formatCode>#\ ##0.0_ ;[Red]\-#\ ##0.0\ </c:formatCode>
                <c:ptCount val="4"/>
                <c:pt idx="0">
                  <c:v>5906.5601499799986</c:v>
                </c:pt>
                <c:pt idx="1">
                  <c:v>13100.36447712</c:v>
                </c:pt>
                <c:pt idx="2">
                  <c:v>1532.8595696599996</c:v>
                </c:pt>
                <c:pt idx="3">
                  <c:v>142.54316541999998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11872512"/>
        <c:axId val="111873072"/>
      </c:barChart>
      <c:catAx>
        <c:axId val="111872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ru-RU"/>
          </a:p>
        </c:txPr>
        <c:crossAx val="111873072"/>
        <c:crosses val="autoZero"/>
        <c:auto val="1"/>
        <c:lblAlgn val="ctr"/>
        <c:lblOffset val="100"/>
        <c:noMultiLvlLbl val="0"/>
      </c:catAx>
      <c:valAx>
        <c:axId val="111873072"/>
        <c:scaling>
          <c:orientation val="minMax"/>
          <c:max val="13500"/>
        </c:scaling>
        <c:delete val="0"/>
        <c:axPos val="l"/>
        <c:numFmt formatCode="#,##0_ ;[Red]\-#,##0\ " sourceLinked="0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ru-RU"/>
          </a:p>
        </c:txPr>
        <c:crossAx val="111872512"/>
        <c:crosses val="autoZero"/>
        <c:crossBetween val="between"/>
        <c:majorUnit val="2000"/>
        <c:minorUnit val="500"/>
      </c:valAx>
    </c:plotArea>
    <c:legend>
      <c:legendPos val="b"/>
      <c:layout/>
      <c:overlay val="0"/>
      <c:txPr>
        <a:bodyPr/>
        <a:lstStyle/>
        <a:p>
          <a:pPr>
            <a:defRPr sz="7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304806</xdr:colOff>
      <xdr:row>41</xdr:row>
      <xdr:rowOff>80962</xdr:rowOff>
    </xdr:from>
    <xdr:to>
      <xdr:col>9</xdr:col>
      <xdr:colOff>571500</xdr:colOff>
      <xdr:row>57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linin\AppData\Local\Microsoft\Windows\Temporary%20Internet%20Files\Content.Outlook\16GRBYLQ\&#1048;&#1089;&#1087;&#1086;&#1083;&#1085;&#1077;&#1085;&#1080;&#1077;_&#1082;&#1086;&#1085;&#1089;&#1086;&#1083;&#1080;&#1076;.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."/>
      <sheetName val="Конс_16 к 17"/>
      <sheetName val="Бюджеты МО"/>
      <sheetName val="Доходы МО"/>
      <sheetName val="Межбюд."/>
      <sheetName val="Кредит_МО"/>
      <sheetName val="Программы"/>
      <sheetName val="ФХД БУ И АУ_конс."/>
      <sheetName val="ФХД_БУ И АУ_обл"/>
      <sheetName val="Долги_БУ и АУ_конс."/>
      <sheetName val="Долги_БУ И АУ_обл"/>
      <sheetName val="Черн_кон.рас."/>
      <sheetName val="Черн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8">
          <cell r="DT18">
            <v>19359.411029999999</v>
          </cell>
          <cell r="DU18">
            <v>8421.4002300000011</v>
          </cell>
          <cell r="DV18">
            <v>21673.73717</v>
          </cell>
          <cell r="DW18">
            <v>10091.221229999999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AM174"/>
  <sheetViews>
    <sheetView topLeftCell="A155" zoomScale="130" zoomScaleNormal="130" zoomScaleSheetLayoutView="55" workbookViewId="0">
      <selection activeCell="A160" sqref="A160"/>
    </sheetView>
  </sheetViews>
  <sheetFormatPr defaultColWidth="9.44140625" defaultRowHeight="13.2" x14ac:dyDescent="0.25"/>
  <cols>
    <col min="1" max="1" width="48" style="1" customWidth="1"/>
    <col min="2" max="2" width="12.33203125" style="2" hidden="1" customWidth="1"/>
    <col min="3" max="3" width="11.6640625" style="2" hidden="1" customWidth="1"/>
    <col min="4" max="4" width="13" style="2" hidden="1" customWidth="1"/>
    <col min="5" max="5" width="17.5546875" style="2" hidden="1" customWidth="1"/>
    <col min="6" max="8" width="9.44140625" style="2" hidden="1" customWidth="1"/>
    <col min="9" max="9" width="11.33203125" style="2" hidden="1" customWidth="1"/>
    <col min="10" max="10" width="11.44140625" style="2" hidden="1" customWidth="1"/>
    <col min="11" max="11" width="13.5546875" style="2" hidden="1" customWidth="1"/>
    <col min="12" max="12" width="16.88671875" style="2" hidden="1" customWidth="1"/>
    <col min="13" max="13" width="10.5546875" style="2" hidden="1" customWidth="1"/>
    <col min="14" max="15" width="9.44140625" style="2" hidden="1" customWidth="1"/>
    <col min="16" max="16" width="9.5546875" style="3" customWidth="1"/>
    <col min="17" max="17" width="10" style="3" bestFit="1" customWidth="1"/>
    <col min="18" max="18" width="9.5546875" style="3" customWidth="1"/>
    <col min="19" max="20" width="8.88671875" style="3" customWidth="1"/>
    <col min="21" max="21" width="8.33203125" style="3" customWidth="1"/>
    <col min="22" max="22" width="10.44140625" style="3" bestFit="1" customWidth="1"/>
    <col min="23" max="23" width="9.44140625" style="3"/>
    <col min="24" max="24" width="9.6640625" style="3" customWidth="1"/>
    <col min="25" max="25" width="9.109375" style="3" customWidth="1"/>
    <col min="26" max="26" width="8.6640625" style="3" customWidth="1"/>
    <col min="27" max="27" width="8.33203125" style="3" customWidth="1"/>
    <col min="28" max="29" width="9.6640625" style="3" customWidth="1"/>
    <col min="30" max="30" width="9.5546875" style="3" customWidth="1"/>
    <col min="31" max="31" width="7.6640625" style="3" customWidth="1"/>
    <col min="32" max="32" width="7.88671875" style="3" customWidth="1"/>
    <col min="33" max="33" width="8.5546875" style="3" customWidth="1"/>
    <col min="34" max="34" width="11.88671875" style="3" hidden="1" customWidth="1"/>
    <col min="35" max="35" width="16.33203125" style="3" hidden="1" customWidth="1"/>
    <col min="36" max="36" width="16.44140625" style="3" hidden="1" customWidth="1"/>
    <col min="37" max="37" width="17" style="3" hidden="1" customWidth="1"/>
    <col min="38" max="40" width="0" style="3" hidden="1" customWidth="1"/>
    <col min="41" max="16384" width="9.44140625" style="3"/>
  </cols>
  <sheetData>
    <row r="1" spans="1:38" x14ac:dyDescent="0.25">
      <c r="AD1" s="461" t="s">
        <v>232</v>
      </c>
      <c r="AE1" s="461"/>
      <c r="AF1" s="461"/>
      <c r="AG1" s="461"/>
    </row>
    <row r="2" spans="1:38" ht="29.25" customHeight="1" x14ac:dyDescent="0.25">
      <c r="A2" s="462" t="s">
        <v>396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62"/>
      <c r="U2" s="462"/>
      <c r="V2" s="462"/>
      <c r="W2" s="462"/>
      <c r="X2" s="462"/>
      <c r="Y2" s="462"/>
      <c r="Z2" s="462"/>
      <c r="AA2" s="462"/>
      <c r="AB2" s="462"/>
      <c r="AC2" s="462"/>
      <c r="AD2" s="462"/>
      <c r="AE2" s="462"/>
      <c r="AF2" s="462"/>
      <c r="AG2" s="462"/>
      <c r="AH2" s="4"/>
    </row>
    <row r="3" spans="1:38" ht="13.8" thickBot="1" x14ac:dyDescent="0.3">
      <c r="M3" s="5">
        <f>M27+N27+O27-L27</f>
        <v>0</v>
      </c>
      <c r="P3" s="6"/>
      <c r="Q3" s="6"/>
      <c r="R3" s="6"/>
      <c r="S3" s="7"/>
      <c r="T3" s="7"/>
      <c r="U3" s="7"/>
      <c r="V3" s="6"/>
      <c r="W3" s="6"/>
      <c r="X3" s="6"/>
      <c r="AB3" s="8"/>
      <c r="AC3" s="9"/>
      <c r="AD3" s="8"/>
      <c r="AJ3" s="7">
        <f>X3-R3</f>
        <v>0</v>
      </c>
    </row>
    <row r="4" spans="1:38" s="1" customFormat="1" ht="13.95" customHeight="1" thickTop="1" x14ac:dyDescent="0.25">
      <c r="A4" s="448" t="s">
        <v>0</v>
      </c>
      <c r="B4" s="450" t="s">
        <v>129</v>
      </c>
      <c r="C4" s="450"/>
      <c r="D4" s="450"/>
      <c r="E4" s="450"/>
      <c r="F4" s="450"/>
      <c r="G4" s="450"/>
      <c r="H4" s="450"/>
      <c r="I4" s="450" t="s">
        <v>397</v>
      </c>
      <c r="J4" s="450"/>
      <c r="K4" s="450"/>
      <c r="L4" s="450"/>
      <c r="M4" s="450"/>
      <c r="N4" s="450"/>
      <c r="O4" s="450"/>
      <c r="P4" s="450" t="s">
        <v>130</v>
      </c>
      <c r="Q4" s="450"/>
      <c r="R4" s="450"/>
      <c r="S4" s="450"/>
      <c r="T4" s="450"/>
      <c r="U4" s="450"/>
      <c r="V4" s="450" t="s">
        <v>398</v>
      </c>
      <c r="W4" s="450"/>
      <c r="X4" s="450"/>
      <c r="Y4" s="450"/>
      <c r="Z4" s="450"/>
      <c r="AA4" s="450"/>
      <c r="AB4" s="450" t="s">
        <v>1</v>
      </c>
      <c r="AC4" s="450"/>
      <c r="AD4" s="450"/>
      <c r="AE4" s="450"/>
      <c r="AF4" s="450"/>
      <c r="AG4" s="451"/>
      <c r="AH4" s="10"/>
    </row>
    <row r="5" spans="1:38" s="1" customFormat="1" x14ac:dyDescent="0.25">
      <c r="A5" s="449"/>
      <c r="B5" s="444" t="s">
        <v>2</v>
      </c>
      <c r="C5" s="458" t="s">
        <v>3</v>
      </c>
      <c r="D5" s="459"/>
      <c r="E5" s="459"/>
      <c r="F5" s="459"/>
      <c r="G5" s="459"/>
      <c r="H5" s="460"/>
      <c r="I5" s="444" t="s">
        <v>2</v>
      </c>
      <c r="J5" s="11"/>
      <c r="K5" s="443" t="s">
        <v>3</v>
      </c>
      <c r="L5" s="443"/>
      <c r="M5" s="443"/>
      <c r="N5" s="443"/>
      <c r="O5" s="443"/>
      <c r="P5" s="444" t="s">
        <v>2</v>
      </c>
      <c r="Q5" s="443" t="s">
        <v>4</v>
      </c>
      <c r="R5" s="443"/>
      <c r="S5" s="443"/>
      <c r="T5" s="443"/>
      <c r="U5" s="443"/>
      <c r="V5" s="444" t="s">
        <v>2</v>
      </c>
      <c r="W5" s="443" t="s">
        <v>4</v>
      </c>
      <c r="X5" s="443"/>
      <c r="Y5" s="443"/>
      <c r="Z5" s="443"/>
      <c r="AA5" s="443"/>
      <c r="AB5" s="446" t="s">
        <v>2</v>
      </c>
      <c r="AC5" s="443" t="s">
        <v>4</v>
      </c>
      <c r="AD5" s="443"/>
      <c r="AE5" s="443"/>
      <c r="AF5" s="443"/>
      <c r="AG5" s="445"/>
      <c r="AH5" s="10"/>
    </row>
    <row r="6" spans="1:38" s="1" customFormat="1" ht="13.2" customHeight="1" x14ac:dyDescent="0.25">
      <c r="A6" s="449"/>
      <c r="B6" s="444"/>
      <c r="C6" s="456" t="s">
        <v>5</v>
      </c>
      <c r="D6" s="444" t="s">
        <v>6</v>
      </c>
      <c r="E6" s="444" t="s">
        <v>7</v>
      </c>
      <c r="F6" s="447" t="s">
        <v>8</v>
      </c>
      <c r="G6" s="447"/>
      <c r="H6" s="447"/>
      <c r="I6" s="444"/>
      <c r="J6" s="456" t="s">
        <v>5</v>
      </c>
      <c r="K6" s="444" t="s">
        <v>6</v>
      </c>
      <c r="L6" s="444" t="s">
        <v>7</v>
      </c>
      <c r="M6" s="447" t="s">
        <v>8</v>
      </c>
      <c r="N6" s="447"/>
      <c r="O6" s="447"/>
      <c r="P6" s="444"/>
      <c r="Q6" s="444" t="s">
        <v>6</v>
      </c>
      <c r="R6" s="446" t="s">
        <v>7</v>
      </c>
      <c r="S6" s="447" t="s">
        <v>8</v>
      </c>
      <c r="T6" s="447"/>
      <c r="U6" s="447"/>
      <c r="V6" s="444"/>
      <c r="W6" s="444" t="s">
        <v>6</v>
      </c>
      <c r="X6" s="446" t="s">
        <v>7</v>
      </c>
      <c r="Y6" s="447" t="s">
        <v>8</v>
      </c>
      <c r="Z6" s="447"/>
      <c r="AA6" s="447"/>
      <c r="AB6" s="446"/>
      <c r="AC6" s="446" t="s">
        <v>6</v>
      </c>
      <c r="AD6" s="446" t="s">
        <v>7</v>
      </c>
      <c r="AE6" s="452" t="s">
        <v>8</v>
      </c>
      <c r="AF6" s="452"/>
      <c r="AG6" s="453"/>
      <c r="AH6" s="12"/>
    </row>
    <row r="7" spans="1:38" s="1" customFormat="1" ht="45.6" customHeight="1" x14ac:dyDescent="0.25">
      <c r="A7" s="449"/>
      <c r="B7" s="444"/>
      <c r="C7" s="457"/>
      <c r="D7" s="444"/>
      <c r="E7" s="444"/>
      <c r="F7" s="13" t="s">
        <v>9</v>
      </c>
      <c r="G7" s="13" t="s">
        <v>10</v>
      </c>
      <c r="H7" s="13" t="s">
        <v>11</v>
      </c>
      <c r="I7" s="444"/>
      <c r="J7" s="457"/>
      <c r="K7" s="444"/>
      <c r="L7" s="444"/>
      <c r="M7" s="13" t="s">
        <v>9</v>
      </c>
      <c r="N7" s="13" t="s">
        <v>10</v>
      </c>
      <c r="O7" s="13" t="s">
        <v>11</v>
      </c>
      <c r="P7" s="444"/>
      <c r="Q7" s="444"/>
      <c r="R7" s="446"/>
      <c r="S7" s="13" t="s">
        <v>9</v>
      </c>
      <c r="T7" s="13" t="s">
        <v>10</v>
      </c>
      <c r="U7" s="13" t="s">
        <v>11</v>
      </c>
      <c r="V7" s="444"/>
      <c r="W7" s="444"/>
      <c r="X7" s="446"/>
      <c r="Y7" s="13" t="s">
        <v>9</v>
      </c>
      <c r="Z7" s="13" t="s">
        <v>10</v>
      </c>
      <c r="AA7" s="13" t="s">
        <v>11</v>
      </c>
      <c r="AB7" s="446"/>
      <c r="AC7" s="446"/>
      <c r="AD7" s="446"/>
      <c r="AE7" s="14" t="s">
        <v>9</v>
      </c>
      <c r="AF7" s="14" t="s">
        <v>10</v>
      </c>
      <c r="AG7" s="15" t="s">
        <v>12</v>
      </c>
      <c r="AH7" s="16"/>
    </row>
    <row r="8" spans="1:38" s="23" customFormat="1" ht="10.199999999999999" x14ac:dyDescent="0.25">
      <c r="A8" s="17" t="s">
        <v>13</v>
      </c>
      <c r="B8" s="18"/>
      <c r="C8" s="18"/>
      <c r="D8" s="19"/>
      <c r="E8" s="18"/>
      <c r="F8" s="20"/>
      <c r="G8" s="20"/>
      <c r="H8" s="20"/>
      <c r="I8" s="18"/>
      <c r="J8" s="18"/>
      <c r="K8" s="18"/>
      <c r="L8" s="18"/>
      <c r="M8" s="20"/>
      <c r="N8" s="20"/>
      <c r="O8" s="20"/>
      <c r="P8" s="18" t="s">
        <v>14</v>
      </c>
      <c r="Q8" s="18" t="s">
        <v>15</v>
      </c>
      <c r="R8" s="18" t="s">
        <v>16</v>
      </c>
      <c r="S8" s="20">
        <v>4</v>
      </c>
      <c r="T8" s="20">
        <v>5</v>
      </c>
      <c r="U8" s="20">
        <v>6</v>
      </c>
      <c r="V8" s="18" t="s">
        <v>17</v>
      </c>
      <c r="W8" s="18" t="s">
        <v>18</v>
      </c>
      <c r="X8" s="18" t="s">
        <v>19</v>
      </c>
      <c r="Y8" s="20">
        <v>10</v>
      </c>
      <c r="Z8" s="20">
        <v>11</v>
      </c>
      <c r="AA8" s="20">
        <v>12</v>
      </c>
      <c r="AB8" s="18" t="s">
        <v>20</v>
      </c>
      <c r="AC8" s="18" t="s">
        <v>21</v>
      </c>
      <c r="AD8" s="18" t="s">
        <v>22</v>
      </c>
      <c r="AE8" s="20" t="s">
        <v>23</v>
      </c>
      <c r="AF8" s="20" t="s">
        <v>24</v>
      </c>
      <c r="AG8" s="21" t="s">
        <v>25</v>
      </c>
      <c r="AH8" s="22"/>
    </row>
    <row r="9" spans="1:38" s="1" customFormat="1" x14ac:dyDescent="0.25">
      <c r="A9" s="24" t="s">
        <v>26</v>
      </c>
      <c r="B9" s="25">
        <f>B12+B13+B14+B15+B16+B17+B18+B19+B20+B21+B22+B23+B24+B25+B26-B11+B28</f>
        <v>0</v>
      </c>
      <c r="C9" s="25">
        <f t="shared" ref="C9:D9" si="0">C12+C13+C14+C15+C16+C17+C18+C19+C20+C21+C22+C23+C24+C25+C26-C11+C28</f>
        <v>0</v>
      </c>
      <c r="D9" s="25">
        <f t="shared" si="0"/>
        <v>0</v>
      </c>
      <c r="E9" s="25">
        <f>E12+E13+E14+E15+E16+E17+E18+E19+E20+E21+E22+E23+E24+E25+E26-E11+E28</f>
        <v>0</v>
      </c>
      <c r="F9" s="25">
        <f t="shared" ref="F9:O9" si="1">F12+F13+F14+F15+F16+F17+F18+F19+F20+F21+F22+F23+F24+F25+F26-F11+F28</f>
        <v>1.9073486328125E-6</v>
      </c>
      <c r="G9" s="25">
        <f t="shared" si="1"/>
        <v>0</v>
      </c>
      <c r="H9" s="25">
        <f t="shared" si="1"/>
        <v>0</v>
      </c>
      <c r="I9" s="25">
        <f t="shared" si="1"/>
        <v>0</v>
      </c>
      <c r="J9" s="25">
        <f t="shared" si="1"/>
        <v>0</v>
      </c>
      <c r="K9" s="25">
        <f t="shared" si="1"/>
        <v>0</v>
      </c>
      <c r="L9" s="25">
        <f t="shared" si="1"/>
        <v>-1.9073486328125E-6</v>
      </c>
      <c r="M9" s="25">
        <f t="shared" si="1"/>
        <v>0</v>
      </c>
      <c r="N9" s="25">
        <f t="shared" si="1"/>
        <v>4.76837158203125E-7</v>
      </c>
      <c r="O9" s="25">
        <f t="shared" si="1"/>
        <v>1.1920928955078125E-7</v>
      </c>
      <c r="P9" s="26"/>
      <c r="Q9" s="26"/>
      <c r="R9" s="27">
        <f>T132+U132</f>
        <v>1315.7304296700001</v>
      </c>
      <c r="S9" s="28"/>
      <c r="T9" s="28"/>
      <c r="U9" s="28"/>
      <c r="V9" s="28"/>
      <c r="W9" s="28"/>
      <c r="X9" s="27">
        <f>Z132+AA132</f>
        <v>1242.6383272800001</v>
      </c>
      <c r="Y9" s="26"/>
      <c r="Z9" s="26"/>
      <c r="AA9" s="26"/>
      <c r="AB9" s="26"/>
      <c r="AC9" s="26"/>
      <c r="AD9" s="26"/>
      <c r="AE9" s="26"/>
      <c r="AF9" s="26"/>
      <c r="AG9" s="29"/>
      <c r="AH9" s="30">
        <f>+AH17+AH14+AH18+AH19</f>
        <v>10.486823890000021</v>
      </c>
    </row>
    <row r="10" spans="1:38" s="42" customFormat="1" hidden="1" x14ac:dyDescent="0.25">
      <c r="A10" s="183" t="s">
        <v>27</v>
      </c>
      <c r="B10" s="36">
        <v>82207101438.520004</v>
      </c>
      <c r="C10" s="36">
        <v>22244340606.02</v>
      </c>
      <c r="D10" s="36">
        <v>68868338752.410004</v>
      </c>
      <c r="E10" s="184">
        <f>F10+G10+H10-E132</f>
        <v>34267372862.459999</v>
      </c>
      <c r="F10" s="36">
        <v>19854501596.509998</v>
      </c>
      <c r="G10" s="36">
        <v>13557288403.24</v>
      </c>
      <c r="H10" s="36">
        <v>2171313292.3800001</v>
      </c>
      <c r="I10" s="36">
        <v>83409243410.990005</v>
      </c>
      <c r="J10" s="36">
        <v>21925677156.130001</v>
      </c>
      <c r="K10" s="36">
        <v>69875553229.889999</v>
      </c>
      <c r="L10" s="184">
        <f>+M10+N10+O10-L132</f>
        <v>34216729009.950005</v>
      </c>
      <c r="M10" s="185">
        <v>19830245870.98</v>
      </c>
      <c r="N10" s="185">
        <v>13510084987.18</v>
      </c>
      <c r="O10" s="185">
        <v>2119036479.0700002</v>
      </c>
      <c r="P10" s="38">
        <f t="shared" ref="P10:P43" si="2">B10/1000000</f>
        <v>82207.101438520011</v>
      </c>
      <c r="Q10" s="38">
        <f t="shared" ref="Q10:V25" si="3">D10/1000000</f>
        <v>68868.338752410011</v>
      </c>
      <c r="R10" s="38">
        <f t="shared" si="3"/>
        <v>34267.372862459997</v>
      </c>
      <c r="S10" s="38">
        <f t="shared" si="3"/>
        <v>19854.501596509999</v>
      </c>
      <c r="T10" s="38">
        <f t="shared" si="3"/>
        <v>13557.28840324</v>
      </c>
      <c r="U10" s="38">
        <f t="shared" si="3"/>
        <v>2171.3132923799999</v>
      </c>
      <c r="V10" s="38">
        <f t="shared" si="3"/>
        <v>83409.243410990006</v>
      </c>
      <c r="W10" s="38">
        <f t="shared" ref="W10:AA38" si="4">K10/1000000</f>
        <v>69875.553229889993</v>
      </c>
      <c r="X10" s="38">
        <f t="shared" si="4"/>
        <v>34216.729009950002</v>
      </c>
      <c r="Y10" s="38">
        <f t="shared" si="4"/>
        <v>19830.245870980001</v>
      </c>
      <c r="Z10" s="38">
        <f t="shared" si="4"/>
        <v>13510.08498718</v>
      </c>
      <c r="AA10" s="38">
        <f t="shared" si="4"/>
        <v>2119.03647907</v>
      </c>
      <c r="AB10" s="186">
        <f t="shared" ref="AB10:AG11" si="5">V10/P10%</f>
        <v>101.46233348632178</v>
      </c>
      <c r="AC10" s="186">
        <f t="shared" si="5"/>
        <v>101.46252181441611</v>
      </c>
      <c r="AD10" s="38">
        <f t="shared" si="5"/>
        <v>99.852209701883879</v>
      </c>
      <c r="AE10" s="38">
        <f t="shared" si="5"/>
        <v>99.877832614371641</v>
      </c>
      <c r="AF10" s="38">
        <f t="shared" si="5"/>
        <v>99.651822586818184</v>
      </c>
      <c r="AG10" s="39">
        <f t="shared" si="5"/>
        <v>97.592387358680114</v>
      </c>
      <c r="AH10" s="40"/>
    </row>
    <row r="11" spans="1:38" s="42" customFormat="1" x14ac:dyDescent="0.25">
      <c r="A11" s="35" t="s">
        <v>28</v>
      </c>
      <c r="B11" s="36">
        <v>63913245777.059998</v>
      </c>
      <c r="C11" s="36">
        <v>711466.67</v>
      </c>
      <c r="D11" s="36">
        <v>50506697043.349998</v>
      </c>
      <c r="E11" s="37">
        <f>F11+G11+H11</f>
        <v>13407260200.380001</v>
      </c>
      <c r="F11" s="36">
        <v>9749752921.6599998</v>
      </c>
      <c r="G11" s="36">
        <v>2692422794.8499999</v>
      </c>
      <c r="H11" s="36">
        <v>965084483.87</v>
      </c>
      <c r="I11" s="36">
        <v>65349610747.870003</v>
      </c>
      <c r="J11" s="36">
        <v>711466.67</v>
      </c>
      <c r="K11" s="36">
        <v>51747537937.610001</v>
      </c>
      <c r="L11" s="37">
        <f>M11+N11+O11</f>
        <v>13602784276.93</v>
      </c>
      <c r="M11" s="36">
        <v>9892918501.6100006</v>
      </c>
      <c r="N11" s="36">
        <v>2725827399.1700001</v>
      </c>
      <c r="O11" s="36">
        <v>984038376.14999998</v>
      </c>
      <c r="P11" s="38">
        <f t="shared" si="2"/>
        <v>63913.245777059994</v>
      </c>
      <c r="Q11" s="38">
        <f t="shared" si="3"/>
        <v>50506.697043349996</v>
      </c>
      <c r="R11" s="38">
        <f t="shared" si="3"/>
        <v>13407.26020038</v>
      </c>
      <c r="S11" s="38">
        <f t="shared" si="3"/>
        <v>9749.7529216599996</v>
      </c>
      <c r="T11" s="38">
        <f t="shared" si="3"/>
        <v>2692.4227948499997</v>
      </c>
      <c r="U11" s="38">
        <f t="shared" si="3"/>
        <v>965.08448386999999</v>
      </c>
      <c r="V11" s="38">
        <f t="shared" si="3"/>
        <v>65349.61074787</v>
      </c>
      <c r="W11" s="38">
        <f t="shared" si="4"/>
        <v>51747.537937610003</v>
      </c>
      <c r="X11" s="38">
        <f t="shared" si="4"/>
        <v>13602.78427693</v>
      </c>
      <c r="Y11" s="38">
        <f t="shared" si="4"/>
        <v>9892.91850161</v>
      </c>
      <c r="Z11" s="38">
        <f t="shared" si="4"/>
        <v>2725.8273991700003</v>
      </c>
      <c r="AA11" s="38">
        <f t="shared" si="4"/>
        <v>984.03837614999998</v>
      </c>
      <c r="AB11" s="38">
        <f t="shared" si="5"/>
        <v>102.24736665044409</v>
      </c>
      <c r="AC11" s="38">
        <f>W11/Q11%</f>
        <v>102.45678487586507</v>
      </c>
      <c r="AD11" s="38">
        <f t="shared" si="5"/>
        <v>101.45834475968817</v>
      </c>
      <c r="AE11" s="38">
        <f t="shared" si="5"/>
        <v>101.46840213388325</v>
      </c>
      <c r="AF11" s="38">
        <f t="shared" si="5"/>
        <v>101.24068940375545</v>
      </c>
      <c r="AG11" s="39">
        <f t="shared" si="5"/>
        <v>101.96396197398126</v>
      </c>
      <c r="AH11" s="40">
        <f>+X11-R11</f>
        <v>195.52407655000025</v>
      </c>
      <c r="AI11" s="41">
        <f>V11-W11-X11</f>
        <v>-0.71146667000357411</v>
      </c>
    </row>
    <row r="12" spans="1:38" x14ac:dyDescent="0.25">
      <c r="A12" s="43" t="s">
        <v>29</v>
      </c>
      <c r="B12" s="31">
        <v>15125941500</v>
      </c>
      <c r="C12" s="31">
        <v>0</v>
      </c>
      <c r="D12" s="31">
        <v>15125941500</v>
      </c>
      <c r="E12" s="37">
        <f t="shared" ref="E12:E27" si="6">F12+G12+H12</f>
        <v>0</v>
      </c>
      <c r="F12" s="31"/>
      <c r="G12" s="31"/>
      <c r="H12" s="31"/>
      <c r="I12" s="31">
        <v>16043442566.07</v>
      </c>
      <c r="J12" s="31">
        <v>0</v>
      </c>
      <c r="K12" s="31">
        <v>16043442566.07</v>
      </c>
      <c r="L12" s="37">
        <f t="shared" ref="L12:L28" si="7">M12+N12+O12</f>
        <v>0</v>
      </c>
      <c r="M12" s="31"/>
      <c r="N12" s="31"/>
      <c r="O12" s="31"/>
      <c r="P12" s="32">
        <f t="shared" si="2"/>
        <v>15125.941500000001</v>
      </c>
      <c r="Q12" s="32">
        <f t="shared" si="3"/>
        <v>15125.941500000001</v>
      </c>
      <c r="R12" s="32">
        <f t="shared" si="3"/>
        <v>0</v>
      </c>
      <c r="S12" s="32">
        <f t="shared" si="3"/>
        <v>0</v>
      </c>
      <c r="T12" s="32">
        <f t="shared" si="3"/>
        <v>0</v>
      </c>
      <c r="U12" s="32">
        <f t="shared" si="3"/>
        <v>0</v>
      </c>
      <c r="V12" s="32">
        <f t="shared" si="3"/>
        <v>16043.44256607</v>
      </c>
      <c r="W12" s="32">
        <f t="shared" si="4"/>
        <v>16043.44256607</v>
      </c>
      <c r="X12" s="32">
        <f t="shared" si="4"/>
        <v>0</v>
      </c>
      <c r="Y12" s="32">
        <f t="shared" si="4"/>
        <v>0</v>
      </c>
      <c r="Z12" s="32">
        <f t="shared" si="4"/>
        <v>0</v>
      </c>
      <c r="AA12" s="32">
        <f t="shared" si="4"/>
        <v>0</v>
      </c>
      <c r="AB12" s="32">
        <f>V12/P12%</f>
        <v>106.06574517077166</v>
      </c>
      <c r="AC12" s="32">
        <f>W12/Q12%</f>
        <v>106.06574517077166</v>
      </c>
      <c r="AD12" s="44" t="s">
        <v>30</v>
      </c>
      <c r="AE12" s="44" t="s">
        <v>30</v>
      </c>
      <c r="AF12" s="44" t="s">
        <v>30</v>
      </c>
      <c r="AG12" s="45" t="s">
        <v>30</v>
      </c>
      <c r="AH12" s="40">
        <f t="shared" ref="AH12:AH28" si="8">+X12-R12</f>
        <v>0</v>
      </c>
      <c r="AI12" s="3">
        <f t="shared" ref="AI12:AI37" si="9">V12-W12-X12</f>
        <v>0</v>
      </c>
      <c r="AJ12" s="7">
        <f>V12-P12</f>
        <v>917.50106606999907</v>
      </c>
    </row>
    <row r="13" spans="1:38" x14ac:dyDescent="0.25">
      <c r="A13" s="43" t="s">
        <v>31</v>
      </c>
      <c r="B13" s="31">
        <v>25666355315.98</v>
      </c>
      <c r="C13" s="31">
        <v>0</v>
      </c>
      <c r="D13" s="31">
        <v>16964808500</v>
      </c>
      <c r="E13" s="37">
        <f t="shared" si="6"/>
        <v>8701546815.9799995</v>
      </c>
      <c r="F13" s="31">
        <v>6723823465.9899998</v>
      </c>
      <c r="G13" s="31">
        <v>1638498059.53</v>
      </c>
      <c r="H13" s="31">
        <v>339225290.45999998</v>
      </c>
      <c r="I13" s="31">
        <v>25823479270.18</v>
      </c>
      <c r="J13" s="31">
        <v>0</v>
      </c>
      <c r="K13" s="31">
        <v>17116339419.26</v>
      </c>
      <c r="L13" s="37">
        <f t="shared" si="7"/>
        <v>8707139850.9200001</v>
      </c>
      <c r="M13" s="31">
        <v>6665163351.5</v>
      </c>
      <c r="N13" s="31">
        <v>1683006517.9400001</v>
      </c>
      <c r="O13" s="31">
        <v>358969981.48000002</v>
      </c>
      <c r="P13" s="32">
        <f t="shared" si="2"/>
        <v>25666.355315979999</v>
      </c>
      <c r="Q13" s="32">
        <f t="shared" si="3"/>
        <v>16964.808499999999</v>
      </c>
      <c r="R13" s="32">
        <f t="shared" si="3"/>
        <v>8701.5468159800002</v>
      </c>
      <c r="S13" s="32">
        <f t="shared" si="3"/>
        <v>6723.8234659899999</v>
      </c>
      <c r="T13" s="32">
        <f t="shared" si="3"/>
        <v>1638.4980595299999</v>
      </c>
      <c r="U13" s="32">
        <f t="shared" si="3"/>
        <v>339.22529046</v>
      </c>
      <c r="V13" s="32">
        <f t="shared" si="3"/>
        <v>25823.47927018</v>
      </c>
      <c r="W13" s="32">
        <f t="shared" si="4"/>
        <v>17116.339419259999</v>
      </c>
      <c r="X13" s="32">
        <f t="shared" si="4"/>
        <v>8707.1398509200008</v>
      </c>
      <c r="Y13" s="32">
        <f t="shared" si="4"/>
        <v>6665.1633515000003</v>
      </c>
      <c r="Z13" s="32">
        <f t="shared" si="4"/>
        <v>1683.0065179400001</v>
      </c>
      <c r="AA13" s="32">
        <f t="shared" si="4"/>
        <v>358.96998148</v>
      </c>
      <c r="AB13" s="33">
        <f>V13/P13%</f>
        <v>100.6121786761916</v>
      </c>
      <c r="AC13" s="33">
        <f>W13/Q13%</f>
        <v>100.89320736664962</v>
      </c>
      <c r="AD13" s="33">
        <f t="shared" ref="AD13:AG14" si="10">X13/R13%</f>
        <v>100.06427632992479</v>
      </c>
      <c r="AE13" s="33">
        <f t="shared" si="10"/>
        <v>99.127578009941658</v>
      </c>
      <c r="AF13" s="33">
        <f t="shared" si="10"/>
        <v>102.71641813373689</v>
      </c>
      <c r="AG13" s="46">
        <f t="shared" si="10"/>
        <v>105.82052446420654</v>
      </c>
      <c r="AH13" s="40">
        <f t="shared" si="8"/>
        <v>5.593034940000507</v>
      </c>
      <c r="AI13" s="3">
        <f t="shared" si="9"/>
        <v>0</v>
      </c>
    </row>
    <row r="14" spans="1:38" x14ac:dyDescent="0.25">
      <c r="A14" s="43" t="s">
        <v>32</v>
      </c>
      <c r="B14" s="31">
        <v>4177527753.3200002</v>
      </c>
      <c r="C14" s="31">
        <v>0</v>
      </c>
      <c r="D14" s="31">
        <v>3907923400</v>
      </c>
      <c r="E14" s="37">
        <f t="shared" si="6"/>
        <v>269604353.31999999</v>
      </c>
      <c r="F14" s="31">
        <v>32443153</v>
      </c>
      <c r="G14" s="31">
        <v>196358834</v>
      </c>
      <c r="H14" s="31">
        <v>40802366.32</v>
      </c>
      <c r="I14" s="31">
        <v>4315610668.2200003</v>
      </c>
      <c r="J14" s="31">
        <v>0</v>
      </c>
      <c r="K14" s="31">
        <v>4033054815.3200002</v>
      </c>
      <c r="L14" s="37">
        <f t="shared" si="7"/>
        <v>282555852.89999998</v>
      </c>
      <c r="M14" s="31">
        <v>34079061.240000002</v>
      </c>
      <c r="N14" s="31">
        <v>205335881.38</v>
      </c>
      <c r="O14" s="31">
        <v>43140910.280000001</v>
      </c>
      <c r="P14" s="32">
        <f t="shared" si="2"/>
        <v>4177.5277533200006</v>
      </c>
      <c r="Q14" s="32">
        <f t="shared" si="3"/>
        <v>3907.9234000000001</v>
      </c>
      <c r="R14" s="32">
        <f t="shared" si="3"/>
        <v>269.60435331999997</v>
      </c>
      <c r="S14" s="32">
        <f t="shared" si="3"/>
        <v>32.443153000000002</v>
      </c>
      <c r="T14" s="32">
        <f t="shared" si="3"/>
        <v>196.358834</v>
      </c>
      <c r="U14" s="32">
        <f t="shared" si="3"/>
        <v>40.802366319999997</v>
      </c>
      <c r="V14" s="32">
        <f t="shared" si="3"/>
        <v>4315.6106682200007</v>
      </c>
      <c r="W14" s="32">
        <f t="shared" si="4"/>
        <v>4033.0548153200002</v>
      </c>
      <c r="X14" s="32">
        <f t="shared" si="4"/>
        <v>282.55585289999999</v>
      </c>
      <c r="Y14" s="32">
        <f t="shared" si="4"/>
        <v>34.079061240000001</v>
      </c>
      <c r="Z14" s="32">
        <f t="shared" si="4"/>
        <v>205.33588137999999</v>
      </c>
      <c r="AA14" s="32">
        <f t="shared" si="4"/>
        <v>43.14091028</v>
      </c>
      <c r="AB14" s="33">
        <f t="shared" ref="AB14:AG38" si="11">V14/P14%</f>
        <v>103.30537396885663</v>
      </c>
      <c r="AC14" s="33">
        <f t="shared" si="11"/>
        <v>103.20199252933156</v>
      </c>
      <c r="AD14" s="33">
        <f t="shared" si="10"/>
        <v>104.80389111693147</v>
      </c>
      <c r="AE14" s="33">
        <f t="shared" si="10"/>
        <v>105.04238364255163</v>
      </c>
      <c r="AF14" s="33">
        <f t="shared" si="10"/>
        <v>104.57175630814756</v>
      </c>
      <c r="AG14" s="46">
        <f t="shared" si="10"/>
        <v>105.7313929826019</v>
      </c>
      <c r="AH14" s="40">
        <f t="shared" si="8"/>
        <v>12.951499580000018</v>
      </c>
      <c r="AI14" s="3">
        <f t="shared" si="9"/>
        <v>4.5474735088646412E-13</v>
      </c>
      <c r="AL14" s="7">
        <f>X13+X15+X16</f>
        <v>10747.75794573</v>
      </c>
    </row>
    <row r="15" spans="1:38" x14ac:dyDescent="0.25">
      <c r="A15" s="43" t="s">
        <v>33</v>
      </c>
      <c r="B15" s="31">
        <v>4016453375.3200002</v>
      </c>
      <c r="C15" s="31">
        <v>0</v>
      </c>
      <c r="D15" s="31">
        <v>2875245100</v>
      </c>
      <c r="E15" s="37">
        <f t="shared" si="6"/>
        <v>1141208275.3199999</v>
      </c>
      <c r="F15" s="31">
        <v>805851077.88999999</v>
      </c>
      <c r="G15" s="31">
        <v>323078161.95999998</v>
      </c>
      <c r="H15" s="31">
        <v>12279035.470000001</v>
      </c>
      <c r="I15" s="31">
        <v>3974295939.79</v>
      </c>
      <c r="J15" s="31">
        <v>0</v>
      </c>
      <c r="K15" s="31">
        <v>2863135378.3000002</v>
      </c>
      <c r="L15" s="37">
        <f t="shared" si="7"/>
        <v>1111160561.49</v>
      </c>
      <c r="M15" s="31">
        <v>784760126.13999999</v>
      </c>
      <c r="N15" s="31">
        <v>313251352.00999999</v>
      </c>
      <c r="O15" s="31">
        <v>13149083.34</v>
      </c>
      <c r="P15" s="32">
        <f t="shared" si="2"/>
        <v>4016.4533753200003</v>
      </c>
      <c r="Q15" s="32">
        <f t="shared" si="3"/>
        <v>2875.2451000000001</v>
      </c>
      <c r="R15" s="32">
        <f t="shared" si="3"/>
        <v>1141.20827532</v>
      </c>
      <c r="S15" s="32">
        <f t="shared" si="3"/>
        <v>805.85107788999994</v>
      </c>
      <c r="T15" s="32">
        <f t="shared" si="3"/>
        <v>323.07816195999999</v>
      </c>
      <c r="U15" s="32">
        <f t="shared" si="3"/>
        <v>12.27903547</v>
      </c>
      <c r="V15" s="32">
        <f t="shared" si="3"/>
        <v>3974.2959397899999</v>
      </c>
      <c r="W15" s="32">
        <f t="shared" si="4"/>
        <v>2863.1353783000004</v>
      </c>
      <c r="X15" s="32">
        <f t="shared" si="4"/>
        <v>1111.16056149</v>
      </c>
      <c r="Y15" s="32">
        <f t="shared" si="4"/>
        <v>784.76012614000001</v>
      </c>
      <c r="Z15" s="32">
        <f t="shared" si="4"/>
        <v>313.25135201000001</v>
      </c>
      <c r="AA15" s="32">
        <f t="shared" si="4"/>
        <v>13.149083340000001</v>
      </c>
      <c r="AB15" s="33">
        <f t="shared" si="11"/>
        <v>98.95038155331153</v>
      </c>
      <c r="AC15" s="33">
        <f t="shared" si="11"/>
        <v>99.578828194507679</v>
      </c>
      <c r="AD15" s="33">
        <f t="shared" si="11"/>
        <v>97.367026293112488</v>
      </c>
      <c r="AE15" s="33">
        <f t="shared" si="11"/>
        <v>97.382773029822914</v>
      </c>
      <c r="AF15" s="33">
        <f t="shared" si="11"/>
        <v>96.958380012321399</v>
      </c>
      <c r="AG15" s="34">
        <f t="shared" si="11"/>
        <v>107.08563691444407</v>
      </c>
      <c r="AH15" s="40">
        <f t="shared" si="8"/>
        <v>-30.047713830000021</v>
      </c>
      <c r="AI15" s="3">
        <f t="shared" si="9"/>
        <v>0</v>
      </c>
      <c r="AL15" s="7">
        <f>AL14/X39%</f>
        <v>95.799025015639202</v>
      </c>
    </row>
    <row r="16" spans="1:38" x14ac:dyDescent="0.25">
      <c r="A16" s="43" t="s">
        <v>34</v>
      </c>
      <c r="B16" s="31">
        <v>8598598934.7399998</v>
      </c>
      <c r="C16" s="31">
        <v>0</v>
      </c>
      <c r="D16" s="31">
        <v>7711910700</v>
      </c>
      <c r="E16" s="37">
        <f t="shared" si="6"/>
        <v>886688234.74000001</v>
      </c>
      <c r="F16" s="31">
        <v>584109200</v>
      </c>
      <c r="G16" s="31">
        <v>0</v>
      </c>
      <c r="H16" s="31">
        <v>302579034.74000001</v>
      </c>
      <c r="I16" s="31">
        <v>8752732718.6100006</v>
      </c>
      <c r="J16" s="31">
        <v>0</v>
      </c>
      <c r="K16" s="31">
        <v>7823275185.29</v>
      </c>
      <c r="L16" s="37">
        <f t="shared" si="7"/>
        <v>929457533.31999993</v>
      </c>
      <c r="M16" s="31">
        <v>623771742.5</v>
      </c>
      <c r="N16" s="31">
        <v>0</v>
      </c>
      <c r="O16" s="31">
        <v>305685790.81999999</v>
      </c>
      <c r="P16" s="32">
        <f t="shared" si="2"/>
        <v>8598.5989347399991</v>
      </c>
      <c r="Q16" s="32">
        <f t="shared" si="3"/>
        <v>7711.9107000000004</v>
      </c>
      <c r="R16" s="32">
        <f t="shared" si="3"/>
        <v>886.68823473999998</v>
      </c>
      <c r="S16" s="32">
        <f t="shared" si="3"/>
        <v>584.10919999999999</v>
      </c>
      <c r="T16" s="32">
        <f t="shared" si="3"/>
        <v>0</v>
      </c>
      <c r="U16" s="32">
        <f t="shared" si="3"/>
        <v>302.57903474</v>
      </c>
      <c r="V16" s="32">
        <f t="shared" si="3"/>
        <v>8752.732718610001</v>
      </c>
      <c r="W16" s="32">
        <f t="shared" si="4"/>
        <v>7823.2751852900001</v>
      </c>
      <c r="X16" s="32">
        <f t="shared" si="4"/>
        <v>929.45753331999992</v>
      </c>
      <c r="Y16" s="32">
        <f t="shared" si="4"/>
        <v>623.77174249999996</v>
      </c>
      <c r="Z16" s="32">
        <f t="shared" si="4"/>
        <v>0</v>
      </c>
      <c r="AA16" s="32">
        <f t="shared" si="4"/>
        <v>305.68579081999997</v>
      </c>
      <c r="AB16" s="33">
        <f t="shared" si="11"/>
        <v>101.79254533255728</v>
      </c>
      <c r="AC16" s="33">
        <f t="shared" si="11"/>
        <v>101.44405828363651</v>
      </c>
      <c r="AD16" s="33">
        <f t="shared" si="11"/>
        <v>104.82348777217518</v>
      </c>
      <c r="AE16" s="33">
        <f t="shared" si="11"/>
        <v>106.7902615641048</v>
      </c>
      <c r="AF16" s="44" t="s">
        <v>30</v>
      </c>
      <c r="AG16" s="34">
        <f t="shared" si="11"/>
        <v>101.02675854018423</v>
      </c>
      <c r="AH16" s="40">
        <f t="shared" si="8"/>
        <v>42.769298579999941</v>
      </c>
      <c r="AI16" s="3">
        <f t="shared" si="9"/>
        <v>1.0231815394945443E-12</v>
      </c>
    </row>
    <row r="17" spans="1:39" ht="26.4" x14ac:dyDescent="0.25">
      <c r="A17" s="43" t="s">
        <v>35</v>
      </c>
      <c r="B17" s="31">
        <v>2601465000</v>
      </c>
      <c r="C17" s="31">
        <v>0</v>
      </c>
      <c r="D17" s="31">
        <v>2601465000</v>
      </c>
      <c r="E17" s="37">
        <f t="shared" si="6"/>
        <v>0</v>
      </c>
      <c r="F17" s="47">
        <v>0</v>
      </c>
      <c r="G17" s="47">
        <v>0</v>
      </c>
      <c r="H17" s="47">
        <v>0</v>
      </c>
      <c r="I17" s="48">
        <v>2503116552.1999998</v>
      </c>
      <c r="J17" s="48">
        <v>0</v>
      </c>
      <c r="K17" s="48">
        <v>2503116552.1999998</v>
      </c>
      <c r="L17" s="37">
        <f t="shared" si="7"/>
        <v>0</v>
      </c>
      <c r="M17" s="49">
        <v>0</v>
      </c>
      <c r="N17" s="49">
        <v>0</v>
      </c>
      <c r="O17" s="49">
        <v>0</v>
      </c>
      <c r="P17" s="32">
        <f t="shared" si="2"/>
        <v>2601.4650000000001</v>
      </c>
      <c r="Q17" s="32">
        <f t="shared" si="3"/>
        <v>2601.4650000000001</v>
      </c>
      <c r="R17" s="32">
        <f t="shared" si="3"/>
        <v>0</v>
      </c>
      <c r="S17" s="32">
        <f t="shared" si="3"/>
        <v>0</v>
      </c>
      <c r="T17" s="32">
        <f t="shared" si="3"/>
        <v>0</v>
      </c>
      <c r="U17" s="32">
        <f t="shared" si="3"/>
        <v>0</v>
      </c>
      <c r="V17" s="32">
        <f t="shared" si="3"/>
        <v>2503.1165521999997</v>
      </c>
      <c r="W17" s="32">
        <f t="shared" si="4"/>
        <v>2503.1165521999997</v>
      </c>
      <c r="X17" s="32">
        <f t="shared" si="4"/>
        <v>0</v>
      </c>
      <c r="Y17" s="32">
        <f t="shared" si="4"/>
        <v>0</v>
      </c>
      <c r="Z17" s="32">
        <f t="shared" si="4"/>
        <v>0</v>
      </c>
      <c r="AA17" s="32">
        <f t="shared" si="4"/>
        <v>0</v>
      </c>
      <c r="AB17" s="33">
        <f t="shared" si="11"/>
        <v>96.219497560028657</v>
      </c>
      <c r="AC17" s="33">
        <f t="shared" si="11"/>
        <v>96.219497560028657</v>
      </c>
      <c r="AD17" s="44" t="s">
        <v>30</v>
      </c>
      <c r="AE17" s="44" t="s">
        <v>30</v>
      </c>
      <c r="AF17" s="44" t="s">
        <v>30</v>
      </c>
      <c r="AG17" s="50" t="s">
        <v>30</v>
      </c>
      <c r="AH17" s="40">
        <f t="shared" si="8"/>
        <v>0</v>
      </c>
      <c r="AI17" s="3">
        <f t="shared" si="9"/>
        <v>0</v>
      </c>
    </row>
    <row r="18" spans="1:39" x14ac:dyDescent="0.25">
      <c r="A18" s="43" t="s">
        <v>36</v>
      </c>
      <c r="B18" s="31">
        <v>338385504</v>
      </c>
      <c r="C18" s="31">
        <v>0</v>
      </c>
      <c r="D18" s="31">
        <v>147169000</v>
      </c>
      <c r="E18" s="37">
        <f t="shared" si="6"/>
        <v>191216504</v>
      </c>
      <c r="F18" s="31">
        <v>142081200</v>
      </c>
      <c r="G18" s="31">
        <v>46103622</v>
      </c>
      <c r="H18" s="31">
        <v>3031682</v>
      </c>
      <c r="I18" s="31">
        <v>346962448.12</v>
      </c>
      <c r="J18" s="31">
        <v>0</v>
      </c>
      <c r="K18" s="48">
        <v>158377242.24000001</v>
      </c>
      <c r="L18" s="37">
        <f t="shared" si="7"/>
        <v>188585205.88</v>
      </c>
      <c r="M18" s="31">
        <v>143915018.09999999</v>
      </c>
      <c r="N18" s="31">
        <v>42104692.920000002</v>
      </c>
      <c r="O18" s="31">
        <v>2565494.86</v>
      </c>
      <c r="P18" s="32">
        <f t="shared" si="2"/>
        <v>338.38550400000003</v>
      </c>
      <c r="Q18" s="32">
        <f t="shared" si="3"/>
        <v>147.16900000000001</v>
      </c>
      <c r="R18" s="32">
        <f t="shared" si="3"/>
        <v>191.21650399999999</v>
      </c>
      <c r="S18" s="32">
        <f t="shared" si="3"/>
        <v>142.0812</v>
      </c>
      <c r="T18" s="32">
        <f t="shared" si="3"/>
        <v>46.103622000000001</v>
      </c>
      <c r="U18" s="32">
        <f t="shared" si="3"/>
        <v>3.031682</v>
      </c>
      <c r="V18" s="32">
        <f t="shared" si="3"/>
        <v>346.96244811999998</v>
      </c>
      <c r="W18" s="32">
        <f t="shared" si="4"/>
        <v>158.37724224000002</v>
      </c>
      <c r="X18" s="32">
        <f t="shared" si="4"/>
        <v>188.58520587999999</v>
      </c>
      <c r="Y18" s="32">
        <f t="shared" si="4"/>
        <v>143.9150181</v>
      </c>
      <c r="Z18" s="32">
        <f t="shared" si="4"/>
        <v>42.104692920000005</v>
      </c>
      <c r="AA18" s="32">
        <f t="shared" si="4"/>
        <v>2.5654948599999998</v>
      </c>
      <c r="AB18" s="33">
        <f t="shared" si="11"/>
        <v>102.53466653228737</v>
      </c>
      <c r="AC18" s="32">
        <f t="shared" si="11"/>
        <v>107.61589889175031</v>
      </c>
      <c r="AD18" s="33">
        <f t="shared" si="11"/>
        <v>98.623916835128412</v>
      </c>
      <c r="AE18" s="33">
        <f t="shared" si="11"/>
        <v>101.29068314456804</v>
      </c>
      <c r="AF18" s="33">
        <f t="shared" si="11"/>
        <v>91.326214933828851</v>
      </c>
      <c r="AG18" s="46">
        <f t="shared" si="11"/>
        <v>84.622821918657692</v>
      </c>
      <c r="AH18" s="40">
        <f t="shared" si="8"/>
        <v>-2.6312981199999967</v>
      </c>
      <c r="AI18" s="3">
        <f t="shared" si="9"/>
        <v>0</v>
      </c>
    </row>
    <row r="19" spans="1:39" ht="26.4" x14ac:dyDescent="0.25">
      <c r="A19" s="43" t="s">
        <v>37</v>
      </c>
      <c r="B19" s="31">
        <v>2567.1</v>
      </c>
      <c r="C19" s="31">
        <v>0</v>
      </c>
      <c r="D19" s="31">
        <v>0</v>
      </c>
      <c r="E19" s="37">
        <f t="shared" si="6"/>
        <v>2567.1</v>
      </c>
      <c r="F19" s="31">
        <v>1000</v>
      </c>
      <c r="G19" s="31">
        <v>0</v>
      </c>
      <c r="H19" s="31">
        <v>1567.1</v>
      </c>
      <c r="I19" s="51">
        <v>217795.53</v>
      </c>
      <c r="J19" s="51">
        <v>0</v>
      </c>
      <c r="K19" s="51">
        <v>48606</v>
      </c>
      <c r="L19" s="37">
        <f t="shared" si="7"/>
        <v>169189.52999999997</v>
      </c>
      <c r="M19" s="51">
        <v>-85.47</v>
      </c>
      <c r="N19" s="51">
        <v>159513.35999999999</v>
      </c>
      <c r="O19" s="51">
        <v>9761.64</v>
      </c>
      <c r="P19" s="32">
        <f t="shared" si="2"/>
        <v>2.5671000000000001E-3</v>
      </c>
      <c r="Q19" s="32">
        <f t="shared" si="3"/>
        <v>0</v>
      </c>
      <c r="R19" s="32">
        <f t="shared" si="3"/>
        <v>2.5671000000000001E-3</v>
      </c>
      <c r="S19" s="32">
        <f t="shared" si="3"/>
        <v>1E-3</v>
      </c>
      <c r="T19" s="32">
        <f t="shared" si="3"/>
        <v>0</v>
      </c>
      <c r="U19" s="32">
        <f t="shared" si="3"/>
        <v>1.5670999999999999E-3</v>
      </c>
      <c r="V19" s="32">
        <f t="shared" si="3"/>
        <v>0.21779552999999999</v>
      </c>
      <c r="W19" s="32">
        <f t="shared" si="4"/>
        <v>4.8606000000000003E-2</v>
      </c>
      <c r="X19" s="32">
        <f t="shared" si="4"/>
        <v>0.16918952999999998</v>
      </c>
      <c r="Y19" s="32">
        <f t="shared" si="4"/>
        <v>-8.5469999999999993E-5</v>
      </c>
      <c r="Z19" s="32">
        <f t="shared" si="4"/>
        <v>0.15951335999999999</v>
      </c>
      <c r="AA19" s="32">
        <f t="shared" si="4"/>
        <v>9.7616400000000002E-3</v>
      </c>
      <c r="AB19" s="33"/>
      <c r="AC19" s="32"/>
      <c r="AD19" s="33"/>
      <c r="AE19" s="33"/>
      <c r="AF19" s="33"/>
      <c r="AG19" s="46"/>
      <c r="AH19" s="40">
        <f t="shared" si="8"/>
        <v>0.16662242999999999</v>
      </c>
      <c r="AI19" s="52">
        <f t="shared" si="9"/>
        <v>0</v>
      </c>
      <c r="AJ19" s="3">
        <f>SUM(V12:V18)/SUM(P12:P18)*100</f>
        <v>102.04034422494486</v>
      </c>
      <c r="AK19" s="3">
        <f>SUM(X12:X18)/SUM(R12:R18)*100</f>
        <v>100.2558904837348</v>
      </c>
    </row>
    <row r="20" spans="1:39" ht="27.75" customHeight="1" x14ac:dyDescent="0.25">
      <c r="A20" s="43" t="s">
        <v>38</v>
      </c>
      <c r="B20" s="51">
        <v>1173168351.25</v>
      </c>
      <c r="C20" s="51">
        <v>711466.67</v>
      </c>
      <c r="D20" s="51">
        <v>70622500</v>
      </c>
      <c r="E20" s="37">
        <f t="shared" si="6"/>
        <v>1103257317.9200001</v>
      </c>
      <c r="F20" s="51">
        <v>713852130.73000002</v>
      </c>
      <c r="G20" s="51">
        <v>216506587.94</v>
      </c>
      <c r="H20" s="51">
        <v>172898599.25</v>
      </c>
      <c r="I20" s="31">
        <v>1272043567.28</v>
      </c>
      <c r="J20" s="31">
        <v>711466.67</v>
      </c>
      <c r="K20" s="31">
        <v>79534746.900000006</v>
      </c>
      <c r="L20" s="37">
        <f t="shared" si="7"/>
        <v>1193220287.05</v>
      </c>
      <c r="M20" s="31">
        <v>800812369.38999999</v>
      </c>
      <c r="N20" s="31">
        <v>227937234.31999999</v>
      </c>
      <c r="O20" s="31">
        <v>164470683.34</v>
      </c>
      <c r="P20" s="32">
        <f t="shared" si="2"/>
        <v>1173.1683512499999</v>
      </c>
      <c r="Q20" s="32">
        <f t="shared" si="3"/>
        <v>70.622500000000002</v>
      </c>
      <c r="R20" s="32">
        <f t="shared" si="3"/>
        <v>1103.2573179200001</v>
      </c>
      <c r="S20" s="32">
        <f t="shared" si="3"/>
        <v>713.85213073</v>
      </c>
      <c r="T20" s="32">
        <f t="shared" si="3"/>
        <v>216.50658794</v>
      </c>
      <c r="U20" s="32">
        <f t="shared" si="3"/>
        <v>172.89859924999999</v>
      </c>
      <c r="V20" s="32">
        <f t="shared" si="3"/>
        <v>1272.0435672799999</v>
      </c>
      <c r="W20" s="32">
        <f t="shared" si="4"/>
        <v>79.534746900000002</v>
      </c>
      <c r="X20" s="32">
        <f t="shared" si="4"/>
        <v>1193.22028705</v>
      </c>
      <c r="Y20" s="32">
        <f t="shared" si="4"/>
        <v>800.81236938999996</v>
      </c>
      <c r="Z20" s="32">
        <f t="shared" si="4"/>
        <v>227.93723431999999</v>
      </c>
      <c r="AA20" s="32">
        <f t="shared" si="4"/>
        <v>164.47068333999999</v>
      </c>
      <c r="AB20" s="33">
        <f t="shared" si="11"/>
        <v>108.42805006840233</v>
      </c>
      <c r="AC20" s="33">
        <f t="shared" si="11"/>
        <v>112.61955736486247</v>
      </c>
      <c r="AD20" s="33">
        <f t="shared" si="11"/>
        <v>108.15430522587508</v>
      </c>
      <c r="AE20" s="33">
        <f t="shared" si="11"/>
        <v>112.18182798881229</v>
      </c>
      <c r="AF20" s="33">
        <f t="shared" si="11"/>
        <v>105.27958363242402</v>
      </c>
      <c r="AG20" s="46">
        <f t="shared" si="11"/>
        <v>95.125515217266866</v>
      </c>
      <c r="AH20" s="40">
        <f t="shared" si="8"/>
        <v>89.962969129999919</v>
      </c>
      <c r="AI20" s="3">
        <f t="shared" si="9"/>
        <v>-0.7114666700001635</v>
      </c>
      <c r="AK20" s="7">
        <f>(X20+X23)/X40%</f>
        <v>80.169663300383348</v>
      </c>
      <c r="AL20" s="7">
        <f>X20/X40%</f>
        <v>50.057147980616399</v>
      </c>
      <c r="AM20" s="3">
        <f>(X20+X23)/X40</f>
        <v>0.80169663300383354</v>
      </c>
    </row>
    <row r="21" spans="1:39" x14ac:dyDescent="0.25">
      <c r="A21" s="43" t="s">
        <v>39</v>
      </c>
      <c r="B21" s="31">
        <v>615937429.58000004</v>
      </c>
      <c r="C21" s="31">
        <v>0</v>
      </c>
      <c r="D21" s="31">
        <v>511163000</v>
      </c>
      <c r="E21" s="37">
        <f t="shared" si="6"/>
        <v>104774429.58</v>
      </c>
      <c r="F21" s="31">
        <v>60793329.579999998</v>
      </c>
      <c r="G21" s="31">
        <v>43981100</v>
      </c>
      <c r="H21" s="31">
        <v>0</v>
      </c>
      <c r="I21" s="31">
        <v>610996704.82000005</v>
      </c>
      <c r="J21" s="31">
        <v>0</v>
      </c>
      <c r="K21" s="31">
        <v>540427225.99000001</v>
      </c>
      <c r="L21" s="37">
        <f t="shared" si="7"/>
        <v>70569478.829999998</v>
      </c>
      <c r="M21" s="31">
        <v>51015069.280000001</v>
      </c>
      <c r="N21" s="31">
        <v>19554409.550000001</v>
      </c>
      <c r="O21" s="31">
        <v>0</v>
      </c>
      <c r="P21" s="32">
        <f t="shared" si="2"/>
        <v>615.93742958000007</v>
      </c>
      <c r="Q21" s="32">
        <f t="shared" si="3"/>
        <v>511.16300000000001</v>
      </c>
      <c r="R21" s="32">
        <f t="shared" si="3"/>
        <v>104.77442958</v>
      </c>
      <c r="S21" s="32">
        <f t="shared" si="3"/>
        <v>60.793329579999998</v>
      </c>
      <c r="T21" s="32">
        <f t="shared" si="3"/>
        <v>43.981099999999998</v>
      </c>
      <c r="U21" s="32">
        <f t="shared" si="3"/>
        <v>0</v>
      </c>
      <c r="V21" s="32">
        <f t="shared" si="3"/>
        <v>610.9967048200001</v>
      </c>
      <c r="W21" s="32">
        <f t="shared" si="4"/>
        <v>540.42722599000001</v>
      </c>
      <c r="X21" s="32">
        <f t="shared" si="4"/>
        <v>70.569478829999994</v>
      </c>
      <c r="Y21" s="32">
        <f t="shared" si="4"/>
        <v>51.015069279999999</v>
      </c>
      <c r="Z21" s="32">
        <f t="shared" si="4"/>
        <v>19.554409549999999</v>
      </c>
      <c r="AA21" s="32">
        <f t="shared" si="4"/>
        <v>0</v>
      </c>
      <c r="AB21" s="33">
        <f t="shared" si="11"/>
        <v>99.197852813820873</v>
      </c>
      <c r="AC21" s="33">
        <f t="shared" si="11"/>
        <v>105.72502821800482</v>
      </c>
      <c r="AD21" s="33">
        <f t="shared" si="11"/>
        <v>67.353722766982003</v>
      </c>
      <c r="AE21" s="32">
        <f t="shared" si="11"/>
        <v>83.915570396366505</v>
      </c>
      <c r="AF21" s="33">
        <f t="shared" si="11"/>
        <v>44.460937880134878</v>
      </c>
      <c r="AG21" s="45" t="s">
        <v>30</v>
      </c>
      <c r="AH21" s="40">
        <f t="shared" si="8"/>
        <v>-34.204950750000009</v>
      </c>
      <c r="AI21" s="7">
        <f t="shared" si="9"/>
        <v>0</v>
      </c>
    </row>
    <row r="22" spans="1:39" ht="26.4" x14ac:dyDescent="0.25">
      <c r="A22" s="43" t="s">
        <v>40</v>
      </c>
      <c r="B22" s="31">
        <v>369088045.35000002</v>
      </c>
      <c r="C22" s="31">
        <v>0</v>
      </c>
      <c r="D22" s="31">
        <v>224284843.34999999</v>
      </c>
      <c r="E22" s="37">
        <f t="shared" si="6"/>
        <v>144803202</v>
      </c>
      <c r="F22" s="31">
        <v>80266515.209999993</v>
      </c>
      <c r="G22" s="31">
        <v>35530826.509999998</v>
      </c>
      <c r="H22" s="31">
        <v>29005860.280000001</v>
      </c>
      <c r="I22" s="31">
        <v>370023099.97000003</v>
      </c>
      <c r="J22" s="31">
        <v>0</v>
      </c>
      <c r="K22" s="31">
        <v>195463220.61000001</v>
      </c>
      <c r="L22" s="37">
        <f t="shared" si="7"/>
        <v>174559879.36000001</v>
      </c>
      <c r="M22" s="31">
        <v>109470580.37</v>
      </c>
      <c r="N22" s="31">
        <v>36622736.789999999</v>
      </c>
      <c r="O22" s="31">
        <v>28466562.200000003</v>
      </c>
      <c r="P22" s="32">
        <f t="shared" si="2"/>
        <v>369.08804535000002</v>
      </c>
      <c r="Q22" s="32">
        <f t="shared" si="3"/>
        <v>224.28484334999999</v>
      </c>
      <c r="R22" s="32">
        <f t="shared" si="3"/>
        <v>144.803202</v>
      </c>
      <c r="S22" s="32">
        <f t="shared" si="3"/>
        <v>80.266515209999994</v>
      </c>
      <c r="T22" s="32">
        <f t="shared" si="3"/>
        <v>35.530826509999997</v>
      </c>
      <c r="U22" s="32">
        <f t="shared" si="3"/>
        <v>29.00586028</v>
      </c>
      <c r="V22" s="32">
        <f t="shared" si="3"/>
        <v>370.02309997000003</v>
      </c>
      <c r="W22" s="32">
        <f t="shared" si="4"/>
        <v>195.46322061000001</v>
      </c>
      <c r="X22" s="32">
        <f t="shared" si="4"/>
        <v>174.55987936000002</v>
      </c>
      <c r="Y22" s="32">
        <f t="shared" si="4"/>
        <v>109.47058037000001</v>
      </c>
      <c r="Z22" s="32">
        <f t="shared" si="4"/>
        <v>36.622736789999998</v>
      </c>
      <c r="AA22" s="32">
        <f t="shared" si="4"/>
        <v>28.466562200000002</v>
      </c>
      <c r="AB22" s="33">
        <f t="shared" si="11"/>
        <v>100.25334188733025</v>
      </c>
      <c r="AC22" s="33">
        <f t="shared" si="11"/>
        <v>87.149545056406964</v>
      </c>
      <c r="AD22" s="32">
        <f t="shared" si="11"/>
        <v>120.54973712528816</v>
      </c>
      <c r="AE22" s="33">
        <f t="shared" si="11"/>
        <v>136.38387076303724</v>
      </c>
      <c r="AF22" s="32">
        <f t="shared" si="11"/>
        <v>103.07313504146234</v>
      </c>
      <c r="AG22" s="46">
        <f t="shared" si="11"/>
        <v>98.140727167565331</v>
      </c>
      <c r="AH22" s="40">
        <f t="shared" si="8"/>
        <v>29.756677360000026</v>
      </c>
      <c r="AI22" s="3">
        <f t="shared" si="9"/>
        <v>0</v>
      </c>
    </row>
    <row r="23" spans="1:39" x14ac:dyDescent="0.25">
      <c r="A23" s="43" t="s">
        <v>41</v>
      </c>
      <c r="B23" s="31">
        <v>686107419.83000004</v>
      </c>
      <c r="C23" s="31">
        <v>0</v>
      </c>
      <c r="D23" s="31">
        <v>9700000</v>
      </c>
      <c r="E23" s="37">
        <f t="shared" si="6"/>
        <v>676407419.82999992</v>
      </c>
      <c r="F23" s="31">
        <v>467917003.77999997</v>
      </c>
      <c r="G23" s="31">
        <v>154889333.5</v>
      </c>
      <c r="H23" s="31">
        <v>53601082.549999997</v>
      </c>
      <c r="I23" s="31">
        <v>726851855.82000005</v>
      </c>
      <c r="J23" s="31">
        <v>0</v>
      </c>
      <c r="K23" s="31">
        <v>9054985.1799999997</v>
      </c>
      <c r="L23" s="37">
        <f t="shared" si="7"/>
        <v>717796870.63999999</v>
      </c>
      <c r="M23" s="31">
        <v>505984824.05000001</v>
      </c>
      <c r="N23" s="31">
        <v>159359663.75999999</v>
      </c>
      <c r="O23" s="31">
        <v>52452382.829999998</v>
      </c>
      <c r="P23" s="32">
        <f t="shared" si="2"/>
        <v>686.10741983000003</v>
      </c>
      <c r="Q23" s="32">
        <f t="shared" si="3"/>
        <v>9.6999999999999993</v>
      </c>
      <c r="R23" s="32">
        <f t="shared" si="3"/>
        <v>676.40741982999987</v>
      </c>
      <c r="S23" s="32">
        <f t="shared" si="3"/>
        <v>467.91700377999996</v>
      </c>
      <c r="T23" s="32">
        <f t="shared" si="3"/>
        <v>154.88933349999999</v>
      </c>
      <c r="U23" s="32">
        <f t="shared" si="3"/>
        <v>53.601082549999994</v>
      </c>
      <c r="V23" s="32">
        <f t="shared" si="3"/>
        <v>726.85185582000008</v>
      </c>
      <c r="W23" s="32">
        <f t="shared" si="4"/>
        <v>9.0549851799999992</v>
      </c>
      <c r="X23" s="32">
        <f t="shared" si="4"/>
        <v>717.79687063999995</v>
      </c>
      <c r="Y23" s="32">
        <f t="shared" si="4"/>
        <v>505.98482404999999</v>
      </c>
      <c r="Z23" s="32">
        <f t="shared" si="4"/>
        <v>159.35966375999999</v>
      </c>
      <c r="AA23" s="32">
        <f t="shared" si="4"/>
        <v>52.452382829999998</v>
      </c>
      <c r="AB23" s="33">
        <f t="shared" si="11"/>
        <v>105.93849225535202</v>
      </c>
      <c r="AC23" s="33">
        <f t="shared" si="11"/>
        <v>93.350362680412374</v>
      </c>
      <c r="AD23" s="33">
        <f>X23/R23%</f>
        <v>106.11901194407395</v>
      </c>
      <c r="AE23" s="33">
        <f>Y23/S23%</f>
        <v>108.13559241542296</v>
      </c>
      <c r="AF23" s="33">
        <f>Z23/T23%</f>
        <v>102.8861446808408</v>
      </c>
      <c r="AG23" s="46">
        <f>AA23/U23%</f>
        <v>97.856946790340544</v>
      </c>
      <c r="AH23" s="40">
        <f t="shared" si="8"/>
        <v>41.389450810000085</v>
      </c>
      <c r="AI23" s="3">
        <f t="shared" si="9"/>
        <v>0</v>
      </c>
      <c r="AL23" s="7">
        <f>X23/X40%</f>
        <v>30.112515319766953</v>
      </c>
    </row>
    <row r="24" spans="1:39" x14ac:dyDescent="0.25">
      <c r="A24" s="43" t="s">
        <v>42</v>
      </c>
      <c r="B24" s="31">
        <v>615351.37</v>
      </c>
      <c r="C24" s="31">
        <v>0</v>
      </c>
      <c r="D24" s="31">
        <v>560500</v>
      </c>
      <c r="E24" s="37">
        <f t="shared" si="6"/>
        <v>54851.37</v>
      </c>
      <c r="F24" s="31">
        <v>0</v>
      </c>
      <c r="G24" s="31">
        <v>0</v>
      </c>
      <c r="H24" s="31">
        <v>54851.37</v>
      </c>
      <c r="I24" s="31">
        <v>1484464.46</v>
      </c>
      <c r="J24" s="31">
        <v>0</v>
      </c>
      <c r="K24" s="31">
        <v>1420766.5</v>
      </c>
      <c r="L24" s="37">
        <f t="shared" si="7"/>
        <v>63697.96</v>
      </c>
      <c r="M24" s="31">
        <v>0</v>
      </c>
      <c r="N24" s="31">
        <v>0</v>
      </c>
      <c r="O24" s="31">
        <v>63697.96</v>
      </c>
      <c r="P24" s="32">
        <f t="shared" si="2"/>
        <v>0.61535136999999995</v>
      </c>
      <c r="Q24" s="32">
        <f t="shared" si="3"/>
        <v>0.5605</v>
      </c>
      <c r="R24" s="32">
        <f t="shared" si="3"/>
        <v>5.4851370000000003E-2</v>
      </c>
      <c r="S24" s="32">
        <f t="shared" si="3"/>
        <v>0</v>
      </c>
      <c r="T24" s="32">
        <f t="shared" si="3"/>
        <v>0</v>
      </c>
      <c r="U24" s="32">
        <f t="shared" si="3"/>
        <v>5.4851370000000003E-2</v>
      </c>
      <c r="V24" s="32">
        <f t="shared" si="3"/>
        <v>1.4844644599999999</v>
      </c>
      <c r="W24" s="32">
        <f t="shared" si="4"/>
        <v>1.4207665</v>
      </c>
      <c r="X24" s="32">
        <f t="shared" si="4"/>
        <v>6.3697959999999998E-2</v>
      </c>
      <c r="Y24" s="32">
        <f t="shared" si="4"/>
        <v>0</v>
      </c>
      <c r="Z24" s="32">
        <f t="shared" si="4"/>
        <v>0</v>
      </c>
      <c r="AA24" s="32">
        <f t="shared" si="4"/>
        <v>6.3697959999999998E-2</v>
      </c>
      <c r="AB24" s="32">
        <f t="shared" si="11"/>
        <v>241.23850735881194</v>
      </c>
      <c r="AC24" s="32">
        <f t="shared" si="11"/>
        <v>253.48198037466548</v>
      </c>
      <c r="AD24" s="32">
        <f>X24/R24%</f>
        <v>116.128293605064</v>
      </c>
      <c r="AE24" s="44" t="s">
        <v>30</v>
      </c>
      <c r="AF24" s="44" t="s">
        <v>30</v>
      </c>
      <c r="AG24" s="34">
        <f>AA24/U24%</f>
        <v>116.128293605064</v>
      </c>
      <c r="AH24" s="40">
        <f t="shared" si="8"/>
        <v>8.8465899999999945E-3</v>
      </c>
      <c r="AI24" s="3">
        <f t="shared" si="9"/>
        <v>-1.6653345369377348E-16</v>
      </c>
    </row>
    <row r="25" spans="1:39" x14ac:dyDescent="0.25">
      <c r="A25" s="43" t="s">
        <v>43</v>
      </c>
      <c r="B25" s="31">
        <v>521492674.18000001</v>
      </c>
      <c r="C25" s="31">
        <v>0</v>
      </c>
      <c r="D25" s="31">
        <v>355903000</v>
      </c>
      <c r="E25" s="37">
        <f t="shared" si="6"/>
        <v>165589674.18000001</v>
      </c>
      <c r="F25" s="31">
        <v>126103809.53</v>
      </c>
      <c r="G25" s="31">
        <v>34984727.210000001</v>
      </c>
      <c r="H25" s="31">
        <v>4501137.4399999995</v>
      </c>
      <c r="I25" s="31">
        <v>583196310.58000004</v>
      </c>
      <c r="J25" s="31">
        <v>0</v>
      </c>
      <c r="K25" s="31">
        <v>380244616.31999999</v>
      </c>
      <c r="L25" s="37">
        <f t="shared" si="7"/>
        <v>202951694.25999999</v>
      </c>
      <c r="M25" s="31">
        <v>160069768.38999999</v>
      </c>
      <c r="N25" s="31">
        <v>35543313.469999999</v>
      </c>
      <c r="O25" s="31">
        <v>7338612.3999999994</v>
      </c>
      <c r="P25" s="32">
        <f t="shared" si="2"/>
        <v>521.49267417999999</v>
      </c>
      <c r="Q25" s="32">
        <f t="shared" si="3"/>
        <v>355.90300000000002</v>
      </c>
      <c r="R25" s="32">
        <f t="shared" si="3"/>
        <v>165.58967418</v>
      </c>
      <c r="S25" s="32">
        <f t="shared" si="3"/>
        <v>126.10380953000001</v>
      </c>
      <c r="T25" s="32">
        <f t="shared" si="3"/>
        <v>34.984727210000003</v>
      </c>
      <c r="U25" s="32">
        <f t="shared" si="3"/>
        <v>4.501137439999999</v>
      </c>
      <c r="V25" s="32">
        <f t="shared" si="3"/>
        <v>583.19631058000004</v>
      </c>
      <c r="W25" s="32">
        <f t="shared" si="4"/>
        <v>380.24461631999998</v>
      </c>
      <c r="X25" s="32">
        <f t="shared" si="4"/>
        <v>202.95169425999998</v>
      </c>
      <c r="Y25" s="32">
        <f t="shared" si="4"/>
        <v>160.06976838999998</v>
      </c>
      <c r="Z25" s="32">
        <f t="shared" si="4"/>
        <v>35.543313470000001</v>
      </c>
      <c r="AA25" s="32">
        <f t="shared" si="4"/>
        <v>7.3386123999999997</v>
      </c>
      <c r="AB25" s="32">
        <f t="shared" si="11"/>
        <v>111.83211950139537</v>
      </c>
      <c r="AC25" s="32">
        <f t="shared" si="11"/>
        <v>106.83939621750869</v>
      </c>
      <c r="AD25" s="32">
        <f t="shared" si="11"/>
        <v>122.56301322230186</v>
      </c>
      <c r="AE25" s="32">
        <f t="shared" si="11"/>
        <v>126.93491892639413</v>
      </c>
      <c r="AF25" s="32">
        <f t="shared" si="11"/>
        <v>101.59665746897787</v>
      </c>
      <c r="AG25" s="34">
        <f t="shared" si="11"/>
        <v>163.03906507684869</v>
      </c>
      <c r="AH25" s="40">
        <f t="shared" si="8"/>
        <v>37.362020079999979</v>
      </c>
      <c r="AI25" s="3">
        <f t="shared" si="9"/>
        <v>0</v>
      </c>
    </row>
    <row r="26" spans="1:39" x14ac:dyDescent="0.25">
      <c r="A26" s="43" t="s">
        <v>44</v>
      </c>
      <c r="B26" s="31">
        <v>22106555.039999999</v>
      </c>
      <c r="C26" s="31">
        <v>0</v>
      </c>
      <c r="D26" s="31">
        <v>0</v>
      </c>
      <c r="E26" s="37">
        <f t="shared" si="6"/>
        <v>22106555.039999999</v>
      </c>
      <c r="F26" s="31">
        <v>12511035.949999999</v>
      </c>
      <c r="G26" s="31">
        <v>2491542.2000000002</v>
      </c>
      <c r="H26" s="31">
        <v>7103976.8899999997</v>
      </c>
      <c r="I26" s="36">
        <v>25156786.219999999</v>
      </c>
      <c r="J26" s="36">
        <v>0</v>
      </c>
      <c r="K26" s="36">
        <v>602611.43000000005</v>
      </c>
      <c r="L26" s="37">
        <f t="shared" si="7"/>
        <v>24554174.789999999</v>
      </c>
      <c r="M26" s="31">
        <v>13876676.119999999</v>
      </c>
      <c r="N26" s="31">
        <v>2952083.67</v>
      </c>
      <c r="O26" s="31">
        <v>7725415</v>
      </c>
      <c r="P26" s="32">
        <f t="shared" si="2"/>
        <v>22.10655504</v>
      </c>
      <c r="Q26" s="32">
        <f t="shared" ref="Q26:V38" si="12">D26/1000000</f>
        <v>0</v>
      </c>
      <c r="R26" s="32">
        <f t="shared" si="12"/>
        <v>22.10655504</v>
      </c>
      <c r="S26" s="32">
        <f t="shared" si="12"/>
        <v>12.51103595</v>
      </c>
      <c r="T26" s="32">
        <f t="shared" si="12"/>
        <v>2.4915422</v>
      </c>
      <c r="U26" s="32">
        <f t="shared" si="12"/>
        <v>7.1039768899999993</v>
      </c>
      <c r="V26" s="32">
        <f t="shared" si="12"/>
        <v>25.156786219999997</v>
      </c>
      <c r="W26" s="32">
        <f t="shared" si="4"/>
        <v>0.60261143000000006</v>
      </c>
      <c r="X26" s="53">
        <f t="shared" si="4"/>
        <v>24.554174789999998</v>
      </c>
      <c r="Y26" s="32">
        <f t="shared" si="4"/>
        <v>13.876676119999999</v>
      </c>
      <c r="Z26" s="32">
        <f t="shared" si="4"/>
        <v>2.9520836699999999</v>
      </c>
      <c r="AA26" s="32">
        <f t="shared" si="4"/>
        <v>7.7254149999999999</v>
      </c>
      <c r="AB26" s="32">
        <f t="shared" si="11"/>
        <v>113.797858483517</v>
      </c>
      <c r="AC26" s="54" t="s">
        <v>30</v>
      </c>
      <c r="AD26" s="32">
        <f>X26/R26%</f>
        <v>111.07191846749178</v>
      </c>
      <c r="AE26" s="32">
        <f>Y26/S26%</f>
        <v>110.91548434084709</v>
      </c>
      <c r="AF26" s="54" t="s">
        <v>30</v>
      </c>
      <c r="AG26" s="34">
        <f>AA26/U26%</f>
        <v>108.74774960029467</v>
      </c>
      <c r="AH26" s="40">
        <f t="shared" si="8"/>
        <v>2.4476197499999977</v>
      </c>
      <c r="AI26" s="55">
        <f t="shared" si="9"/>
        <v>0</v>
      </c>
      <c r="AJ26" s="55">
        <f>AI26*1000</f>
        <v>0</v>
      </c>
    </row>
    <row r="27" spans="1:39" s="60" customFormat="1" hidden="1" x14ac:dyDescent="0.25">
      <c r="A27" s="56" t="s">
        <v>45</v>
      </c>
      <c r="B27" s="180">
        <v>1000</v>
      </c>
      <c r="C27" s="180">
        <v>0</v>
      </c>
      <c r="D27" s="180">
        <v>0</v>
      </c>
      <c r="E27" s="37">
        <f t="shared" si="6"/>
        <v>1000</v>
      </c>
      <c r="F27" s="180">
        <v>1000</v>
      </c>
      <c r="G27" s="180">
        <v>0</v>
      </c>
      <c r="H27" s="180">
        <v>0</v>
      </c>
      <c r="I27" s="180">
        <v>811200.43</v>
      </c>
      <c r="J27" s="180">
        <v>0</v>
      </c>
      <c r="K27" s="180">
        <v>568589.14</v>
      </c>
      <c r="L27" s="37">
        <f t="shared" si="7"/>
        <v>242611.28999999998</v>
      </c>
      <c r="M27" s="180">
        <v>4696.09</v>
      </c>
      <c r="N27" s="180">
        <v>-8342.48</v>
      </c>
      <c r="O27" s="180">
        <v>246257.68</v>
      </c>
      <c r="P27" s="57">
        <f t="shared" si="2"/>
        <v>1E-3</v>
      </c>
      <c r="Q27" s="57"/>
      <c r="R27" s="57">
        <f t="shared" si="12"/>
        <v>1E-3</v>
      </c>
      <c r="S27" s="57">
        <f t="shared" si="12"/>
        <v>1E-3</v>
      </c>
      <c r="T27" s="57"/>
      <c r="U27" s="57">
        <f>H27/1000000</f>
        <v>0</v>
      </c>
      <c r="V27" s="57">
        <f t="shared" si="12"/>
        <v>0.81120043000000008</v>
      </c>
      <c r="W27" s="57">
        <f t="shared" si="4"/>
        <v>0.56858914000000005</v>
      </c>
      <c r="X27" s="57">
        <f t="shared" si="4"/>
        <v>0.24261128999999998</v>
      </c>
      <c r="Y27" s="57">
        <f t="shared" si="4"/>
        <v>4.69609E-3</v>
      </c>
      <c r="Z27" s="57">
        <f t="shared" si="4"/>
        <v>-8.3424799999999993E-3</v>
      </c>
      <c r="AA27" s="57">
        <f t="shared" si="4"/>
        <v>0.24625768000000001</v>
      </c>
      <c r="AB27" s="57"/>
      <c r="AC27" s="57"/>
      <c r="AD27" s="57"/>
      <c r="AE27" s="57"/>
      <c r="AF27" s="57"/>
      <c r="AG27" s="58"/>
      <c r="AH27" s="181">
        <f t="shared" si="8"/>
        <v>0.24161128999999998</v>
      </c>
      <c r="AI27" s="59">
        <f t="shared" si="9"/>
        <v>0</v>
      </c>
      <c r="AJ27" s="60">
        <f>AI27*1000</f>
        <v>0</v>
      </c>
    </row>
    <row r="28" spans="1:39" s="66" customFormat="1" ht="26.4" hidden="1" x14ac:dyDescent="0.25">
      <c r="A28" s="43" t="s">
        <v>46</v>
      </c>
      <c r="B28" s="61"/>
      <c r="C28" s="61"/>
      <c r="D28" s="61"/>
      <c r="E28" s="62">
        <f>F28+G28+H28</f>
        <v>0</v>
      </c>
      <c r="F28" s="61"/>
      <c r="G28" s="61"/>
      <c r="H28" s="61"/>
      <c r="I28" s="61"/>
      <c r="J28" s="61"/>
      <c r="K28" s="61"/>
      <c r="L28" s="37">
        <f t="shared" si="7"/>
        <v>0</v>
      </c>
      <c r="M28" s="61"/>
      <c r="N28" s="61"/>
      <c r="O28" s="61"/>
      <c r="P28" s="32">
        <f t="shared" si="2"/>
        <v>0</v>
      </c>
      <c r="Q28" s="32">
        <f t="shared" ref="Q28:Q37" si="13">D28/1000000</f>
        <v>0</v>
      </c>
      <c r="R28" s="32">
        <f t="shared" si="12"/>
        <v>0</v>
      </c>
      <c r="S28" s="32">
        <f t="shared" si="12"/>
        <v>0</v>
      </c>
      <c r="T28" s="32">
        <f t="shared" si="12"/>
        <v>0</v>
      </c>
      <c r="U28" s="32">
        <f t="shared" si="12"/>
        <v>0</v>
      </c>
      <c r="V28" s="32">
        <f t="shared" si="12"/>
        <v>0</v>
      </c>
      <c r="W28" s="32">
        <f t="shared" si="4"/>
        <v>0</v>
      </c>
      <c r="X28" s="63">
        <f t="shared" si="4"/>
        <v>0</v>
      </c>
      <c r="Y28" s="32">
        <f t="shared" si="4"/>
        <v>0</v>
      </c>
      <c r="Z28" s="32">
        <f t="shared" si="4"/>
        <v>0</v>
      </c>
      <c r="AA28" s="63">
        <f t="shared" si="4"/>
        <v>0</v>
      </c>
      <c r="AB28" s="64" t="s">
        <v>30</v>
      </c>
      <c r="AC28" s="54" t="s">
        <v>30</v>
      </c>
      <c r="AD28" s="64" t="s">
        <v>30</v>
      </c>
      <c r="AE28" s="64" t="s">
        <v>30</v>
      </c>
      <c r="AF28" s="54" t="s">
        <v>30</v>
      </c>
      <c r="AG28" s="50" t="s">
        <v>30</v>
      </c>
      <c r="AH28" s="40">
        <f t="shared" si="8"/>
        <v>0</v>
      </c>
      <c r="AI28" s="65"/>
    </row>
    <row r="29" spans="1:39" s="42" customFormat="1" x14ac:dyDescent="0.25">
      <c r="A29" s="35" t="s">
        <v>47</v>
      </c>
      <c r="B29" s="36">
        <v>18293855661.459999</v>
      </c>
      <c r="C29" s="36">
        <v>22243629139.349998</v>
      </c>
      <c r="D29" s="36">
        <v>18361641709.060001</v>
      </c>
      <c r="E29" s="67">
        <f>F29+G29+H29-E132</f>
        <v>20860112662.079994</v>
      </c>
      <c r="F29" s="36">
        <v>10104748674.85</v>
      </c>
      <c r="G29" s="36">
        <v>10864865608.389999</v>
      </c>
      <c r="H29" s="36">
        <v>1206228808.51</v>
      </c>
      <c r="I29" s="36">
        <v>18059632663.119999</v>
      </c>
      <c r="J29" s="36">
        <v>21924965689.459999</v>
      </c>
      <c r="K29" s="36">
        <v>18128015292.279999</v>
      </c>
      <c r="L29" s="67">
        <f>M29+N29+O29-L132</f>
        <v>20613944733.020004</v>
      </c>
      <c r="M29" s="36">
        <v>9937327369.3700008</v>
      </c>
      <c r="N29" s="36">
        <v>10784257588.01</v>
      </c>
      <c r="O29" s="36">
        <v>1134998102.9200001</v>
      </c>
      <c r="P29" s="38">
        <f t="shared" si="2"/>
        <v>18293.855661459998</v>
      </c>
      <c r="Q29" s="38">
        <f t="shared" si="13"/>
        <v>18361.641709060001</v>
      </c>
      <c r="R29" s="38">
        <f t="shared" si="12"/>
        <v>20860.112662079995</v>
      </c>
      <c r="S29" s="38">
        <f t="shared" si="12"/>
        <v>10104.74867485</v>
      </c>
      <c r="T29" s="38">
        <f t="shared" si="12"/>
        <v>10864.865608389999</v>
      </c>
      <c r="U29" s="38">
        <f t="shared" si="12"/>
        <v>1206.2288085099999</v>
      </c>
      <c r="V29" s="38">
        <f t="shared" si="12"/>
        <v>18059.632663119999</v>
      </c>
      <c r="W29" s="38">
        <f t="shared" si="4"/>
        <v>18128.015292279997</v>
      </c>
      <c r="X29" s="38">
        <f t="shared" si="4"/>
        <v>20613.944733020006</v>
      </c>
      <c r="Y29" s="38">
        <f t="shared" si="4"/>
        <v>9937.3273693700012</v>
      </c>
      <c r="Z29" s="38">
        <f t="shared" si="4"/>
        <v>10784.257588009999</v>
      </c>
      <c r="AA29" s="38">
        <f t="shared" si="4"/>
        <v>1134.9981029200001</v>
      </c>
      <c r="AB29" s="38">
        <f t="shared" si="11"/>
        <v>98.719663024162585</v>
      </c>
      <c r="AC29" s="38">
        <f t="shared" si="11"/>
        <v>98.727638734695887</v>
      </c>
      <c r="AD29" s="38">
        <f t="shared" si="11"/>
        <v>98.819910836303961</v>
      </c>
      <c r="AE29" s="38">
        <f t="shared" si="11"/>
        <v>98.343142309944852</v>
      </c>
      <c r="AF29" s="38">
        <f t="shared" si="11"/>
        <v>99.258085435334294</v>
      </c>
      <c r="AG29" s="39">
        <f t="shared" si="11"/>
        <v>94.094760041588799</v>
      </c>
      <c r="AH29" s="40"/>
      <c r="AI29" s="68">
        <f>V29-W29-X29</f>
        <v>-20682.327362180004</v>
      </c>
      <c r="AJ29" s="42">
        <f>AI29*1000</f>
        <v>-20682327.362180002</v>
      </c>
    </row>
    <row r="30" spans="1:39" s="77" customFormat="1" hidden="1" x14ac:dyDescent="0.25">
      <c r="A30" s="69" t="s">
        <v>48</v>
      </c>
      <c r="B30" s="70"/>
      <c r="C30" s="70"/>
      <c r="D30" s="70"/>
      <c r="E30" s="71"/>
      <c r="F30" s="70"/>
      <c r="G30" s="70"/>
      <c r="H30" s="70"/>
      <c r="I30" s="72"/>
      <c r="J30" s="72"/>
      <c r="K30" s="72"/>
      <c r="L30" s="71"/>
      <c r="M30" s="70"/>
      <c r="N30" s="70"/>
      <c r="O30" s="70"/>
      <c r="P30" s="63">
        <f>B30/1000000</f>
        <v>0</v>
      </c>
      <c r="Q30" s="63">
        <f t="shared" si="13"/>
        <v>0</v>
      </c>
      <c r="R30" s="63">
        <f>E30/1000000</f>
        <v>0</v>
      </c>
      <c r="S30" s="63">
        <f>F30/1000000</f>
        <v>0</v>
      </c>
      <c r="T30" s="63">
        <f>G30/1000000</f>
        <v>0</v>
      </c>
      <c r="U30" s="63">
        <f>H30/1000000</f>
        <v>0</v>
      </c>
      <c r="V30" s="63">
        <f>I30/1000000</f>
        <v>0</v>
      </c>
      <c r="W30" s="63">
        <f>K30/1000000</f>
        <v>0</v>
      </c>
      <c r="X30" s="63">
        <f>L30/1000000</f>
        <v>0</v>
      </c>
      <c r="Y30" s="63">
        <f>M30/1000000</f>
        <v>0</v>
      </c>
      <c r="Z30" s="63">
        <f>N30/1000000</f>
        <v>0</v>
      </c>
      <c r="AA30" s="63">
        <f>O30/1000000</f>
        <v>0</v>
      </c>
      <c r="AB30" s="64" t="s">
        <v>30</v>
      </c>
      <c r="AC30" s="64" t="s">
        <v>30</v>
      </c>
      <c r="AD30" s="64" t="s">
        <v>30</v>
      </c>
      <c r="AE30" s="64" t="s">
        <v>30</v>
      </c>
      <c r="AF30" s="64" t="s">
        <v>30</v>
      </c>
      <c r="AG30" s="73" t="s">
        <v>30</v>
      </c>
      <c r="AH30" s="74"/>
      <c r="AI30" s="75"/>
      <c r="AJ30" s="76"/>
    </row>
    <row r="31" spans="1:39" x14ac:dyDescent="0.25">
      <c r="A31" s="43" t="s">
        <v>49</v>
      </c>
      <c r="B31" s="31">
        <v>17480874749.27</v>
      </c>
      <c r="C31" s="31">
        <v>22243629139.349998</v>
      </c>
      <c r="D31" s="31">
        <v>17480874749.27</v>
      </c>
      <c r="E31" s="78">
        <f>F31+G31+H31-G132-H132</f>
        <v>20927898709.68</v>
      </c>
      <c r="F31" s="51">
        <v>10152706117.52</v>
      </c>
      <c r="G31" s="51">
        <v>10870461918.73</v>
      </c>
      <c r="H31" s="51">
        <v>1220461103.0999999</v>
      </c>
      <c r="I31" s="36">
        <v>17291321825.66</v>
      </c>
      <c r="J31" s="36">
        <v>21924965689.459999</v>
      </c>
      <c r="K31" s="36">
        <v>17291321825.66</v>
      </c>
      <c r="L31" s="78">
        <f>M31+N31+O31-N132-O132</f>
        <v>20682327362.179996</v>
      </c>
      <c r="M31" s="31">
        <v>9985312157.8700008</v>
      </c>
      <c r="N31" s="31">
        <v>10791213917.83</v>
      </c>
      <c r="O31" s="31">
        <v>1148439613.76</v>
      </c>
      <c r="P31" s="32">
        <f t="shared" si="2"/>
        <v>17480.874749270002</v>
      </c>
      <c r="Q31" s="32">
        <f t="shared" si="13"/>
        <v>17480.874749270002</v>
      </c>
      <c r="R31" s="32">
        <f t="shared" si="12"/>
        <v>20927.898709680001</v>
      </c>
      <c r="S31" s="32">
        <f t="shared" si="12"/>
        <v>10152.70611752</v>
      </c>
      <c r="T31" s="32">
        <f t="shared" si="12"/>
        <v>10870.46191873</v>
      </c>
      <c r="U31" s="32">
        <f t="shared" si="12"/>
        <v>1220.4611030999999</v>
      </c>
      <c r="V31" s="32">
        <f t="shared" si="12"/>
        <v>17291.321825660001</v>
      </c>
      <c r="W31" s="32">
        <f t="shared" si="4"/>
        <v>17291.321825660001</v>
      </c>
      <c r="X31" s="32">
        <f t="shared" si="4"/>
        <v>20682.327362179996</v>
      </c>
      <c r="Y31" s="32">
        <f t="shared" si="4"/>
        <v>9985.3121578700011</v>
      </c>
      <c r="Z31" s="32">
        <f t="shared" si="4"/>
        <v>10791.21391783</v>
      </c>
      <c r="AA31" s="32">
        <f t="shared" si="4"/>
        <v>1148.4396137599999</v>
      </c>
      <c r="AB31" s="32">
        <f t="shared" si="11"/>
        <v>98.915655387223012</v>
      </c>
      <c r="AC31" s="32">
        <f t="shared" si="11"/>
        <v>98.915655387223012</v>
      </c>
      <c r="AD31" s="32">
        <f t="shared" si="11"/>
        <v>98.826583830002875</v>
      </c>
      <c r="AE31" s="32">
        <f t="shared" si="11"/>
        <v>98.351238007755029</v>
      </c>
      <c r="AF31" s="32">
        <f t="shared" si="11"/>
        <v>99.270978533456301</v>
      </c>
      <c r="AG31" s="34">
        <f t="shared" si="11"/>
        <v>94.098829601610106</v>
      </c>
      <c r="AH31" s="30"/>
      <c r="AI31" s="7">
        <f>V31-W31-X31</f>
        <v>-20682.327362179996</v>
      </c>
      <c r="AJ31" s="3">
        <f>AI31*1000</f>
        <v>-20682327.362179995</v>
      </c>
      <c r="AK31" s="2">
        <f>AJ31-J31</f>
        <v>-21945648016.822178</v>
      </c>
    </row>
    <row r="32" spans="1:39" ht="26.4" x14ac:dyDescent="0.25">
      <c r="A32" s="43" t="s">
        <v>50</v>
      </c>
      <c r="B32" s="31">
        <v>786143246.17999995</v>
      </c>
      <c r="C32" s="31">
        <v>0</v>
      </c>
      <c r="D32" s="31">
        <v>786043246.17999995</v>
      </c>
      <c r="E32" s="78">
        <f>F32+G32+H32</f>
        <v>100000</v>
      </c>
      <c r="F32" s="51">
        <v>0</v>
      </c>
      <c r="G32" s="51">
        <v>0</v>
      </c>
      <c r="H32" s="51">
        <v>100000</v>
      </c>
      <c r="I32" s="36">
        <v>693435912.91999996</v>
      </c>
      <c r="J32" s="36">
        <v>0</v>
      </c>
      <c r="K32" s="36">
        <v>693335912.91999996</v>
      </c>
      <c r="L32" s="78">
        <f>M32+N32+O32</f>
        <v>100000</v>
      </c>
      <c r="M32" s="31">
        <v>0</v>
      </c>
      <c r="N32" s="31">
        <v>0</v>
      </c>
      <c r="O32" s="31">
        <v>100000</v>
      </c>
      <c r="P32" s="32">
        <f>B32/1000000</f>
        <v>786.14324617999989</v>
      </c>
      <c r="Q32" s="32">
        <f t="shared" si="13"/>
        <v>786.04324617999998</v>
      </c>
      <c r="R32" s="32">
        <f t="shared" si="12"/>
        <v>0.1</v>
      </c>
      <c r="S32" s="32">
        <f t="shared" si="12"/>
        <v>0</v>
      </c>
      <c r="T32" s="32">
        <f t="shared" si="12"/>
        <v>0</v>
      </c>
      <c r="U32" s="32">
        <f t="shared" si="12"/>
        <v>0.1</v>
      </c>
      <c r="V32" s="32">
        <f t="shared" si="12"/>
        <v>693.43591291999996</v>
      </c>
      <c r="W32" s="32">
        <f t="shared" si="4"/>
        <v>693.33591291999994</v>
      </c>
      <c r="X32" s="32">
        <f t="shared" si="4"/>
        <v>0.1</v>
      </c>
      <c r="Y32" s="32">
        <f t="shared" si="4"/>
        <v>0</v>
      </c>
      <c r="Z32" s="32">
        <f t="shared" si="4"/>
        <v>0</v>
      </c>
      <c r="AA32" s="32">
        <f t="shared" si="4"/>
        <v>0.1</v>
      </c>
      <c r="AB32" s="32">
        <f>V32/P32%</f>
        <v>88.207323066059502</v>
      </c>
      <c r="AC32" s="32">
        <f>W32/Q32%</f>
        <v>88.205822808027733</v>
      </c>
      <c r="AD32" s="54" t="s">
        <v>30</v>
      </c>
      <c r="AE32" s="54" t="s">
        <v>30</v>
      </c>
      <c r="AF32" s="54" t="s">
        <v>30</v>
      </c>
      <c r="AG32" s="34">
        <f t="shared" si="11"/>
        <v>100</v>
      </c>
      <c r="AH32" s="30"/>
      <c r="AI32" s="7">
        <f>V32-W32-X32</f>
        <v>2.273181642920008E-14</v>
      </c>
      <c r="AJ32" s="3">
        <f t="shared" ref="AJ32:AJ38" si="14">AI32*1000</f>
        <v>2.273181642920008E-11</v>
      </c>
    </row>
    <row r="33" spans="1:37" s="79" customFormat="1" ht="26.4" x14ac:dyDescent="0.25">
      <c r="A33" s="43" t="s">
        <v>51</v>
      </c>
      <c r="B33" s="31">
        <v>2817058.45</v>
      </c>
      <c r="C33" s="31">
        <v>0</v>
      </c>
      <c r="D33" s="31">
        <v>965000</v>
      </c>
      <c r="E33" s="78">
        <f>F33+G33+H33</f>
        <v>1852058.45</v>
      </c>
      <c r="F33" s="51">
        <v>0</v>
      </c>
      <c r="G33" s="51">
        <v>1066400</v>
      </c>
      <c r="H33" s="51">
        <v>785658.45</v>
      </c>
      <c r="I33" s="31">
        <v>2817058.45</v>
      </c>
      <c r="J33" s="31">
        <v>0</v>
      </c>
      <c r="K33" s="31">
        <v>965000</v>
      </c>
      <c r="L33" s="78">
        <f>M33+N33+O33</f>
        <v>1852058.45</v>
      </c>
      <c r="M33" s="31">
        <v>0</v>
      </c>
      <c r="N33" s="31">
        <v>1066400</v>
      </c>
      <c r="O33" s="31">
        <v>785658.45</v>
      </c>
      <c r="P33" s="33">
        <f>B33/1000000</f>
        <v>2.8170584500000002</v>
      </c>
      <c r="Q33" s="33">
        <f t="shared" si="13"/>
        <v>0.96499999999999997</v>
      </c>
      <c r="R33" s="33">
        <f>E33/1000000</f>
        <v>1.8520584499999999</v>
      </c>
      <c r="S33" s="33">
        <f>F33/1000000</f>
        <v>0</v>
      </c>
      <c r="T33" s="33">
        <f>G33/1000000</f>
        <v>1.0664</v>
      </c>
      <c r="U33" s="33">
        <f>H33/1000000</f>
        <v>0.78565845000000001</v>
      </c>
      <c r="V33" s="33">
        <f>I33/1000000</f>
        <v>2.8170584500000002</v>
      </c>
      <c r="W33" s="33">
        <f t="shared" si="4"/>
        <v>0.96499999999999997</v>
      </c>
      <c r="X33" s="33">
        <f t="shared" si="4"/>
        <v>1.8520584499999999</v>
      </c>
      <c r="Y33" s="33">
        <f t="shared" si="4"/>
        <v>0</v>
      </c>
      <c r="Z33" s="33">
        <f t="shared" si="4"/>
        <v>1.0664</v>
      </c>
      <c r="AA33" s="33">
        <f t="shared" si="4"/>
        <v>0.78565845000000001</v>
      </c>
      <c r="AB33" s="33">
        <f>V33/P33%</f>
        <v>100</v>
      </c>
      <c r="AC33" s="54" t="s">
        <v>30</v>
      </c>
      <c r="AD33" s="33">
        <f>X33/R33%</f>
        <v>100</v>
      </c>
      <c r="AE33" s="54" t="s">
        <v>30</v>
      </c>
      <c r="AF33" s="32">
        <f>Z33/T33%</f>
        <v>100</v>
      </c>
      <c r="AG33" s="50" t="s">
        <v>30</v>
      </c>
      <c r="AH33" s="30"/>
      <c r="AI33" s="7">
        <f>V33-W33-X33</f>
        <v>0</v>
      </c>
      <c r="AJ33" s="3">
        <f t="shared" si="14"/>
        <v>0</v>
      </c>
    </row>
    <row r="34" spans="1:37" x14ac:dyDescent="0.25">
      <c r="A34" s="43" t="s">
        <v>52</v>
      </c>
      <c r="B34" s="31">
        <v>115488569.94</v>
      </c>
      <c r="C34" s="31">
        <v>0</v>
      </c>
      <c r="D34" s="31">
        <v>54538100</v>
      </c>
      <c r="E34" s="78">
        <f>F34+G34+H34</f>
        <v>60950469.939999998</v>
      </c>
      <c r="F34" s="31">
        <v>20687527.489999998</v>
      </c>
      <c r="G34" s="31">
        <v>27830973</v>
      </c>
      <c r="H34" s="31">
        <v>12431969.449999999</v>
      </c>
      <c r="I34" s="51">
        <v>116882747.77</v>
      </c>
      <c r="J34" s="51">
        <v>0</v>
      </c>
      <c r="K34" s="51">
        <v>54538100</v>
      </c>
      <c r="L34" s="78">
        <f>M34+N34+O34</f>
        <v>62344647.769999996</v>
      </c>
      <c r="M34" s="51">
        <v>20624932.449999999</v>
      </c>
      <c r="N34" s="51">
        <v>28496962.120000001</v>
      </c>
      <c r="O34" s="51">
        <v>13222753.199999999</v>
      </c>
      <c r="P34" s="32">
        <f t="shared" si="2"/>
        <v>115.48856993999999</v>
      </c>
      <c r="Q34" s="32">
        <f t="shared" si="13"/>
        <v>54.5381</v>
      </c>
      <c r="R34" s="32">
        <f t="shared" si="12"/>
        <v>60.950469939999998</v>
      </c>
      <c r="S34" s="32">
        <f t="shared" si="12"/>
        <v>20.687527489999997</v>
      </c>
      <c r="T34" s="32">
        <f t="shared" si="12"/>
        <v>27.830973</v>
      </c>
      <c r="U34" s="32">
        <f t="shared" si="12"/>
        <v>12.431969449999999</v>
      </c>
      <c r="V34" s="32">
        <f t="shared" si="12"/>
        <v>116.88274776999999</v>
      </c>
      <c r="W34" s="32">
        <f t="shared" si="4"/>
        <v>54.5381</v>
      </c>
      <c r="X34" s="32">
        <f t="shared" si="4"/>
        <v>62.344647769999995</v>
      </c>
      <c r="Y34" s="32">
        <f t="shared" si="4"/>
        <v>20.624932449999999</v>
      </c>
      <c r="Z34" s="32">
        <f t="shared" si="4"/>
        <v>28.496962120000003</v>
      </c>
      <c r="AA34" s="32">
        <f t="shared" si="4"/>
        <v>13.2227532</v>
      </c>
      <c r="AB34" s="32">
        <f t="shared" si="11"/>
        <v>101.20719983867177</v>
      </c>
      <c r="AC34" s="32">
        <f>W34/Q34%</f>
        <v>100</v>
      </c>
      <c r="AD34" s="32">
        <f>X34/R34%</f>
        <v>102.28739471799386</v>
      </c>
      <c r="AE34" s="32">
        <f>Y34/S34%</f>
        <v>99.697426190586313</v>
      </c>
      <c r="AF34" s="32">
        <f>Z34/T34%</f>
        <v>102.39297821172119</v>
      </c>
      <c r="AG34" s="34">
        <f>AA34/U34%</f>
        <v>106.36088878098073</v>
      </c>
      <c r="AH34" s="30"/>
      <c r="AI34" s="7">
        <f t="shared" si="9"/>
        <v>0</v>
      </c>
      <c r="AJ34" s="3">
        <f t="shared" si="14"/>
        <v>0</v>
      </c>
    </row>
    <row r="35" spans="1:37" ht="79.2" hidden="1" x14ac:dyDescent="0.25">
      <c r="A35" s="43" t="s">
        <v>53</v>
      </c>
      <c r="B35" s="31"/>
      <c r="C35" s="31"/>
      <c r="D35" s="31"/>
      <c r="E35" s="78"/>
      <c r="F35" s="31"/>
      <c r="G35" s="31"/>
      <c r="H35" s="31"/>
      <c r="I35" s="51"/>
      <c r="J35" s="51"/>
      <c r="K35" s="51"/>
      <c r="L35" s="78"/>
      <c r="M35" s="51"/>
      <c r="N35" s="51"/>
      <c r="O35" s="51"/>
      <c r="P35" s="32">
        <f t="shared" si="2"/>
        <v>0</v>
      </c>
      <c r="Q35" s="32">
        <f t="shared" si="13"/>
        <v>0</v>
      </c>
      <c r="R35" s="32">
        <f t="shared" si="12"/>
        <v>0</v>
      </c>
      <c r="S35" s="32">
        <f t="shared" si="12"/>
        <v>0</v>
      </c>
      <c r="T35" s="32">
        <f t="shared" si="12"/>
        <v>0</v>
      </c>
      <c r="U35" s="32">
        <f t="shared" si="12"/>
        <v>0</v>
      </c>
      <c r="V35" s="32">
        <f t="shared" si="12"/>
        <v>0</v>
      </c>
      <c r="W35" s="32">
        <f t="shared" si="4"/>
        <v>0</v>
      </c>
      <c r="X35" s="32">
        <f t="shared" si="4"/>
        <v>0</v>
      </c>
      <c r="Y35" s="32">
        <f t="shared" si="4"/>
        <v>0</v>
      </c>
      <c r="Z35" s="32">
        <f t="shared" si="4"/>
        <v>0</v>
      </c>
      <c r="AA35" s="32">
        <f t="shared" si="4"/>
        <v>0</v>
      </c>
      <c r="AB35" s="54" t="s">
        <v>30</v>
      </c>
      <c r="AC35" s="54" t="s">
        <v>30</v>
      </c>
      <c r="AD35" s="54" t="s">
        <v>30</v>
      </c>
      <c r="AE35" s="54" t="s">
        <v>30</v>
      </c>
      <c r="AF35" s="54" t="s">
        <v>30</v>
      </c>
      <c r="AG35" s="50" t="s">
        <v>30</v>
      </c>
      <c r="AH35" s="80"/>
      <c r="AI35" s="7"/>
      <c r="AK35" s="3">
        <f>(Q29-Q36-Q37)*1000</f>
        <v>18322421.095449999</v>
      </c>
    </row>
    <row r="36" spans="1:37" ht="26.4" x14ac:dyDescent="0.25">
      <c r="A36" s="43" t="s">
        <v>54</v>
      </c>
      <c r="B36" s="31">
        <v>24729462.41</v>
      </c>
      <c r="C36" s="31">
        <v>154743599.91999999</v>
      </c>
      <c r="D36" s="31">
        <v>145544711.66999999</v>
      </c>
      <c r="E36" s="78">
        <f>F36+G36+H36+H37</f>
        <v>6180392.6299999952</v>
      </c>
      <c r="F36" s="31">
        <v>5940319.5099999998</v>
      </c>
      <c r="G36" s="31">
        <v>27789995.609999999</v>
      </c>
      <c r="H36" s="31">
        <v>198035.54</v>
      </c>
      <c r="I36" s="31">
        <v>27140746.379999999</v>
      </c>
      <c r="J36" s="31">
        <v>166656675.12</v>
      </c>
      <c r="K36" s="31">
        <v>159820081.75999999</v>
      </c>
      <c r="L36" s="78">
        <f>M36+N36+O36+O37</f>
        <v>6229381.7100000009</v>
      </c>
      <c r="M36" s="31">
        <v>5984616.5899999999</v>
      </c>
      <c r="N36" s="31">
        <v>27794687.609999999</v>
      </c>
      <c r="O36" s="31">
        <v>198035.54</v>
      </c>
      <c r="P36" s="32">
        <f t="shared" si="2"/>
        <v>24.72946241</v>
      </c>
      <c r="Q36" s="32">
        <f t="shared" si="13"/>
        <v>145.54471167</v>
      </c>
      <c r="R36" s="32">
        <f t="shared" si="12"/>
        <v>6.1803926299999956</v>
      </c>
      <c r="S36" s="32">
        <f t="shared" si="12"/>
        <v>5.9403195100000001</v>
      </c>
      <c r="T36" s="32">
        <f t="shared" si="12"/>
        <v>27.789995609999998</v>
      </c>
      <c r="U36" s="32">
        <f t="shared" si="12"/>
        <v>0.19803554000000001</v>
      </c>
      <c r="V36" s="32">
        <f t="shared" si="12"/>
        <v>27.14074638</v>
      </c>
      <c r="W36" s="32">
        <f t="shared" si="4"/>
        <v>159.82008175999999</v>
      </c>
      <c r="X36" s="32">
        <f t="shared" si="4"/>
        <v>6.2293817100000011</v>
      </c>
      <c r="Y36" s="32">
        <f t="shared" si="4"/>
        <v>5.9846165899999999</v>
      </c>
      <c r="Z36" s="32">
        <f t="shared" si="4"/>
        <v>27.79468761</v>
      </c>
      <c r="AA36" s="32">
        <f t="shared" si="4"/>
        <v>0.19803554000000001</v>
      </c>
      <c r="AB36" s="32">
        <f t="shared" si="11"/>
        <v>109.75065260223747</v>
      </c>
      <c r="AC36" s="32">
        <f t="shared" si="11"/>
        <v>109.80823688212539</v>
      </c>
      <c r="AD36" s="32">
        <f>X36/R36%</f>
        <v>100.79265320074018</v>
      </c>
      <c r="AE36" s="32">
        <f>Y36/S36%</f>
        <v>100.74570197655916</v>
      </c>
      <c r="AF36" s="32">
        <f>Z36/T36%</f>
        <v>100.01688377380785</v>
      </c>
      <c r="AG36" s="34">
        <f>AA36/U36%</f>
        <v>100</v>
      </c>
      <c r="AH36" s="30"/>
      <c r="AI36" s="7">
        <f t="shared" si="9"/>
        <v>-138.90871709000001</v>
      </c>
      <c r="AJ36" s="3">
        <f t="shared" si="14"/>
        <v>-138908.71709000002</v>
      </c>
    </row>
    <row r="37" spans="1:37" x14ac:dyDescent="0.25">
      <c r="A37" s="43" t="s">
        <v>55</v>
      </c>
      <c r="B37" s="31">
        <v>-116197424.79000001</v>
      </c>
      <c r="C37" s="31">
        <v>-154743599.91999999</v>
      </c>
      <c r="D37" s="31">
        <v>-106324098.06</v>
      </c>
      <c r="E37" s="78">
        <f>F37+G37</f>
        <v>-136868968.62</v>
      </c>
      <c r="F37" s="31">
        <v>-74585289.670000002</v>
      </c>
      <c r="G37" s="31">
        <v>-62283678.950000003</v>
      </c>
      <c r="H37" s="31">
        <v>-27747958.030000001</v>
      </c>
      <c r="I37" s="31">
        <v>-71965628.060000002</v>
      </c>
      <c r="J37" s="31">
        <v>-166656675.12</v>
      </c>
      <c r="K37" s="31">
        <v>-71965628.060000002</v>
      </c>
      <c r="L37" s="78">
        <f>M37+N37</f>
        <v>-138908717.09</v>
      </c>
      <c r="M37" s="31">
        <v>-74594337.540000007</v>
      </c>
      <c r="N37" s="31">
        <v>-64314379.549999997</v>
      </c>
      <c r="O37" s="31">
        <v>-27747958.030000001</v>
      </c>
      <c r="P37" s="32">
        <f t="shared" si="2"/>
        <v>-116.19742479</v>
      </c>
      <c r="Q37" s="32">
        <f t="shared" si="13"/>
        <v>-106.32409806</v>
      </c>
      <c r="R37" s="32">
        <f t="shared" si="12"/>
        <v>-136.86896862</v>
      </c>
      <c r="S37" s="32">
        <f t="shared" si="12"/>
        <v>-74.585289670000009</v>
      </c>
      <c r="T37" s="32">
        <f t="shared" si="12"/>
        <v>-62.283678950000002</v>
      </c>
      <c r="U37" s="32">
        <f t="shared" si="12"/>
        <v>-27.747958029999999</v>
      </c>
      <c r="V37" s="32">
        <f t="shared" si="12"/>
        <v>-71.96562806</v>
      </c>
      <c r="W37" s="32">
        <f t="shared" si="4"/>
        <v>-71.96562806</v>
      </c>
      <c r="X37" s="32">
        <f t="shared" si="4"/>
        <v>-138.90871709000001</v>
      </c>
      <c r="Y37" s="32">
        <f t="shared" si="4"/>
        <v>-74.594337540000012</v>
      </c>
      <c r="Z37" s="32">
        <f t="shared" si="4"/>
        <v>-64.314379549999998</v>
      </c>
      <c r="AA37" s="32">
        <f t="shared" si="4"/>
        <v>-27.747958029999999</v>
      </c>
      <c r="AB37" s="32">
        <f t="shared" si="11"/>
        <v>61.933926840514111</v>
      </c>
      <c r="AC37" s="32">
        <f t="shared" si="11"/>
        <v>67.68515263528397</v>
      </c>
      <c r="AD37" s="32">
        <f t="shared" si="11"/>
        <v>101.49029286226532</v>
      </c>
      <c r="AE37" s="32">
        <f t="shared" si="11"/>
        <v>100.01213090415018</v>
      </c>
      <c r="AF37" s="32">
        <f t="shared" si="11"/>
        <v>103.26040567004753</v>
      </c>
      <c r="AG37" s="34">
        <f t="shared" si="11"/>
        <v>100.00000000000001</v>
      </c>
      <c r="AH37" s="30"/>
      <c r="AI37" s="7">
        <f t="shared" si="9"/>
        <v>138.90871709000001</v>
      </c>
      <c r="AJ37" s="3">
        <f t="shared" si="14"/>
        <v>138908.71709000002</v>
      </c>
    </row>
    <row r="38" spans="1:37" s="42" customFormat="1" x14ac:dyDescent="0.25">
      <c r="A38" s="121" t="s">
        <v>56</v>
      </c>
      <c r="B38" s="81">
        <f>B12+B13+B14+B15+B16+B17+B18+B19+B20+B21+B22+B23+B24+B25+B26+B28+B29</f>
        <v>82207101438.519989</v>
      </c>
      <c r="C38" s="81">
        <f t="shared" ref="C38:D38" si="15">C12+C13+C14+C15+C16+C17+C18+C19+C20+C21+C22+C23+C24+C25+C26+C29</f>
        <v>22244340606.019997</v>
      </c>
      <c r="D38" s="81">
        <f t="shared" si="15"/>
        <v>68868338752.410004</v>
      </c>
      <c r="E38" s="81">
        <f>E12+E13+E14+E15+E16+E17+E18+E19+E20+E21+E22+E23+E24+E25+E26+E28+E29</f>
        <v>34267372862.459995</v>
      </c>
      <c r="F38" s="81">
        <f t="shared" ref="F38:O38" si="16">F12+F13+F14+F15+F16+F17+F18+F19+F20+F21+F22+F23+F24+F25+F26+F28+F29</f>
        <v>19854501596.510002</v>
      </c>
      <c r="G38" s="81">
        <f t="shared" si="16"/>
        <v>13557288403.24</v>
      </c>
      <c r="H38" s="81">
        <f t="shared" si="16"/>
        <v>2171313292.3800001</v>
      </c>
      <c r="I38" s="81">
        <f t="shared" si="16"/>
        <v>83409243410.990005</v>
      </c>
      <c r="J38" s="81">
        <f t="shared" si="16"/>
        <v>21925677156.129997</v>
      </c>
      <c r="K38" s="81">
        <f t="shared" si="16"/>
        <v>69875553229.889999</v>
      </c>
      <c r="L38" s="81">
        <f t="shared" si="16"/>
        <v>34216729009.950005</v>
      </c>
      <c r="M38" s="81">
        <f t="shared" si="16"/>
        <v>19830245870.980003</v>
      </c>
      <c r="N38" s="81">
        <f t="shared" si="16"/>
        <v>13510084987.18</v>
      </c>
      <c r="O38" s="81">
        <f t="shared" si="16"/>
        <v>2119036479.0700002</v>
      </c>
      <c r="P38" s="82">
        <f t="shared" si="2"/>
        <v>82207.101438519996</v>
      </c>
      <c r="Q38" s="82">
        <f>D38/1000000</f>
        <v>68868.338752410011</v>
      </c>
      <c r="R38" s="82">
        <f t="shared" si="12"/>
        <v>34267.372862459997</v>
      </c>
      <c r="S38" s="82">
        <f t="shared" si="12"/>
        <v>19854.501596510003</v>
      </c>
      <c r="T38" s="82">
        <f t="shared" si="12"/>
        <v>13557.28840324</v>
      </c>
      <c r="U38" s="82">
        <f t="shared" si="12"/>
        <v>2171.3132923799999</v>
      </c>
      <c r="V38" s="82">
        <f t="shared" si="12"/>
        <v>83409.243410990006</v>
      </c>
      <c r="W38" s="82">
        <f>K38/1000000</f>
        <v>69875.553229889993</v>
      </c>
      <c r="X38" s="82">
        <f t="shared" si="4"/>
        <v>34216.729009950002</v>
      </c>
      <c r="Y38" s="82">
        <f t="shared" si="4"/>
        <v>19830.245870980005</v>
      </c>
      <c r="Z38" s="82">
        <f t="shared" si="4"/>
        <v>13510.08498718</v>
      </c>
      <c r="AA38" s="82">
        <f t="shared" si="4"/>
        <v>2119.03647907</v>
      </c>
      <c r="AB38" s="82">
        <f t="shared" si="11"/>
        <v>101.4623334863218</v>
      </c>
      <c r="AC38" s="82">
        <f>W38/Q38%</f>
        <v>101.46252181441611</v>
      </c>
      <c r="AD38" s="82">
        <f t="shared" si="11"/>
        <v>99.852209701883879</v>
      </c>
      <c r="AE38" s="82">
        <f t="shared" si="11"/>
        <v>99.877832614371641</v>
      </c>
      <c r="AF38" s="82">
        <f t="shared" si="11"/>
        <v>99.651822586818184</v>
      </c>
      <c r="AG38" s="83">
        <f t="shared" si="11"/>
        <v>97.592387358680114</v>
      </c>
      <c r="AH38" s="84"/>
      <c r="AI38" s="7">
        <f>V38-W38-X38</f>
        <v>-20683.038828849989</v>
      </c>
      <c r="AJ38" s="3">
        <f t="shared" si="14"/>
        <v>-20683038.82884999</v>
      </c>
      <c r="AK38" s="42">
        <f>V38-P38</f>
        <v>1202.1419724700099</v>
      </c>
    </row>
    <row r="39" spans="1:37" s="42" customFormat="1" x14ac:dyDescent="0.25">
      <c r="A39" s="121" t="s">
        <v>57</v>
      </c>
      <c r="B39" s="85">
        <f>+B12+B13+B14+B15+B16+B17+B18+B19</f>
        <v>60524729950.459991</v>
      </c>
      <c r="C39" s="85">
        <f t="shared" ref="C39:AA39" si="17">+C12+C13+C14+C15+C16+C17+C18+C19</f>
        <v>0</v>
      </c>
      <c r="D39" s="85">
        <f t="shared" si="17"/>
        <v>49334463200</v>
      </c>
      <c r="E39" s="85">
        <f t="shared" si="17"/>
        <v>11190266750.459999</v>
      </c>
      <c r="F39" s="85">
        <f t="shared" si="17"/>
        <v>8288309096.8800001</v>
      </c>
      <c r="G39" s="85">
        <f t="shared" si="17"/>
        <v>2204038677.4899998</v>
      </c>
      <c r="H39" s="85">
        <f t="shared" si="17"/>
        <v>697918976.09000003</v>
      </c>
      <c r="I39" s="85">
        <f t="shared" si="17"/>
        <v>61759857958.720001</v>
      </c>
      <c r="J39" s="85">
        <f t="shared" si="17"/>
        <v>0</v>
      </c>
      <c r="K39" s="85">
        <f t="shared" si="17"/>
        <v>50540789764.68</v>
      </c>
      <c r="L39" s="85">
        <f t="shared" si="17"/>
        <v>11219068194.039999</v>
      </c>
      <c r="M39" s="85">
        <f t="shared" si="17"/>
        <v>8251689214.0100002</v>
      </c>
      <c r="N39" s="85">
        <f t="shared" si="17"/>
        <v>2243857957.6100001</v>
      </c>
      <c r="O39" s="85">
        <f t="shared" si="17"/>
        <v>723521022.41999996</v>
      </c>
      <c r="P39" s="304">
        <f t="shared" si="17"/>
        <v>60524.729950459994</v>
      </c>
      <c r="Q39" s="304">
        <f t="shared" si="17"/>
        <v>49334.463200000006</v>
      </c>
      <c r="R39" s="304">
        <f t="shared" si="17"/>
        <v>11190.266750459999</v>
      </c>
      <c r="S39" s="304">
        <f t="shared" si="17"/>
        <v>8288.3090968800007</v>
      </c>
      <c r="T39" s="304">
        <f t="shared" si="17"/>
        <v>2204.0386774900003</v>
      </c>
      <c r="U39" s="304">
        <f t="shared" si="17"/>
        <v>697.91897609</v>
      </c>
      <c r="V39" s="304">
        <f t="shared" si="17"/>
        <v>61759.85795872</v>
      </c>
      <c r="W39" s="304">
        <f t="shared" si="17"/>
        <v>50540.789764679997</v>
      </c>
      <c r="X39" s="304">
        <f t="shared" si="17"/>
        <v>11219.068194039999</v>
      </c>
      <c r="Y39" s="304">
        <f t="shared" si="17"/>
        <v>8251.6892140100008</v>
      </c>
      <c r="Z39" s="304">
        <f t="shared" si="17"/>
        <v>2243.8579576100001</v>
      </c>
      <c r="AA39" s="304">
        <f t="shared" si="17"/>
        <v>723.52102241999989</v>
      </c>
      <c r="AB39" s="82">
        <f t="shared" ref="AB39:AG40" si="18">V39/P39%</f>
        <v>102.04069974252008</v>
      </c>
      <c r="AC39" s="82">
        <f t="shared" si="18"/>
        <v>102.4452005483258</v>
      </c>
      <c r="AD39" s="82">
        <f t="shared" si="18"/>
        <v>100.25737941929593</v>
      </c>
      <c r="AE39" s="82">
        <f t="shared" si="18"/>
        <v>99.558174261577861</v>
      </c>
      <c r="AF39" s="82">
        <f t="shared" si="18"/>
        <v>101.80665069659062</v>
      </c>
      <c r="AG39" s="83">
        <f t="shared" si="18"/>
        <v>103.66834076835566</v>
      </c>
      <c r="AH39" s="84"/>
      <c r="AI39" s="7"/>
      <c r="AJ39" s="3"/>
    </row>
    <row r="40" spans="1:37" s="42" customFormat="1" ht="13.8" thickBot="1" x14ac:dyDescent="0.3">
      <c r="A40" s="137" t="s">
        <v>58</v>
      </c>
      <c r="B40" s="232">
        <f>+B20+B21+B22+B23+B24+B25+B26+B28</f>
        <v>3388515826.5999994</v>
      </c>
      <c r="C40" s="232">
        <f t="shared" ref="C40:AA40" si="19">+C20+C21+C22+C23+C24+C25+C26+C28</f>
        <v>711466.67</v>
      </c>
      <c r="D40" s="232">
        <f t="shared" si="19"/>
        <v>1172233843.3499999</v>
      </c>
      <c r="E40" s="232">
        <f t="shared" si="19"/>
        <v>2216993449.9199996</v>
      </c>
      <c r="F40" s="232">
        <f t="shared" si="19"/>
        <v>1461443824.7800002</v>
      </c>
      <c r="G40" s="232">
        <f t="shared" si="19"/>
        <v>488384117.35999995</v>
      </c>
      <c r="H40" s="232">
        <f t="shared" si="19"/>
        <v>267165507.77999997</v>
      </c>
      <c r="I40" s="232">
        <f t="shared" si="19"/>
        <v>3589752789.1499996</v>
      </c>
      <c r="J40" s="232">
        <f t="shared" si="19"/>
        <v>711466.67</v>
      </c>
      <c r="K40" s="232">
        <f t="shared" si="19"/>
        <v>1206748172.9300001</v>
      </c>
      <c r="L40" s="232">
        <f t="shared" si="19"/>
        <v>2383716082.8899994</v>
      </c>
      <c r="M40" s="232">
        <f t="shared" si="19"/>
        <v>1641229287.5999999</v>
      </c>
      <c r="N40" s="232">
        <f t="shared" si="19"/>
        <v>481969441.56</v>
      </c>
      <c r="O40" s="232">
        <f t="shared" si="19"/>
        <v>260517353.73000002</v>
      </c>
      <c r="P40" s="305">
        <f t="shared" si="19"/>
        <v>3388.5158265999999</v>
      </c>
      <c r="Q40" s="305">
        <f t="shared" si="19"/>
        <v>1172.2338433499999</v>
      </c>
      <c r="R40" s="305">
        <f t="shared" si="19"/>
        <v>2216.9934499200003</v>
      </c>
      <c r="S40" s="305">
        <f t="shared" si="19"/>
        <v>1461.4438247799999</v>
      </c>
      <c r="T40" s="305">
        <f t="shared" si="19"/>
        <v>488.38411736000006</v>
      </c>
      <c r="U40" s="305">
        <f t="shared" si="19"/>
        <v>267.16550777999998</v>
      </c>
      <c r="V40" s="305">
        <f t="shared" si="19"/>
        <v>3589.7527891499999</v>
      </c>
      <c r="W40" s="305">
        <f t="shared" si="19"/>
        <v>1206.74817293</v>
      </c>
      <c r="X40" s="305">
        <f t="shared" si="19"/>
        <v>2383.7160828900001</v>
      </c>
      <c r="Y40" s="305">
        <f t="shared" si="19"/>
        <v>1641.2292875999999</v>
      </c>
      <c r="Z40" s="305">
        <f t="shared" si="19"/>
        <v>481.96944155999995</v>
      </c>
      <c r="AA40" s="305">
        <f t="shared" si="19"/>
        <v>260.51735373000002</v>
      </c>
      <c r="AB40" s="139">
        <f t="shared" si="18"/>
        <v>105.93879364441155</v>
      </c>
      <c r="AC40" s="139">
        <f>W40/Q40%</f>
        <v>102.94432120142218</v>
      </c>
      <c r="AD40" s="139">
        <f t="shared" si="18"/>
        <v>107.52021315065301</v>
      </c>
      <c r="AE40" s="139">
        <f t="shared" si="18"/>
        <v>112.30190718052842</v>
      </c>
      <c r="AF40" s="139">
        <f t="shared" si="18"/>
        <v>98.686551103529908</v>
      </c>
      <c r="AG40" s="233">
        <f t="shared" si="18"/>
        <v>97.511597172388576</v>
      </c>
      <c r="AH40" s="84"/>
      <c r="AI40" s="7"/>
      <c r="AJ40" s="3"/>
    </row>
    <row r="41" spans="1:37" s="76" customFormat="1" ht="13.8" hidden="1" thickTop="1" x14ac:dyDescent="0.25">
      <c r="A41" s="87" t="s">
        <v>59</v>
      </c>
      <c r="B41" s="88">
        <f>B38-B10</f>
        <v>0</v>
      </c>
      <c r="C41" s="88">
        <f t="shared" ref="C41:O41" si="20">C38-C10</f>
        <v>0</v>
      </c>
      <c r="D41" s="88">
        <f t="shared" si="20"/>
        <v>0</v>
      </c>
      <c r="E41" s="88">
        <f>E38-E10</f>
        <v>0</v>
      </c>
      <c r="F41" s="88">
        <f t="shared" si="20"/>
        <v>0</v>
      </c>
      <c r="G41" s="88">
        <f t="shared" si="20"/>
        <v>0</v>
      </c>
      <c r="H41" s="88">
        <f t="shared" si="20"/>
        <v>0</v>
      </c>
      <c r="I41" s="88">
        <f t="shared" si="20"/>
        <v>0</v>
      </c>
      <c r="J41" s="88">
        <f t="shared" si="20"/>
        <v>0</v>
      </c>
      <c r="K41" s="88">
        <f t="shared" si="20"/>
        <v>0</v>
      </c>
      <c r="L41" s="88">
        <f>L38-L10</f>
        <v>0</v>
      </c>
      <c r="M41" s="88">
        <f t="shared" si="20"/>
        <v>0</v>
      </c>
      <c r="N41" s="88">
        <f t="shared" si="20"/>
        <v>0</v>
      </c>
      <c r="O41" s="88">
        <f t="shared" si="20"/>
        <v>0</v>
      </c>
      <c r="P41" s="231">
        <f t="shared" si="2"/>
        <v>0</v>
      </c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90"/>
      <c r="AH41" s="91"/>
    </row>
    <row r="42" spans="1:37" s="76" customFormat="1" hidden="1" x14ac:dyDescent="0.25">
      <c r="A42" s="92" t="s">
        <v>60</v>
      </c>
      <c r="B42" s="93">
        <f>B31+B32+B33+B34+B35+B36+B37</f>
        <v>18293855661.459999</v>
      </c>
      <c r="C42" s="93">
        <f t="shared" ref="C42:AA42" si="21">C31+C32+C33+C34+C35+C36+C37</f>
        <v>22243629139.349998</v>
      </c>
      <c r="D42" s="93">
        <f t="shared" si="21"/>
        <v>18361641709.059998</v>
      </c>
      <c r="E42" s="93">
        <f>E31+E32+E33+E34+E35+E36+E37</f>
        <v>20860112662.080002</v>
      </c>
      <c r="F42" s="93">
        <f t="shared" si="21"/>
        <v>10104748674.85</v>
      </c>
      <c r="G42" s="93">
        <f t="shared" si="21"/>
        <v>10864865608.389999</v>
      </c>
      <c r="H42" s="93">
        <f t="shared" si="21"/>
        <v>1206228808.51</v>
      </c>
      <c r="I42" s="93">
        <f t="shared" si="21"/>
        <v>18059632663.119999</v>
      </c>
      <c r="J42" s="93">
        <f t="shared" si="21"/>
        <v>21924965689.459999</v>
      </c>
      <c r="K42" s="93">
        <f t="shared" si="21"/>
        <v>18128015292.279995</v>
      </c>
      <c r="L42" s="93">
        <f t="shared" si="21"/>
        <v>20613944733.019997</v>
      </c>
      <c r="M42" s="93">
        <f t="shared" si="21"/>
        <v>9937327369.3700008</v>
      </c>
      <c r="N42" s="93">
        <f t="shared" si="21"/>
        <v>10784257588.010002</v>
      </c>
      <c r="O42" s="93">
        <f t="shared" si="21"/>
        <v>1134998102.9200001</v>
      </c>
      <c r="P42" s="189">
        <f t="shared" si="2"/>
        <v>18293.855661459998</v>
      </c>
      <c r="Q42" s="93">
        <f t="shared" si="21"/>
        <v>18361.641709060008</v>
      </c>
      <c r="R42" s="93">
        <f t="shared" si="21"/>
        <v>20860.112662079999</v>
      </c>
      <c r="S42" s="93">
        <f t="shared" si="21"/>
        <v>10104.74867485</v>
      </c>
      <c r="T42" s="93">
        <f t="shared" si="21"/>
        <v>10864.865608389999</v>
      </c>
      <c r="U42" s="93">
        <f t="shared" si="21"/>
        <v>1206.2288085099999</v>
      </c>
      <c r="V42" s="93">
        <f t="shared" si="21"/>
        <v>18059.632663119999</v>
      </c>
      <c r="W42" s="93">
        <f t="shared" si="21"/>
        <v>18128.015292280004</v>
      </c>
      <c r="X42" s="93">
        <f t="shared" si="21"/>
        <v>20613.944733019998</v>
      </c>
      <c r="Y42" s="93">
        <f t="shared" si="21"/>
        <v>9937.3273693700012</v>
      </c>
      <c r="Z42" s="93">
        <f t="shared" si="21"/>
        <v>10784.257588009999</v>
      </c>
      <c r="AA42" s="93">
        <f t="shared" si="21"/>
        <v>1134.9981029199998</v>
      </c>
      <c r="AB42" s="94"/>
      <c r="AC42" s="94"/>
      <c r="AD42" s="94"/>
      <c r="AE42" s="94"/>
      <c r="AF42" s="94"/>
      <c r="AG42" s="94"/>
      <c r="AH42" s="91"/>
    </row>
    <row r="43" spans="1:37" s="76" customFormat="1" hidden="1" x14ac:dyDescent="0.25">
      <c r="A43" s="95" t="s">
        <v>61</v>
      </c>
      <c r="B43" s="96">
        <f>B42-B29</f>
        <v>0</v>
      </c>
      <c r="C43" s="96">
        <f t="shared" ref="C43:AA43" si="22">C42-C29</f>
        <v>0</v>
      </c>
      <c r="D43" s="96">
        <f t="shared" si="22"/>
        <v>0</v>
      </c>
      <c r="E43" s="96">
        <f>E42-E29</f>
        <v>0</v>
      </c>
      <c r="F43" s="96">
        <f t="shared" si="22"/>
        <v>0</v>
      </c>
      <c r="G43" s="96">
        <f t="shared" si="22"/>
        <v>0</v>
      </c>
      <c r="H43" s="96">
        <f t="shared" si="22"/>
        <v>0</v>
      </c>
      <c r="I43" s="96">
        <f t="shared" si="22"/>
        <v>0</v>
      </c>
      <c r="J43" s="96">
        <f t="shared" si="22"/>
        <v>0</v>
      </c>
      <c r="K43" s="96">
        <f t="shared" si="22"/>
        <v>0</v>
      </c>
      <c r="L43" s="96">
        <f t="shared" si="22"/>
        <v>0</v>
      </c>
      <c r="M43" s="96">
        <f t="shared" si="22"/>
        <v>0</v>
      </c>
      <c r="N43" s="96">
        <f t="shared" si="22"/>
        <v>0</v>
      </c>
      <c r="O43" s="96">
        <f t="shared" si="22"/>
        <v>0</v>
      </c>
      <c r="P43" s="129">
        <f t="shared" si="2"/>
        <v>0</v>
      </c>
      <c r="Q43" s="97">
        <f t="shared" si="22"/>
        <v>0</v>
      </c>
      <c r="R43" s="97">
        <f t="shared" si="22"/>
        <v>0</v>
      </c>
      <c r="S43" s="97">
        <f t="shared" si="22"/>
        <v>0</v>
      </c>
      <c r="T43" s="97">
        <f t="shared" si="22"/>
        <v>0</v>
      </c>
      <c r="U43" s="97">
        <f t="shared" si="22"/>
        <v>0</v>
      </c>
      <c r="V43" s="97">
        <f t="shared" si="22"/>
        <v>0</v>
      </c>
      <c r="W43" s="97">
        <f t="shared" si="22"/>
        <v>0</v>
      </c>
      <c r="X43" s="97">
        <f t="shared" si="22"/>
        <v>0</v>
      </c>
      <c r="Y43" s="97">
        <f t="shared" si="22"/>
        <v>0</v>
      </c>
      <c r="Z43" s="97">
        <f t="shared" si="22"/>
        <v>0</v>
      </c>
      <c r="AA43" s="97">
        <f t="shared" si="22"/>
        <v>0</v>
      </c>
      <c r="AB43" s="91"/>
      <c r="AC43" s="91"/>
      <c r="AD43" s="91"/>
      <c r="AE43" s="91"/>
      <c r="AF43" s="91"/>
      <c r="AG43" s="91"/>
      <c r="AH43" s="91"/>
    </row>
    <row r="44" spans="1:37" s="76" customFormat="1" hidden="1" x14ac:dyDescent="0.25">
      <c r="A44" s="95"/>
      <c r="B44" s="91"/>
      <c r="C44" s="91"/>
      <c r="D44" s="96"/>
      <c r="E44" s="96"/>
      <c r="F44" s="91"/>
      <c r="G44" s="91"/>
      <c r="H44" s="91"/>
      <c r="I44" s="91"/>
      <c r="J44" s="91"/>
      <c r="K44" s="91"/>
      <c r="L44" s="96"/>
      <c r="M44" s="96"/>
      <c r="N44" s="96"/>
      <c r="O44" s="96"/>
      <c r="P44" s="129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</row>
    <row r="45" spans="1:37" s="76" customFormat="1" ht="40.200000000000003" hidden="1" thickBot="1" x14ac:dyDescent="0.3">
      <c r="A45" s="95" t="s">
        <v>62</v>
      </c>
      <c r="B45" s="91"/>
      <c r="C45" s="91"/>
      <c r="D45" s="91"/>
      <c r="E45" s="98">
        <f>G132-H31</f>
        <v>750000.00000023842</v>
      </c>
      <c r="F45" s="91"/>
      <c r="G45" s="91"/>
      <c r="H45" s="91"/>
      <c r="I45" s="91"/>
      <c r="J45" s="91"/>
      <c r="K45" s="91"/>
      <c r="L45" s="98">
        <f>N132-O31</f>
        <v>0</v>
      </c>
      <c r="M45" s="91"/>
      <c r="N45" s="91"/>
      <c r="O45" s="91"/>
      <c r="P45" s="190"/>
      <c r="Q45" s="91"/>
      <c r="R45" s="99">
        <f>T132-U31</f>
        <v>0.75000000000022737</v>
      </c>
      <c r="S45" s="100"/>
      <c r="T45" s="100"/>
      <c r="U45" s="100"/>
      <c r="V45" s="100"/>
      <c r="W45" s="100"/>
      <c r="X45" s="99">
        <f>Z132-AA31</f>
        <v>0</v>
      </c>
      <c r="Y45" s="91"/>
      <c r="Z45" s="91"/>
      <c r="AA45" s="91"/>
      <c r="AB45" s="91"/>
      <c r="AC45" s="91"/>
      <c r="AD45" s="91"/>
      <c r="AE45" s="91"/>
      <c r="AF45" s="91"/>
      <c r="AG45" s="91"/>
      <c r="AH45" s="91"/>
    </row>
    <row r="46" spans="1:37" ht="13.5" customHeight="1" thickTop="1" x14ac:dyDescent="0.25">
      <c r="A46" s="448" t="s">
        <v>0</v>
      </c>
      <c r="B46" s="450" t="s">
        <v>129</v>
      </c>
      <c r="C46" s="450"/>
      <c r="D46" s="450"/>
      <c r="E46" s="450"/>
      <c r="F46" s="450"/>
      <c r="G46" s="450"/>
      <c r="H46" s="450"/>
      <c r="I46" s="450" t="s">
        <v>397</v>
      </c>
      <c r="J46" s="450"/>
      <c r="K46" s="450"/>
      <c r="L46" s="450"/>
      <c r="M46" s="450"/>
      <c r="N46" s="450"/>
      <c r="O46" s="450"/>
      <c r="P46" s="450" t="s">
        <v>130</v>
      </c>
      <c r="Q46" s="450"/>
      <c r="R46" s="450"/>
      <c r="S46" s="450"/>
      <c r="T46" s="450"/>
      <c r="U46" s="450"/>
      <c r="V46" s="450" t="s">
        <v>398</v>
      </c>
      <c r="W46" s="450"/>
      <c r="X46" s="450"/>
      <c r="Y46" s="450"/>
      <c r="Z46" s="450"/>
      <c r="AA46" s="450"/>
      <c r="AB46" s="450" t="s">
        <v>1</v>
      </c>
      <c r="AC46" s="450"/>
      <c r="AD46" s="450"/>
      <c r="AE46" s="450"/>
      <c r="AF46" s="450"/>
      <c r="AG46" s="451"/>
      <c r="AH46" s="10"/>
    </row>
    <row r="47" spans="1:37" x14ac:dyDescent="0.25">
      <c r="A47" s="449"/>
      <c r="B47" s="444" t="s">
        <v>2</v>
      </c>
      <c r="C47" s="443" t="s">
        <v>3</v>
      </c>
      <c r="D47" s="443"/>
      <c r="E47" s="443"/>
      <c r="F47" s="443"/>
      <c r="G47" s="443"/>
      <c r="H47" s="443"/>
      <c r="I47" s="444" t="s">
        <v>2</v>
      </c>
      <c r="J47" s="314"/>
      <c r="K47" s="443" t="s">
        <v>3</v>
      </c>
      <c r="L47" s="443"/>
      <c r="M47" s="443"/>
      <c r="N47" s="443"/>
      <c r="O47" s="443"/>
      <c r="P47" s="444" t="s">
        <v>2</v>
      </c>
      <c r="Q47" s="443" t="s">
        <v>4</v>
      </c>
      <c r="R47" s="443"/>
      <c r="S47" s="443"/>
      <c r="T47" s="443"/>
      <c r="U47" s="443"/>
      <c r="V47" s="444" t="s">
        <v>2</v>
      </c>
      <c r="W47" s="443" t="s">
        <v>4</v>
      </c>
      <c r="X47" s="443"/>
      <c r="Y47" s="443"/>
      <c r="Z47" s="443"/>
      <c r="AA47" s="443"/>
      <c r="AB47" s="444" t="s">
        <v>2</v>
      </c>
      <c r="AC47" s="443" t="s">
        <v>4</v>
      </c>
      <c r="AD47" s="443"/>
      <c r="AE47" s="443"/>
      <c r="AF47" s="443"/>
      <c r="AG47" s="445"/>
      <c r="AH47" s="10"/>
    </row>
    <row r="48" spans="1:37" x14ac:dyDescent="0.25">
      <c r="A48" s="449"/>
      <c r="B48" s="444"/>
      <c r="C48" s="454" t="s">
        <v>5</v>
      </c>
      <c r="D48" s="444" t="s">
        <v>6</v>
      </c>
      <c r="E48" s="444" t="s">
        <v>7</v>
      </c>
      <c r="F48" s="447" t="s">
        <v>8</v>
      </c>
      <c r="G48" s="447"/>
      <c r="H48" s="447"/>
      <c r="I48" s="444"/>
      <c r="J48" s="454" t="s">
        <v>5</v>
      </c>
      <c r="K48" s="444" t="s">
        <v>6</v>
      </c>
      <c r="L48" s="444" t="s">
        <v>7</v>
      </c>
      <c r="M48" s="447" t="s">
        <v>8</v>
      </c>
      <c r="N48" s="447"/>
      <c r="O48" s="447"/>
      <c r="P48" s="444"/>
      <c r="Q48" s="444" t="s">
        <v>6</v>
      </c>
      <c r="R48" s="444" t="s">
        <v>7</v>
      </c>
      <c r="S48" s="447" t="s">
        <v>8</v>
      </c>
      <c r="T48" s="447"/>
      <c r="U48" s="447"/>
      <c r="V48" s="444"/>
      <c r="W48" s="444" t="s">
        <v>6</v>
      </c>
      <c r="X48" s="444" t="s">
        <v>7</v>
      </c>
      <c r="Y48" s="447" t="s">
        <v>8</v>
      </c>
      <c r="Z48" s="447"/>
      <c r="AA48" s="447"/>
      <c r="AB48" s="444"/>
      <c r="AC48" s="446" t="s">
        <v>6</v>
      </c>
      <c r="AD48" s="446" t="s">
        <v>7</v>
      </c>
      <c r="AE48" s="452" t="s">
        <v>8</v>
      </c>
      <c r="AF48" s="452"/>
      <c r="AG48" s="453"/>
      <c r="AH48" s="12"/>
    </row>
    <row r="49" spans="1:34" ht="57.75" customHeight="1" x14ac:dyDescent="0.25">
      <c r="A49" s="449"/>
      <c r="B49" s="444"/>
      <c r="C49" s="454"/>
      <c r="D49" s="444"/>
      <c r="E49" s="444"/>
      <c r="F49" s="313" t="s">
        <v>9</v>
      </c>
      <c r="G49" s="313" t="s">
        <v>10</v>
      </c>
      <c r="H49" s="313" t="s">
        <v>11</v>
      </c>
      <c r="I49" s="444"/>
      <c r="J49" s="454"/>
      <c r="K49" s="444"/>
      <c r="L49" s="444"/>
      <c r="M49" s="313" t="s">
        <v>9</v>
      </c>
      <c r="N49" s="313" t="s">
        <v>10</v>
      </c>
      <c r="O49" s="313" t="s">
        <v>11</v>
      </c>
      <c r="P49" s="444"/>
      <c r="Q49" s="444"/>
      <c r="R49" s="444"/>
      <c r="S49" s="313" t="s">
        <v>9</v>
      </c>
      <c r="T49" s="313" t="s">
        <v>10</v>
      </c>
      <c r="U49" s="313" t="s">
        <v>11</v>
      </c>
      <c r="V49" s="444"/>
      <c r="W49" s="444"/>
      <c r="X49" s="444"/>
      <c r="Y49" s="313" t="s">
        <v>9</v>
      </c>
      <c r="Z49" s="313" t="s">
        <v>10</v>
      </c>
      <c r="AA49" s="313" t="s">
        <v>11</v>
      </c>
      <c r="AB49" s="444"/>
      <c r="AC49" s="446"/>
      <c r="AD49" s="446"/>
      <c r="AE49" s="14" t="s">
        <v>9</v>
      </c>
      <c r="AF49" s="14" t="s">
        <v>10</v>
      </c>
      <c r="AG49" s="15" t="s">
        <v>63</v>
      </c>
      <c r="AH49" s="16"/>
    </row>
    <row r="50" spans="1:34" x14ac:dyDescent="0.25">
      <c r="A50" s="17" t="s">
        <v>13</v>
      </c>
      <c r="B50" s="18"/>
      <c r="C50" s="18"/>
      <c r="D50" s="19"/>
      <c r="E50" s="18"/>
      <c r="F50" s="20"/>
      <c r="G50" s="20"/>
      <c r="H50" s="20"/>
      <c r="I50" s="18"/>
      <c r="J50" s="18"/>
      <c r="K50" s="18"/>
      <c r="L50" s="18"/>
      <c r="M50" s="20"/>
      <c r="N50" s="20"/>
      <c r="O50" s="20"/>
      <c r="P50" s="18" t="s">
        <v>14</v>
      </c>
      <c r="Q50" s="18" t="s">
        <v>15</v>
      </c>
      <c r="R50" s="18" t="s">
        <v>16</v>
      </c>
      <c r="S50" s="20">
        <v>4</v>
      </c>
      <c r="T50" s="20">
        <v>5</v>
      </c>
      <c r="U50" s="20">
        <v>6</v>
      </c>
      <c r="V50" s="18" t="s">
        <v>17</v>
      </c>
      <c r="W50" s="18" t="s">
        <v>18</v>
      </c>
      <c r="X50" s="18" t="s">
        <v>19</v>
      </c>
      <c r="Y50" s="20">
        <v>10</v>
      </c>
      <c r="Z50" s="20">
        <v>11</v>
      </c>
      <c r="AA50" s="20">
        <v>12</v>
      </c>
      <c r="AB50" s="18" t="s">
        <v>20</v>
      </c>
      <c r="AC50" s="18" t="s">
        <v>21</v>
      </c>
      <c r="AD50" s="18" t="s">
        <v>22</v>
      </c>
      <c r="AE50" s="20" t="s">
        <v>23</v>
      </c>
      <c r="AF50" s="20" t="s">
        <v>24</v>
      </c>
      <c r="AG50" s="21" t="s">
        <v>25</v>
      </c>
      <c r="AH50" s="22"/>
    </row>
    <row r="51" spans="1:34" x14ac:dyDescent="0.25">
      <c r="A51" s="335" t="s">
        <v>64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336"/>
      <c r="M51" s="25"/>
      <c r="N51" s="25"/>
      <c r="O51" s="25"/>
      <c r="P51" s="337"/>
      <c r="Q51" s="337"/>
      <c r="R51" s="337"/>
      <c r="S51" s="337"/>
      <c r="T51" s="337"/>
      <c r="U51" s="337"/>
      <c r="V51" s="337"/>
      <c r="W51" s="337"/>
      <c r="X51" s="27">
        <f>Y52+Z52+AA52-X52</f>
        <v>1242.6383272799867</v>
      </c>
      <c r="Y51" s="337"/>
      <c r="Z51" s="337"/>
      <c r="AA51" s="337"/>
      <c r="AB51" s="337"/>
      <c r="AC51" s="337"/>
      <c r="AD51" s="337"/>
      <c r="AE51" s="337"/>
      <c r="AF51" s="337"/>
      <c r="AG51" s="338"/>
      <c r="AH51" s="101"/>
    </row>
    <row r="52" spans="1:34" s="42" customFormat="1" hidden="1" x14ac:dyDescent="0.25">
      <c r="A52" s="102" t="s">
        <v>65</v>
      </c>
      <c r="B52" s="339">
        <v>86307866550.320007</v>
      </c>
      <c r="C52" s="339">
        <v>22244340606.02</v>
      </c>
      <c r="D52" s="339">
        <v>71902662706.949997</v>
      </c>
      <c r="E52" s="103">
        <f>+F52+G52+H52-E132</f>
        <v>35333814019.720001</v>
      </c>
      <c r="F52" s="339">
        <v>20374406528.68</v>
      </c>
      <c r="G52" s="339">
        <v>13900647872.110001</v>
      </c>
      <c r="H52" s="339">
        <v>2374490048.5999999</v>
      </c>
      <c r="I52" s="339">
        <v>84354086406.5</v>
      </c>
      <c r="J52" s="339">
        <v>21925677156.130001</v>
      </c>
      <c r="K52" s="339">
        <v>70714840973.369995</v>
      </c>
      <c r="L52" s="103">
        <f>+M52+N52+O52-L132</f>
        <v>34322284261.980003</v>
      </c>
      <c r="M52" s="339">
        <v>19792626672.369999</v>
      </c>
      <c r="N52" s="339">
        <v>13597009275.17</v>
      </c>
      <c r="O52" s="339">
        <v>2175286641.7200003</v>
      </c>
      <c r="P52" s="104">
        <f>B52/1000000</f>
        <v>86307.866550320003</v>
      </c>
      <c r="Q52" s="104">
        <f t="shared" ref="Q52:V67" si="23">D52/1000000</f>
        <v>71902.662706949995</v>
      </c>
      <c r="R52" s="104">
        <f t="shared" si="23"/>
        <v>35333.814019720005</v>
      </c>
      <c r="S52" s="104">
        <f t="shared" si="23"/>
        <v>20374.40652868</v>
      </c>
      <c r="T52" s="104">
        <f t="shared" si="23"/>
        <v>13900.647872110001</v>
      </c>
      <c r="U52" s="104">
        <f t="shared" si="23"/>
        <v>2374.4900485999997</v>
      </c>
      <c r="V52" s="104">
        <f t="shared" si="23"/>
        <v>84354.086406500006</v>
      </c>
      <c r="W52" s="104">
        <f t="shared" ref="W52:AA110" si="24">K52/1000000</f>
        <v>70714.840973369995</v>
      </c>
      <c r="X52" s="104">
        <f t="shared" si="24"/>
        <v>34322.284261980007</v>
      </c>
      <c r="Y52" s="104">
        <f t="shared" si="24"/>
        <v>19792.626672369999</v>
      </c>
      <c r="Z52" s="104">
        <f t="shared" si="24"/>
        <v>13597.009275169999</v>
      </c>
      <c r="AA52" s="104">
        <f t="shared" si="24"/>
        <v>2175.2866417200003</v>
      </c>
      <c r="AB52" s="104">
        <f t="shared" ref="AB52:AG67" si="25">V52/P52%</f>
        <v>97.736266435596704</v>
      </c>
      <c r="AC52" s="104">
        <f t="shared" si="25"/>
        <v>98.348014261417362</v>
      </c>
      <c r="AD52" s="104">
        <f t="shared" si="25"/>
        <v>97.137218877148499</v>
      </c>
      <c r="AE52" s="104">
        <f t="shared" si="25"/>
        <v>97.144555570288347</v>
      </c>
      <c r="AF52" s="104">
        <f t="shared" si="25"/>
        <v>97.815651473704207</v>
      </c>
      <c r="AG52" s="105">
        <f t="shared" si="25"/>
        <v>91.610686808418095</v>
      </c>
      <c r="AH52" s="106"/>
    </row>
    <row r="53" spans="1:34" s="42" customFormat="1" x14ac:dyDescent="0.25">
      <c r="A53" s="107" t="s">
        <v>66</v>
      </c>
      <c r="B53" s="36">
        <v>5479040938.7200003</v>
      </c>
      <c r="C53" s="36">
        <v>147569602.40000001</v>
      </c>
      <c r="D53" s="36">
        <v>2152962283.29</v>
      </c>
      <c r="E53" s="119">
        <f>F53+G53+H53-E54</f>
        <v>3409489006.6199999</v>
      </c>
      <c r="F53" s="36">
        <v>1682866930.6500001</v>
      </c>
      <c r="G53" s="36">
        <v>1129104820.6400001</v>
      </c>
      <c r="H53" s="36">
        <v>661676506.53999996</v>
      </c>
      <c r="I53" s="36">
        <v>5343580681.1800003</v>
      </c>
      <c r="J53" s="36">
        <v>145332397.18000001</v>
      </c>
      <c r="K53" s="36">
        <v>2122313270.75</v>
      </c>
      <c r="L53" s="119">
        <f>M53+N53+O53-L54</f>
        <v>3303458801</v>
      </c>
      <c r="M53" s="36">
        <v>1629166745.46</v>
      </c>
      <c r="N53" s="36">
        <v>1101414833.9400001</v>
      </c>
      <c r="O53" s="36">
        <v>636018228.21000004</v>
      </c>
      <c r="P53" s="38">
        <f>B53/1000000</f>
        <v>5479.0409387200007</v>
      </c>
      <c r="Q53" s="38">
        <f t="shared" si="23"/>
        <v>2152.96228329</v>
      </c>
      <c r="R53" s="38">
        <f t="shared" si="23"/>
        <v>3409.4890066200001</v>
      </c>
      <c r="S53" s="38">
        <f t="shared" si="23"/>
        <v>1682.8669306500001</v>
      </c>
      <c r="T53" s="38">
        <f t="shared" si="23"/>
        <v>1129.1048206400001</v>
      </c>
      <c r="U53" s="38">
        <f t="shared" si="23"/>
        <v>661.67650653999999</v>
      </c>
      <c r="V53" s="38">
        <f t="shared" si="23"/>
        <v>5343.5806811800003</v>
      </c>
      <c r="W53" s="38">
        <f t="shared" si="24"/>
        <v>2122.3132707499999</v>
      </c>
      <c r="X53" s="38">
        <f>L53/1000000</f>
        <v>3303.4588010000002</v>
      </c>
      <c r="Y53" s="38">
        <f>M53/1000000</f>
        <v>1629.1667454600001</v>
      </c>
      <c r="Z53" s="38">
        <f t="shared" si="24"/>
        <v>1101.4148339400001</v>
      </c>
      <c r="AA53" s="38">
        <f t="shared" si="24"/>
        <v>636.01822821000007</v>
      </c>
      <c r="AB53" s="38">
        <f t="shared" si="25"/>
        <v>97.527664803839812</v>
      </c>
      <c r="AC53" s="38">
        <f t="shared" si="25"/>
        <v>98.576425942159815</v>
      </c>
      <c r="AD53" s="38">
        <f>X53/R53%</f>
        <v>96.89014378946149</v>
      </c>
      <c r="AE53" s="38">
        <f>Y53/S53%</f>
        <v>96.809005857090654</v>
      </c>
      <c r="AF53" s="38">
        <f t="shared" si="25"/>
        <v>97.547615934869114</v>
      </c>
      <c r="AG53" s="39">
        <f>AA53/U53%</f>
        <v>96.122232227320467</v>
      </c>
      <c r="AH53" s="40"/>
    </row>
    <row r="54" spans="1:34" s="274" customFormat="1" hidden="1" x14ac:dyDescent="0.25">
      <c r="A54" s="316" t="s">
        <v>67</v>
      </c>
      <c r="B54" s="317">
        <v>37881.949999999997</v>
      </c>
      <c r="C54" s="318">
        <v>147569602.39999998</v>
      </c>
      <c r="D54" s="318">
        <v>83448233.140000001</v>
      </c>
      <c r="E54" s="319">
        <f>F54+G54+H54</f>
        <v>64159251.209999993</v>
      </c>
      <c r="F54" s="317">
        <v>0</v>
      </c>
      <c r="G54" s="318">
        <v>51858180.209999993</v>
      </c>
      <c r="H54" s="318">
        <v>12301071</v>
      </c>
      <c r="I54" s="320">
        <v>0</v>
      </c>
      <c r="J54" s="320">
        <v>145332397.18000001</v>
      </c>
      <c r="K54" s="320">
        <v>82191390.569999993</v>
      </c>
      <c r="L54" s="319">
        <f>M54+N54+O54</f>
        <v>63141006.609999999</v>
      </c>
      <c r="M54" s="320">
        <v>0</v>
      </c>
      <c r="N54" s="320">
        <v>50877935.609999999</v>
      </c>
      <c r="O54" s="320">
        <v>12263071</v>
      </c>
      <c r="P54" s="272">
        <f>B54/1000000</f>
        <v>3.7881949999999998E-2</v>
      </c>
      <c r="Q54" s="272">
        <f t="shared" si="23"/>
        <v>83.448233139999999</v>
      </c>
      <c r="R54" s="272">
        <f>E54/1000000</f>
        <v>64.159251209999994</v>
      </c>
      <c r="S54" s="272">
        <f>F54/1000000</f>
        <v>0</v>
      </c>
      <c r="T54" s="272">
        <f t="shared" si="23"/>
        <v>51.858180209999993</v>
      </c>
      <c r="U54" s="272">
        <f t="shared" si="23"/>
        <v>12.301071</v>
      </c>
      <c r="V54" s="272"/>
      <c r="W54" s="272">
        <f t="shared" si="24"/>
        <v>82.191390569999996</v>
      </c>
      <c r="X54" s="272"/>
      <c r="Y54" s="272"/>
      <c r="Z54" s="272">
        <f t="shared" si="24"/>
        <v>50.877935610000002</v>
      </c>
      <c r="AA54" s="272">
        <f t="shared" si="24"/>
        <v>12.263071</v>
      </c>
      <c r="AB54" s="272">
        <f t="shared" si="25"/>
        <v>0</v>
      </c>
      <c r="AC54" s="272">
        <f t="shared" si="25"/>
        <v>98.493865570656951</v>
      </c>
      <c r="AD54" s="272"/>
      <c r="AE54" s="272"/>
      <c r="AF54" s="272">
        <f t="shared" si="25"/>
        <v>98.10975896950012</v>
      </c>
      <c r="AG54" s="273">
        <f>AA54/U54%</f>
        <v>99.691083808881345</v>
      </c>
      <c r="AH54" s="321"/>
    </row>
    <row r="55" spans="1:34" s="42" customFormat="1" x14ac:dyDescent="0.25">
      <c r="A55" s="107" t="s">
        <v>68</v>
      </c>
      <c r="B55" s="36">
        <v>30413300</v>
      </c>
      <c r="C55" s="36">
        <v>54737000</v>
      </c>
      <c r="D55" s="36">
        <v>30413300</v>
      </c>
      <c r="E55" s="119">
        <f>F55+G55+H55-E56</f>
        <v>30413300</v>
      </c>
      <c r="F55" s="36">
        <v>6089600</v>
      </c>
      <c r="G55" s="36">
        <v>24323700</v>
      </c>
      <c r="H55" s="36">
        <v>24323700</v>
      </c>
      <c r="I55" s="36">
        <v>30390223.489999998</v>
      </c>
      <c r="J55" s="36">
        <v>54705557.869999997</v>
      </c>
      <c r="K55" s="36">
        <v>30395782.5</v>
      </c>
      <c r="L55" s="119">
        <f>M55+N55+O55-L56</f>
        <v>30390223.489999998</v>
      </c>
      <c r="M55" s="36">
        <v>6086007.1299999999</v>
      </c>
      <c r="N55" s="36">
        <v>24309775.370000001</v>
      </c>
      <c r="O55" s="36">
        <v>24304216.359999999</v>
      </c>
      <c r="P55" s="38">
        <f t="shared" ref="P55:P107" si="26">B55/1000000</f>
        <v>30.4133</v>
      </c>
      <c r="Q55" s="38">
        <f t="shared" si="23"/>
        <v>30.4133</v>
      </c>
      <c r="R55" s="38">
        <f>E55/1000000</f>
        <v>30.4133</v>
      </c>
      <c r="S55" s="38">
        <f>F55/1000000</f>
        <v>6.0895999999999999</v>
      </c>
      <c r="T55" s="38">
        <f t="shared" si="23"/>
        <v>24.323699999999999</v>
      </c>
      <c r="U55" s="38">
        <f t="shared" si="23"/>
        <v>24.323699999999999</v>
      </c>
      <c r="V55" s="38">
        <f t="shared" si="23"/>
        <v>30.390223489999997</v>
      </c>
      <c r="W55" s="38">
        <f t="shared" si="24"/>
        <v>30.395782499999999</v>
      </c>
      <c r="X55" s="38">
        <f t="shared" si="24"/>
        <v>30.390223489999997</v>
      </c>
      <c r="Y55" s="38">
        <f>M55/1000000</f>
        <v>6.0860071299999996</v>
      </c>
      <c r="Z55" s="38">
        <f t="shared" si="24"/>
        <v>24.309775370000001</v>
      </c>
      <c r="AA55" s="38">
        <f t="shared" si="24"/>
        <v>24.304216359999998</v>
      </c>
      <c r="AB55" s="38">
        <f t="shared" si="25"/>
        <v>99.924123623546265</v>
      </c>
      <c r="AC55" s="38">
        <f t="shared" si="25"/>
        <v>99.942401843930128</v>
      </c>
      <c r="AD55" s="38">
        <f t="shared" si="25"/>
        <v>99.924123623546265</v>
      </c>
      <c r="AE55" s="38">
        <f>Y55/S55%</f>
        <v>99.940999901471358</v>
      </c>
      <c r="AF55" s="38">
        <f t="shared" si="25"/>
        <v>99.942752829544858</v>
      </c>
      <c r="AG55" s="39">
        <f>AA55/U55%</f>
        <v>99.919898535173516</v>
      </c>
      <c r="AH55" s="40">
        <f>N56-O55</f>
        <v>5559.0100000016391</v>
      </c>
    </row>
    <row r="56" spans="1:34" s="274" customFormat="1" hidden="1" x14ac:dyDescent="0.25">
      <c r="A56" s="316" t="s">
        <v>67</v>
      </c>
      <c r="B56" s="317">
        <v>0</v>
      </c>
      <c r="C56" s="317">
        <v>54737000</v>
      </c>
      <c r="D56" s="317">
        <v>30413300</v>
      </c>
      <c r="E56" s="322">
        <f>F56+G56+H56</f>
        <v>24323700</v>
      </c>
      <c r="F56" s="317">
        <v>0</v>
      </c>
      <c r="G56" s="317">
        <v>24323700</v>
      </c>
      <c r="H56" s="317">
        <v>0</v>
      </c>
      <c r="I56" s="317">
        <v>0</v>
      </c>
      <c r="J56" s="317">
        <v>54705557.869999997</v>
      </c>
      <c r="K56" s="317">
        <v>30395782.5</v>
      </c>
      <c r="L56" s="322">
        <f>M56+N56+O56</f>
        <v>24309775.370000001</v>
      </c>
      <c r="M56" s="317">
        <v>0</v>
      </c>
      <c r="N56" s="317">
        <v>24309775.370000001</v>
      </c>
      <c r="O56" s="317">
        <v>0</v>
      </c>
      <c r="P56" s="272">
        <f t="shared" si="26"/>
        <v>0</v>
      </c>
      <c r="Q56" s="272">
        <f t="shared" si="23"/>
        <v>30.4133</v>
      </c>
      <c r="R56" s="272"/>
      <c r="S56" s="272"/>
      <c r="T56" s="272">
        <f t="shared" si="23"/>
        <v>24.323699999999999</v>
      </c>
      <c r="U56" s="272">
        <f t="shared" si="23"/>
        <v>0</v>
      </c>
      <c r="V56" s="272">
        <f t="shared" si="23"/>
        <v>0</v>
      </c>
      <c r="W56" s="272">
        <f t="shared" si="24"/>
        <v>30.395782499999999</v>
      </c>
      <c r="X56" s="272"/>
      <c r="Y56" s="272"/>
      <c r="Z56" s="272">
        <f t="shared" si="24"/>
        <v>24.309775370000001</v>
      </c>
      <c r="AA56" s="272">
        <f t="shared" si="24"/>
        <v>0</v>
      </c>
      <c r="AB56" s="272"/>
      <c r="AC56" s="272">
        <f t="shared" si="25"/>
        <v>99.942401843930128</v>
      </c>
      <c r="AD56" s="272"/>
      <c r="AE56" s="272"/>
      <c r="AF56" s="272">
        <f t="shared" si="25"/>
        <v>99.942752829544858</v>
      </c>
      <c r="AG56" s="273"/>
      <c r="AH56" s="321"/>
    </row>
    <row r="57" spans="1:34" s="42" customFormat="1" ht="26.4" x14ac:dyDescent="0.25">
      <c r="A57" s="107" t="s">
        <v>69</v>
      </c>
      <c r="B57" s="36">
        <v>1297983832.21</v>
      </c>
      <c r="C57" s="36">
        <v>13611359.74</v>
      </c>
      <c r="D57" s="36">
        <v>1114284850.99</v>
      </c>
      <c r="E57" s="119">
        <f>F57+G57+H57-E58</f>
        <v>192238080.21999997</v>
      </c>
      <c r="F57" s="36">
        <v>142617049.22</v>
      </c>
      <c r="G57" s="36">
        <v>30327528.379999999</v>
      </c>
      <c r="H57" s="36">
        <v>24365763.359999999</v>
      </c>
      <c r="I57" s="36">
        <v>1282700368.3800001</v>
      </c>
      <c r="J57" s="36">
        <v>13318176.35</v>
      </c>
      <c r="K57" s="36">
        <v>1108795909.73</v>
      </c>
      <c r="L57" s="119">
        <f>M57+N57+O57-L58</f>
        <v>182443557.65000001</v>
      </c>
      <c r="M57" s="36">
        <v>137908457.69999999</v>
      </c>
      <c r="N57" s="36">
        <v>29573107.030000001</v>
      </c>
      <c r="O57" s="36">
        <v>19741070.27</v>
      </c>
      <c r="P57" s="38">
        <f t="shared" si="26"/>
        <v>1297.9838322099999</v>
      </c>
      <c r="Q57" s="38">
        <f t="shared" si="23"/>
        <v>1114.28485099</v>
      </c>
      <c r="R57" s="38">
        <f>E57/1000000</f>
        <v>192.23808021999997</v>
      </c>
      <c r="S57" s="38">
        <f>F57/1000000</f>
        <v>142.61704922000001</v>
      </c>
      <c r="T57" s="38">
        <f t="shared" si="23"/>
        <v>30.32752838</v>
      </c>
      <c r="U57" s="38">
        <f t="shared" si="23"/>
        <v>24.365763359999999</v>
      </c>
      <c r="V57" s="38">
        <f t="shared" si="23"/>
        <v>1282.7003683800001</v>
      </c>
      <c r="W57" s="38">
        <f t="shared" si="24"/>
        <v>1108.7959097299999</v>
      </c>
      <c r="X57" s="38">
        <f t="shared" si="24"/>
        <v>182.44355765</v>
      </c>
      <c r="Y57" s="38">
        <f>M57/1000000</f>
        <v>137.90845769999999</v>
      </c>
      <c r="Z57" s="38">
        <f t="shared" si="24"/>
        <v>29.573107030000003</v>
      </c>
      <c r="AA57" s="38">
        <f t="shared" si="24"/>
        <v>19.741070269999998</v>
      </c>
      <c r="AB57" s="38">
        <f t="shared" si="25"/>
        <v>98.822522788748643</v>
      </c>
      <c r="AC57" s="38">
        <f t="shared" si="25"/>
        <v>99.507402325794573</v>
      </c>
      <c r="AD57" s="38">
        <f t="shared" si="25"/>
        <v>94.905003962383006</v>
      </c>
      <c r="AE57" s="38">
        <f>Y57/S57%</f>
        <v>96.698437146363489</v>
      </c>
      <c r="AF57" s="38">
        <f t="shared" si="25"/>
        <v>97.512420595087093</v>
      </c>
      <c r="AG57" s="39">
        <f t="shared" si="25"/>
        <v>81.019707769172058</v>
      </c>
      <c r="AH57" s="40"/>
    </row>
    <row r="58" spans="1:34" s="274" customFormat="1" hidden="1" x14ac:dyDescent="0.25">
      <c r="A58" s="316" t="s">
        <v>67</v>
      </c>
      <c r="B58" s="317">
        <v>0</v>
      </c>
      <c r="C58" s="317">
        <v>13611359.74</v>
      </c>
      <c r="D58" s="317">
        <v>8539099</v>
      </c>
      <c r="E58" s="322">
        <f>F58+G58+H58</f>
        <v>5072260.74</v>
      </c>
      <c r="F58" s="317">
        <v>0</v>
      </c>
      <c r="G58" s="317">
        <v>4366260.74</v>
      </c>
      <c r="H58" s="317">
        <v>706000</v>
      </c>
      <c r="I58" s="317">
        <v>0</v>
      </c>
      <c r="J58" s="317">
        <v>13318176.35</v>
      </c>
      <c r="K58" s="317">
        <v>8539099</v>
      </c>
      <c r="L58" s="322">
        <f>M58+N58+O58</f>
        <v>4779077.3499999996</v>
      </c>
      <c r="M58" s="317">
        <v>0</v>
      </c>
      <c r="N58" s="317">
        <v>4073077.3499999996</v>
      </c>
      <c r="O58" s="317">
        <v>706000</v>
      </c>
      <c r="P58" s="272"/>
      <c r="Q58" s="272">
        <f t="shared" si="23"/>
        <v>8.5390990000000002</v>
      </c>
      <c r="R58" s="272"/>
      <c r="S58" s="272"/>
      <c r="T58" s="272">
        <f t="shared" si="23"/>
        <v>4.3662607400000004</v>
      </c>
      <c r="U58" s="272">
        <f t="shared" si="23"/>
        <v>0.70599999999999996</v>
      </c>
      <c r="V58" s="272"/>
      <c r="W58" s="272">
        <f t="shared" si="24"/>
        <v>8.5390990000000002</v>
      </c>
      <c r="X58" s="272"/>
      <c r="Y58" s="272">
        <f t="shared" ref="Y58" si="27">M58/1000000</f>
        <v>0</v>
      </c>
      <c r="Z58" s="272">
        <f t="shared" si="24"/>
        <v>4.0730773499999993</v>
      </c>
      <c r="AA58" s="272">
        <f t="shared" si="24"/>
        <v>0.70599999999999996</v>
      </c>
      <c r="AB58" s="272"/>
      <c r="AC58" s="272">
        <f t="shared" si="25"/>
        <v>100</v>
      </c>
      <c r="AD58" s="272"/>
      <c r="AE58" s="272"/>
      <c r="AF58" s="272">
        <f t="shared" si="25"/>
        <v>93.285252359894542</v>
      </c>
      <c r="AG58" s="273">
        <f t="shared" si="25"/>
        <v>100</v>
      </c>
      <c r="AH58" s="321"/>
    </row>
    <row r="59" spans="1:34" s="42" customFormat="1" x14ac:dyDescent="0.25">
      <c r="A59" s="107" t="s">
        <v>70</v>
      </c>
      <c r="B59" s="36">
        <v>11244530523.6</v>
      </c>
      <c r="C59" s="36">
        <v>813449642.80999994</v>
      </c>
      <c r="D59" s="36">
        <v>9493018685.8600006</v>
      </c>
      <c r="E59" s="119">
        <f>F59+G59+H59-E60</f>
        <v>2364810227.0499997</v>
      </c>
      <c r="F59" s="36">
        <v>1753882612.27</v>
      </c>
      <c r="G59" s="36">
        <v>455140731.94999999</v>
      </c>
      <c r="H59" s="36">
        <v>355938136.33000004</v>
      </c>
      <c r="I59" s="36">
        <v>10887561067.17</v>
      </c>
      <c r="J59" s="36">
        <v>790573595.11000001</v>
      </c>
      <c r="K59" s="36">
        <v>9245310725.5699997</v>
      </c>
      <c r="L59" s="119">
        <f>M59+N59+O59-L60</f>
        <v>2247246066.8600001</v>
      </c>
      <c r="M59" s="36">
        <v>1704043035.1500001</v>
      </c>
      <c r="N59" s="36">
        <v>409826926.60000002</v>
      </c>
      <c r="O59" s="36">
        <v>318953974.95999998</v>
      </c>
      <c r="P59" s="38">
        <f t="shared" si="26"/>
        <v>11244.5305236</v>
      </c>
      <c r="Q59" s="38">
        <f t="shared" si="23"/>
        <v>9493.0186858600009</v>
      </c>
      <c r="R59" s="38">
        <f>E59/1000000</f>
        <v>2364.8102270499999</v>
      </c>
      <c r="S59" s="38">
        <f>F59/1000000</f>
        <v>1753.88261227</v>
      </c>
      <c r="T59" s="38">
        <f t="shared" si="23"/>
        <v>455.14073194999997</v>
      </c>
      <c r="U59" s="38">
        <f t="shared" si="23"/>
        <v>355.93813633000002</v>
      </c>
      <c r="V59" s="38">
        <f t="shared" si="23"/>
        <v>10887.56106717</v>
      </c>
      <c r="W59" s="38">
        <f t="shared" si="24"/>
        <v>9245.3107255699997</v>
      </c>
      <c r="X59" s="38">
        <f t="shared" si="24"/>
        <v>2247.2460668600002</v>
      </c>
      <c r="Y59" s="38">
        <f>M59/1000000</f>
        <v>1704.0430351500002</v>
      </c>
      <c r="Z59" s="38">
        <f t="shared" si="24"/>
        <v>409.82692660000004</v>
      </c>
      <c r="AA59" s="38">
        <f t="shared" si="24"/>
        <v>318.95397495999998</v>
      </c>
      <c r="AB59" s="38">
        <f t="shared" si="25"/>
        <v>96.825394749200115</v>
      </c>
      <c r="AC59" s="38">
        <f t="shared" si="25"/>
        <v>97.390630225357441</v>
      </c>
      <c r="AD59" s="38">
        <f t="shared" si="25"/>
        <v>95.028600652803505</v>
      </c>
      <c r="AE59" s="38">
        <f>Y59/S59%</f>
        <v>97.15832879741626</v>
      </c>
      <c r="AF59" s="38">
        <f t="shared" si="25"/>
        <v>90.044001301343002</v>
      </c>
      <c r="AG59" s="39">
        <f t="shared" si="25"/>
        <v>89.609385003996593</v>
      </c>
      <c r="AH59" s="40"/>
    </row>
    <row r="60" spans="1:34" s="274" customFormat="1" hidden="1" x14ac:dyDescent="0.25">
      <c r="A60" s="316" t="s">
        <v>67</v>
      </c>
      <c r="B60" s="317">
        <v>21.43</v>
      </c>
      <c r="C60" s="317">
        <v>813449642.80999994</v>
      </c>
      <c r="D60" s="317">
        <v>613298410.74000001</v>
      </c>
      <c r="E60" s="322">
        <f>F60+G60+H60</f>
        <v>200151253.50000003</v>
      </c>
      <c r="F60" s="317">
        <v>0</v>
      </c>
      <c r="G60" s="317">
        <v>199356696.39000002</v>
      </c>
      <c r="H60" s="317">
        <v>794557.11</v>
      </c>
      <c r="I60" s="317">
        <v>0</v>
      </c>
      <c r="J60" s="317">
        <v>790573595.11000001</v>
      </c>
      <c r="K60" s="317">
        <v>604995725.25999999</v>
      </c>
      <c r="L60" s="322">
        <f>M60+N60+O60</f>
        <v>185577869.84999999</v>
      </c>
      <c r="M60" s="317">
        <v>0</v>
      </c>
      <c r="N60" s="317">
        <v>184897650.31</v>
      </c>
      <c r="O60" s="317">
        <v>680219.54</v>
      </c>
      <c r="P60" s="272">
        <f t="shared" si="26"/>
        <v>2.143E-5</v>
      </c>
      <c r="Q60" s="272">
        <f t="shared" si="23"/>
        <v>613.29841074000001</v>
      </c>
      <c r="R60" s="272"/>
      <c r="S60" s="272"/>
      <c r="T60" s="272">
        <f t="shared" si="23"/>
        <v>199.35669639000002</v>
      </c>
      <c r="U60" s="272">
        <f t="shared" si="23"/>
        <v>0.79455710999999996</v>
      </c>
      <c r="V60" s="272">
        <f t="shared" si="23"/>
        <v>0</v>
      </c>
      <c r="W60" s="272">
        <f t="shared" si="24"/>
        <v>604.99572525999997</v>
      </c>
      <c r="X60" s="272"/>
      <c r="Y60" s="272"/>
      <c r="Z60" s="272">
        <f t="shared" si="24"/>
        <v>184.89765030999999</v>
      </c>
      <c r="AA60" s="272">
        <f t="shared" si="24"/>
        <v>0.68021954000000007</v>
      </c>
      <c r="AB60" s="272">
        <f t="shared" si="25"/>
        <v>0</v>
      </c>
      <c r="AC60" s="272">
        <f t="shared" si="25"/>
        <v>98.646224197779659</v>
      </c>
      <c r="AD60" s="323" t="s">
        <v>30</v>
      </c>
      <c r="AE60" s="323" t="s">
        <v>30</v>
      </c>
      <c r="AF60" s="272">
        <f t="shared" si="25"/>
        <v>92.747148030726834</v>
      </c>
      <c r="AG60" s="273">
        <f t="shared" si="25"/>
        <v>85.609899079501048</v>
      </c>
      <c r="AH60" s="321"/>
    </row>
    <row r="61" spans="1:34" x14ac:dyDescent="0.25">
      <c r="A61" s="108" t="s">
        <v>71</v>
      </c>
      <c r="B61" s="31">
        <v>539838825.45000005</v>
      </c>
      <c r="C61" s="31">
        <v>0</v>
      </c>
      <c r="D61" s="31">
        <v>539732075.12</v>
      </c>
      <c r="E61" s="340">
        <f>F61+G61+H61</f>
        <v>106750.33</v>
      </c>
      <c r="F61" s="31">
        <v>0</v>
      </c>
      <c r="G61" s="31">
        <v>50000</v>
      </c>
      <c r="H61" s="31">
        <v>56750.33</v>
      </c>
      <c r="I61" s="31">
        <v>516051197.37</v>
      </c>
      <c r="J61" s="31">
        <v>0</v>
      </c>
      <c r="K61" s="31">
        <v>515944447.04000002</v>
      </c>
      <c r="L61" s="340">
        <f>M61+N61+O61</f>
        <v>106750.33</v>
      </c>
      <c r="M61" s="31">
        <v>0</v>
      </c>
      <c r="N61" s="31">
        <v>50000</v>
      </c>
      <c r="O61" s="31">
        <v>56750.33</v>
      </c>
      <c r="P61" s="32">
        <f t="shared" si="26"/>
        <v>539.83882545000006</v>
      </c>
      <c r="Q61" s="32">
        <f t="shared" si="23"/>
        <v>539.73207511999999</v>
      </c>
      <c r="R61" s="32">
        <f>E61/1000000</f>
        <v>0.10675033</v>
      </c>
      <c r="S61" s="32">
        <f>F61/1000000</f>
        <v>0</v>
      </c>
      <c r="T61" s="32">
        <f t="shared" si="23"/>
        <v>0.05</v>
      </c>
      <c r="U61" s="32">
        <f t="shared" si="23"/>
        <v>5.6750330000000002E-2</v>
      </c>
      <c r="V61" s="32">
        <f t="shared" si="23"/>
        <v>516.05119736999995</v>
      </c>
      <c r="W61" s="32">
        <f t="shared" si="24"/>
        <v>515.94444704</v>
      </c>
      <c r="X61" s="32">
        <f>L61/1000000</f>
        <v>0.10675033</v>
      </c>
      <c r="Y61" s="32">
        <f>M61/1000000</f>
        <v>0</v>
      </c>
      <c r="Z61" s="32">
        <f t="shared" si="24"/>
        <v>0.05</v>
      </c>
      <c r="AA61" s="32">
        <f t="shared" si="24"/>
        <v>5.6750330000000002E-2</v>
      </c>
      <c r="AB61" s="32">
        <f t="shared" si="25"/>
        <v>95.593568495157584</v>
      </c>
      <c r="AC61" s="32">
        <f t="shared" si="25"/>
        <v>95.59269697382517</v>
      </c>
      <c r="AD61" s="32">
        <f>X61/R61%</f>
        <v>99.999999999999986</v>
      </c>
      <c r="AE61" s="54" t="s">
        <v>30</v>
      </c>
      <c r="AF61" s="32">
        <f t="shared" si="25"/>
        <v>100</v>
      </c>
      <c r="AG61" s="34">
        <f t="shared" si="25"/>
        <v>100</v>
      </c>
      <c r="AH61" s="30"/>
    </row>
    <row r="62" spans="1:34" hidden="1" x14ac:dyDescent="0.25">
      <c r="A62" s="108" t="s">
        <v>72</v>
      </c>
      <c r="B62" s="31">
        <v>61573356.579999998</v>
      </c>
      <c r="C62" s="31">
        <v>0</v>
      </c>
      <c r="D62" s="31">
        <v>54066957.5</v>
      </c>
      <c r="E62" s="119">
        <f>F62+G62+H62-E63</f>
        <v>7506399.0800000001</v>
      </c>
      <c r="F62" s="31">
        <v>4791000</v>
      </c>
      <c r="G62" s="31">
        <v>309100</v>
      </c>
      <c r="H62" s="31">
        <v>2406299.08</v>
      </c>
      <c r="I62" s="31">
        <v>60612274.609999999</v>
      </c>
      <c r="J62" s="31">
        <v>0</v>
      </c>
      <c r="K62" s="31">
        <v>54066957.5</v>
      </c>
      <c r="L62" s="120">
        <f>M62+N62+O62-L63</f>
        <v>6545317.1099999994</v>
      </c>
      <c r="M62" s="31">
        <v>4180787.11</v>
      </c>
      <c r="N62" s="31">
        <v>309100</v>
      </c>
      <c r="O62" s="31">
        <v>2055430</v>
      </c>
      <c r="P62" s="32">
        <f t="shared" si="26"/>
        <v>61.573356579999995</v>
      </c>
      <c r="Q62" s="32">
        <f t="shared" si="23"/>
        <v>54.066957500000001</v>
      </c>
      <c r="R62" s="32">
        <f>E62/1000000</f>
        <v>7.5063990800000004</v>
      </c>
      <c r="S62" s="32">
        <f>F62/1000000</f>
        <v>4.7910000000000004</v>
      </c>
      <c r="T62" s="32">
        <f t="shared" si="23"/>
        <v>0.30909999999999999</v>
      </c>
      <c r="U62" s="32">
        <f t="shared" si="23"/>
        <v>2.4062990800000001</v>
      </c>
      <c r="V62" s="32">
        <f t="shared" si="23"/>
        <v>60.61227461</v>
      </c>
      <c r="W62" s="32">
        <f t="shared" si="24"/>
        <v>54.066957500000001</v>
      </c>
      <c r="X62" s="32">
        <f>L62/1000000</f>
        <v>6.5453171099999992</v>
      </c>
      <c r="Y62" s="32">
        <f>M62/1000000</f>
        <v>4.1807871099999998</v>
      </c>
      <c r="Z62" s="32">
        <f t="shared" si="24"/>
        <v>0.30909999999999999</v>
      </c>
      <c r="AA62" s="32">
        <f t="shared" si="24"/>
        <v>2.0554299999999999</v>
      </c>
      <c r="AB62" s="32">
        <f t="shared" si="25"/>
        <v>98.439126883149058</v>
      </c>
      <c r="AC62" s="32">
        <f t="shared" si="25"/>
        <v>100</v>
      </c>
      <c r="AD62" s="32">
        <f>X62/R62%</f>
        <v>87.196497817965721</v>
      </c>
      <c r="AE62" s="32">
        <f>Y62/S62%</f>
        <v>87.26335024003339</v>
      </c>
      <c r="AF62" s="32">
        <f t="shared" si="25"/>
        <v>100</v>
      </c>
      <c r="AG62" s="34">
        <f t="shared" si="25"/>
        <v>85.418725256712463</v>
      </c>
      <c r="AH62" s="30"/>
    </row>
    <row r="63" spans="1:34" s="274" customFormat="1" hidden="1" x14ac:dyDescent="0.25">
      <c r="A63" s="316" t="s">
        <v>73</v>
      </c>
      <c r="B63" s="320"/>
      <c r="C63" s="320"/>
      <c r="D63" s="320"/>
      <c r="E63" s="322">
        <f>F63+G63+H63</f>
        <v>0</v>
      </c>
      <c r="F63" s="320"/>
      <c r="G63" s="320"/>
      <c r="H63" s="320"/>
      <c r="I63" s="320"/>
      <c r="J63" s="320"/>
      <c r="K63" s="320"/>
      <c r="L63" s="322">
        <f>M63+N63+O63</f>
        <v>0</v>
      </c>
      <c r="M63" s="320"/>
      <c r="N63" s="320"/>
      <c r="O63" s="320"/>
      <c r="P63" s="272"/>
      <c r="Q63" s="272">
        <f t="shared" si="23"/>
        <v>0</v>
      </c>
      <c r="R63" s="272"/>
      <c r="S63" s="272"/>
      <c r="T63" s="272">
        <f t="shared" si="23"/>
        <v>0</v>
      </c>
      <c r="U63" s="272">
        <f t="shared" si="23"/>
        <v>0</v>
      </c>
      <c r="V63" s="272"/>
      <c r="W63" s="272">
        <f t="shared" si="24"/>
        <v>0</v>
      </c>
      <c r="X63" s="272"/>
      <c r="Y63" s="272"/>
      <c r="Z63" s="272">
        <f t="shared" si="24"/>
        <v>0</v>
      </c>
      <c r="AA63" s="272">
        <f t="shared" si="24"/>
        <v>0</v>
      </c>
      <c r="AB63" s="324"/>
      <c r="AC63" s="272" t="e">
        <f t="shared" si="25"/>
        <v>#DIV/0!</v>
      </c>
      <c r="AD63" s="272"/>
      <c r="AE63" s="272" t="e">
        <f t="shared" ref="AE63:AE65" si="28">Y63/S63%</f>
        <v>#DIV/0!</v>
      </c>
      <c r="AF63" s="272"/>
      <c r="AG63" s="273" t="e">
        <f t="shared" si="25"/>
        <v>#DIV/0!</v>
      </c>
      <c r="AH63" s="321"/>
    </row>
    <row r="64" spans="1:34" x14ac:dyDescent="0.25">
      <c r="A64" s="108" t="s">
        <v>74</v>
      </c>
      <c r="B64" s="31">
        <v>1161319368.6400001</v>
      </c>
      <c r="C64" s="31">
        <v>358100</v>
      </c>
      <c r="D64" s="31">
        <v>1149845914.45</v>
      </c>
      <c r="E64" s="119">
        <f>F64+G64+H64-E65</f>
        <v>11653454.189999999</v>
      </c>
      <c r="F64" s="31">
        <v>0</v>
      </c>
      <c r="G64" s="31">
        <v>11806554.189999999</v>
      </c>
      <c r="H64" s="31">
        <v>25000</v>
      </c>
      <c r="I64" s="31">
        <v>1159458612.78</v>
      </c>
      <c r="J64" s="31">
        <v>358100</v>
      </c>
      <c r="K64" s="31">
        <v>1148864572.0699999</v>
      </c>
      <c r="L64" s="120">
        <f>M64+N64+O64-L65</f>
        <v>10774040.710000001</v>
      </c>
      <c r="M64" s="31">
        <v>0</v>
      </c>
      <c r="N64" s="31">
        <v>10927140.710000001</v>
      </c>
      <c r="O64" s="31">
        <v>25000</v>
      </c>
      <c r="P64" s="32">
        <f t="shared" si="26"/>
        <v>1161.31936864</v>
      </c>
      <c r="Q64" s="32">
        <f t="shared" si="23"/>
        <v>1149.84591445</v>
      </c>
      <c r="R64" s="32">
        <f>E64/1000000</f>
        <v>11.65345419</v>
      </c>
      <c r="S64" s="32">
        <f>F64/1000000</f>
        <v>0</v>
      </c>
      <c r="T64" s="32">
        <f t="shared" si="23"/>
        <v>11.80655419</v>
      </c>
      <c r="U64" s="32">
        <f t="shared" si="23"/>
        <v>2.5000000000000001E-2</v>
      </c>
      <c r="V64" s="32">
        <f t="shared" si="23"/>
        <v>1159.4586127800001</v>
      </c>
      <c r="W64" s="32">
        <f t="shared" si="24"/>
        <v>1148.8645720699999</v>
      </c>
      <c r="X64" s="32">
        <f>L64/1000000</f>
        <v>10.774040710000001</v>
      </c>
      <c r="Y64" s="32">
        <f>M64/1000000</f>
        <v>0</v>
      </c>
      <c r="Z64" s="32">
        <f t="shared" si="24"/>
        <v>10.927140710000002</v>
      </c>
      <c r="AA64" s="32">
        <f t="shared" si="24"/>
        <v>2.5000000000000001E-2</v>
      </c>
      <c r="AB64" s="32">
        <f t="shared" si="25"/>
        <v>99.839772252986776</v>
      </c>
      <c r="AC64" s="32">
        <f t="shared" si="25"/>
        <v>99.914654444767976</v>
      </c>
      <c r="AD64" s="32">
        <f>X64/R64%</f>
        <v>92.45362391560576</v>
      </c>
      <c r="AE64" s="54" t="s">
        <v>30</v>
      </c>
      <c r="AF64" s="32">
        <f t="shared" si="25"/>
        <v>92.551480594186827</v>
      </c>
      <c r="AG64" s="34">
        <f>AA64/U64%</f>
        <v>100</v>
      </c>
      <c r="AH64" s="30"/>
    </row>
    <row r="65" spans="1:34" s="274" customFormat="1" hidden="1" x14ac:dyDescent="0.25">
      <c r="A65" s="316" t="s">
        <v>73</v>
      </c>
      <c r="B65" s="320">
        <v>0</v>
      </c>
      <c r="C65" s="320">
        <v>358100</v>
      </c>
      <c r="D65" s="320">
        <v>180000</v>
      </c>
      <c r="E65" s="322">
        <f>F65+G65+H65</f>
        <v>178100</v>
      </c>
      <c r="F65" s="320">
        <v>0</v>
      </c>
      <c r="G65" s="320">
        <v>178100</v>
      </c>
      <c r="H65" s="320">
        <v>0</v>
      </c>
      <c r="I65" s="325">
        <v>0</v>
      </c>
      <c r="J65" s="325">
        <v>358100</v>
      </c>
      <c r="K65" s="325">
        <v>180000</v>
      </c>
      <c r="L65" s="322">
        <f>M65+N65+O65</f>
        <v>178100</v>
      </c>
      <c r="M65" s="325">
        <v>0</v>
      </c>
      <c r="N65" s="325">
        <v>178100</v>
      </c>
      <c r="O65" s="325">
        <v>0</v>
      </c>
      <c r="P65" s="272"/>
      <c r="Q65" s="272">
        <f t="shared" si="23"/>
        <v>0.18</v>
      </c>
      <c r="R65" s="272"/>
      <c r="S65" s="272"/>
      <c r="T65" s="272">
        <f t="shared" si="23"/>
        <v>0.17810000000000001</v>
      </c>
      <c r="U65" s="272">
        <f t="shared" si="23"/>
        <v>0</v>
      </c>
      <c r="V65" s="272"/>
      <c r="W65" s="272">
        <f t="shared" si="24"/>
        <v>0.18</v>
      </c>
      <c r="X65" s="272"/>
      <c r="Y65" s="272"/>
      <c r="Z65" s="272">
        <f t="shared" si="24"/>
        <v>0.17810000000000001</v>
      </c>
      <c r="AA65" s="272">
        <f t="shared" si="24"/>
        <v>0</v>
      </c>
      <c r="AB65" s="272"/>
      <c r="AC65" s="272">
        <f t="shared" si="25"/>
        <v>100</v>
      </c>
      <c r="AD65" s="272"/>
      <c r="AE65" s="326" t="e">
        <f t="shared" si="28"/>
        <v>#DIV/0!</v>
      </c>
      <c r="AF65" s="272">
        <f t="shared" si="25"/>
        <v>100</v>
      </c>
      <c r="AG65" s="273"/>
      <c r="AH65" s="321"/>
    </row>
    <row r="66" spans="1:34" x14ac:dyDescent="0.25">
      <c r="A66" s="108" t="s">
        <v>75</v>
      </c>
      <c r="B66" s="113">
        <v>144820564.31</v>
      </c>
      <c r="C66" s="113">
        <v>4055798</v>
      </c>
      <c r="D66" s="113">
        <v>140739966.31</v>
      </c>
      <c r="E66" s="119">
        <f>F66+G66+H66-E67</f>
        <v>4080598</v>
      </c>
      <c r="F66" s="113">
        <v>0</v>
      </c>
      <c r="G66" s="113">
        <v>4057398</v>
      </c>
      <c r="H66" s="113">
        <v>4078998</v>
      </c>
      <c r="I66" s="31">
        <v>141267326.18000001</v>
      </c>
      <c r="J66" s="31">
        <v>4055798</v>
      </c>
      <c r="K66" s="31">
        <v>137186728.18000001</v>
      </c>
      <c r="L66" s="120">
        <f>M66+N66+O66-L67</f>
        <v>4080598</v>
      </c>
      <c r="M66" s="31">
        <v>0</v>
      </c>
      <c r="N66" s="31">
        <v>4057398</v>
      </c>
      <c r="O66" s="31">
        <v>4078998</v>
      </c>
      <c r="P66" s="32">
        <f t="shared" si="26"/>
        <v>144.82056431000001</v>
      </c>
      <c r="Q66" s="32">
        <f t="shared" si="23"/>
        <v>140.73996631</v>
      </c>
      <c r="R66" s="32">
        <f>E66/1000000</f>
        <v>4.0805980000000002</v>
      </c>
      <c r="S66" s="32">
        <f>F66/1000000</f>
        <v>0</v>
      </c>
      <c r="T66" s="32">
        <f t="shared" si="23"/>
        <v>4.0573980000000001</v>
      </c>
      <c r="U66" s="32">
        <f t="shared" si="23"/>
        <v>4.0789980000000003</v>
      </c>
      <c r="V66" s="32">
        <f t="shared" si="23"/>
        <v>141.26732618</v>
      </c>
      <c r="W66" s="32">
        <f t="shared" si="24"/>
        <v>137.18672818000002</v>
      </c>
      <c r="X66" s="32">
        <f>L66/1000000</f>
        <v>4.0805980000000002</v>
      </c>
      <c r="Y66" s="32">
        <f>M66/1000000</f>
        <v>0</v>
      </c>
      <c r="Z66" s="32">
        <f t="shared" si="24"/>
        <v>4.0573980000000001</v>
      </c>
      <c r="AA66" s="32">
        <f t="shared" si="24"/>
        <v>4.0789980000000003</v>
      </c>
      <c r="AB66" s="32">
        <f t="shared" si="25"/>
        <v>97.546454713162134</v>
      </c>
      <c r="AC66" s="32">
        <f t="shared" si="25"/>
        <v>97.475316910213351</v>
      </c>
      <c r="AD66" s="32">
        <f>X66/R66%</f>
        <v>100.00000000000001</v>
      </c>
      <c r="AE66" s="54" t="s">
        <v>30</v>
      </c>
      <c r="AF66" s="32">
        <f t="shared" si="25"/>
        <v>100</v>
      </c>
      <c r="AG66" s="34">
        <f>AA66/U66%</f>
        <v>100</v>
      </c>
      <c r="AH66" s="30"/>
    </row>
    <row r="67" spans="1:34" s="274" customFormat="1" hidden="1" x14ac:dyDescent="0.25">
      <c r="A67" s="316" t="s">
        <v>73</v>
      </c>
      <c r="B67" s="325">
        <v>0</v>
      </c>
      <c r="C67" s="325">
        <v>4055798</v>
      </c>
      <c r="D67" s="325">
        <v>0</v>
      </c>
      <c r="E67" s="322">
        <f>F67+G67+H67</f>
        <v>4055798</v>
      </c>
      <c r="F67" s="325">
        <v>0</v>
      </c>
      <c r="G67" s="325">
        <v>4055798</v>
      </c>
      <c r="H67" s="325">
        <v>0</v>
      </c>
      <c r="I67" s="325">
        <v>0</v>
      </c>
      <c r="J67" s="325">
        <v>4055798</v>
      </c>
      <c r="K67" s="325">
        <v>0</v>
      </c>
      <c r="L67" s="322">
        <f>M67+N67+O67</f>
        <v>4055798</v>
      </c>
      <c r="M67" s="325">
        <v>0</v>
      </c>
      <c r="N67" s="325">
        <v>4055798</v>
      </c>
      <c r="O67" s="325">
        <v>0</v>
      </c>
      <c r="P67" s="272"/>
      <c r="Q67" s="272">
        <f t="shared" si="23"/>
        <v>0</v>
      </c>
      <c r="R67" s="272"/>
      <c r="S67" s="272"/>
      <c r="T67" s="272">
        <f t="shared" si="23"/>
        <v>4.0557980000000002</v>
      </c>
      <c r="U67" s="272">
        <f t="shared" si="23"/>
        <v>0</v>
      </c>
      <c r="V67" s="272"/>
      <c r="W67" s="272">
        <f t="shared" si="24"/>
        <v>0</v>
      </c>
      <c r="X67" s="272"/>
      <c r="Y67" s="272"/>
      <c r="Z67" s="272">
        <f t="shared" si="24"/>
        <v>4.0557980000000002</v>
      </c>
      <c r="AA67" s="272">
        <f t="shared" si="24"/>
        <v>0</v>
      </c>
      <c r="AB67" s="272"/>
      <c r="AC67" s="272" t="e">
        <f t="shared" si="25"/>
        <v>#DIV/0!</v>
      </c>
      <c r="AD67" s="272"/>
      <c r="AE67" s="326" t="s">
        <v>30</v>
      </c>
      <c r="AF67" s="272">
        <f>Z67/T67%</f>
        <v>100</v>
      </c>
      <c r="AG67" s="273"/>
      <c r="AH67" s="321"/>
    </row>
    <row r="68" spans="1:34" x14ac:dyDescent="0.25">
      <c r="A68" s="108" t="s">
        <v>76</v>
      </c>
      <c r="B68" s="31">
        <v>834377325</v>
      </c>
      <c r="C68" s="31">
        <v>0</v>
      </c>
      <c r="D68" s="31">
        <v>834117325</v>
      </c>
      <c r="E68" s="119">
        <f>F68+G68+H68-E69</f>
        <v>260000</v>
      </c>
      <c r="F68" s="31">
        <v>0</v>
      </c>
      <c r="G68" s="31">
        <v>0</v>
      </c>
      <c r="H68" s="31">
        <v>260000</v>
      </c>
      <c r="I68" s="31">
        <v>831536619.24000001</v>
      </c>
      <c r="J68" s="31">
        <v>0</v>
      </c>
      <c r="K68" s="31">
        <v>831276619.24000001</v>
      </c>
      <c r="L68" s="119">
        <f>M68+N68+O68-L69</f>
        <v>260000</v>
      </c>
      <c r="M68" s="31">
        <v>0</v>
      </c>
      <c r="N68" s="31">
        <v>0</v>
      </c>
      <c r="O68" s="31">
        <v>260000</v>
      </c>
      <c r="P68" s="32">
        <f t="shared" si="26"/>
        <v>834.37732500000004</v>
      </c>
      <c r="Q68" s="32">
        <f>D68/1000000</f>
        <v>834.11732500000005</v>
      </c>
      <c r="R68" s="32">
        <f>E68/1000000</f>
        <v>0.26</v>
      </c>
      <c r="S68" s="32">
        <f>F68/1000000</f>
        <v>0</v>
      </c>
      <c r="T68" s="32">
        <f t="shared" ref="T68:V109" si="29">G68/1000000</f>
        <v>0</v>
      </c>
      <c r="U68" s="32">
        <f t="shared" si="29"/>
        <v>0.26</v>
      </c>
      <c r="V68" s="32">
        <f t="shared" si="29"/>
        <v>831.53661924000005</v>
      </c>
      <c r="W68" s="32">
        <f t="shared" si="24"/>
        <v>831.27661924000006</v>
      </c>
      <c r="X68" s="32">
        <f>L68/1000000</f>
        <v>0.26</v>
      </c>
      <c r="Y68" s="32">
        <f>M68/1000000</f>
        <v>0</v>
      </c>
      <c r="Z68" s="32">
        <f t="shared" si="24"/>
        <v>0</v>
      </c>
      <c r="AA68" s="32">
        <f t="shared" si="24"/>
        <v>0.26</v>
      </c>
      <c r="AB68" s="32">
        <f>V68/P68%</f>
        <v>99.659541831389063</v>
      </c>
      <c r="AC68" s="32">
        <f>W68/Q68%</f>
        <v>99.65943570828</v>
      </c>
      <c r="AD68" s="32">
        <f t="shared" ref="AD68" si="30">X68/R68%</f>
        <v>100.00000000000001</v>
      </c>
      <c r="AE68" s="54" t="s">
        <v>30</v>
      </c>
      <c r="AF68" s="54" t="s">
        <v>30</v>
      </c>
      <c r="AG68" s="34">
        <f t="shared" ref="AF68:AG69" si="31">AA68/U68%</f>
        <v>100.00000000000001</v>
      </c>
      <c r="AH68" s="30"/>
    </row>
    <row r="69" spans="1:34" s="274" customFormat="1" hidden="1" x14ac:dyDescent="0.25">
      <c r="A69" s="316" t="s">
        <v>73</v>
      </c>
      <c r="B69" s="320"/>
      <c r="C69" s="320"/>
      <c r="D69" s="320"/>
      <c r="E69" s="322">
        <f>F69+G69+H69</f>
        <v>0</v>
      </c>
      <c r="F69" s="320"/>
      <c r="G69" s="320"/>
      <c r="H69" s="320"/>
      <c r="I69" s="341"/>
      <c r="J69" s="341"/>
      <c r="K69" s="341"/>
      <c r="L69" s="322">
        <f>M69+N69+O69</f>
        <v>0</v>
      </c>
      <c r="M69" s="320"/>
      <c r="N69" s="320"/>
      <c r="O69" s="320"/>
      <c r="P69" s="272"/>
      <c r="Q69" s="272">
        <f t="shared" ref="Q69:S110" si="32">D69/1000000</f>
        <v>0</v>
      </c>
      <c r="R69" s="272"/>
      <c r="S69" s="272"/>
      <c r="T69" s="272">
        <f>G69/1000000</f>
        <v>0</v>
      </c>
      <c r="U69" s="272">
        <f t="shared" si="29"/>
        <v>0</v>
      </c>
      <c r="V69" s="272"/>
      <c r="W69" s="272">
        <f>K69/1000000</f>
        <v>0</v>
      </c>
      <c r="X69" s="272"/>
      <c r="Y69" s="272"/>
      <c r="Z69" s="272">
        <f>N69/1000000</f>
        <v>0</v>
      </c>
      <c r="AA69" s="272"/>
      <c r="AB69" s="324"/>
      <c r="AC69" s="272"/>
      <c r="AD69" s="272"/>
      <c r="AE69" s="272"/>
      <c r="AF69" s="272" t="e">
        <f t="shared" si="31"/>
        <v>#DIV/0!</v>
      </c>
      <c r="AG69" s="273"/>
      <c r="AH69" s="321"/>
    </row>
    <row r="70" spans="1:34" x14ac:dyDescent="0.25">
      <c r="A70" s="108" t="s">
        <v>77</v>
      </c>
      <c r="B70" s="31">
        <v>711645403.44000006</v>
      </c>
      <c r="C70" s="31">
        <v>35979631.090000004</v>
      </c>
      <c r="D70" s="31">
        <v>570242849.98000002</v>
      </c>
      <c r="E70" s="119">
        <f>F70+G70+H70-E71</f>
        <v>172449753.46000001</v>
      </c>
      <c r="F70" s="31">
        <v>123454381.34</v>
      </c>
      <c r="G70" s="31">
        <v>42179901.740000002</v>
      </c>
      <c r="H70" s="31">
        <v>11747901.470000001</v>
      </c>
      <c r="I70" s="31">
        <v>680105297.67999995</v>
      </c>
      <c r="J70" s="31">
        <v>35974445.350000001</v>
      </c>
      <c r="K70" s="31">
        <v>541162088.86000001</v>
      </c>
      <c r="L70" s="120">
        <f>M70+N70+O70-L71</f>
        <v>169985223.07999998</v>
      </c>
      <c r="M70" s="31">
        <v>123246946.95</v>
      </c>
      <c r="N70" s="31">
        <v>40822683.799999997</v>
      </c>
      <c r="O70" s="31">
        <v>10848023.42</v>
      </c>
      <c r="P70" s="32">
        <f t="shared" si="26"/>
        <v>711.64540344000011</v>
      </c>
      <c r="Q70" s="32">
        <f t="shared" si="32"/>
        <v>570.24284998000007</v>
      </c>
      <c r="R70" s="32">
        <f>E70/1000000</f>
        <v>172.44975346000001</v>
      </c>
      <c r="S70" s="32">
        <f>F70/1000000</f>
        <v>123.45438134</v>
      </c>
      <c r="T70" s="32">
        <f t="shared" si="29"/>
        <v>42.179901740000005</v>
      </c>
      <c r="U70" s="32">
        <f t="shared" si="29"/>
        <v>11.74790147</v>
      </c>
      <c r="V70" s="32">
        <f t="shared" si="29"/>
        <v>680.10529767999992</v>
      </c>
      <c r="W70" s="32">
        <f t="shared" si="24"/>
        <v>541.16208886000004</v>
      </c>
      <c r="X70" s="32">
        <f>L70/1000000</f>
        <v>169.98522308</v>
      </c>
      <c r="Y70" s="32">
        <f>M70/1000000</f>
        <v>123.24694695000001</v>
      </c>
      <c r="Z70" s="32">
        <f t="shared" si="24"/>
        <v>40.8226838</v>
      </c>
      <c r="AA70" s="32">
        <f t="shared" si="24"/>
        <v>10.848023420000001</v>
      </c>
      <c r="AB70" s="32">
        <f>V70/P70%</f>
        <v>95.568002602484398</v>
      </c>
      <c r="AC70" s="32">
        <f t="shared" ref="AC70:AE130" si="33">W70/Q70%</f>
        <v>94.900284831099597</v>
      </c>
      <c r="AD70" s="32">
        <f>X70/R70%</f>
        <v>98.570870453246727</v>
      </c>
      <c r="AE70" s="32">
        <f>Y70/S70%</f>
        <v>99.831974865737081</v>
      </c>
      <c r="AF70" s="32">
        <f>Z70/T70%</f>
        <v>96.782311280936611</v>
      </c>
      <c r="AG70" s="34">
        <f>AA70/U70%</f>
        <v>92.340095358324447</v>
      </c>
      <c r="AH70" s="30"/>
    </row>
    <row r="71" spans="1:34" s="274" customFormat="1" hidden="1" x14ac:dyDescent="0.25">
      <c r="A71" s="316" t="s">
        <v>73</v>
      </c>
      <c r="B71" s="320">
        <v>21.43</v>
      </c>
      <c r="C71" s="320">
        <v>35979631.090000004</v>
      </c>
      <c r="D71" s="320">
        <v>31047221.43</v>
      </c>
      <c r="E71" s="322">
        <f>F71+G71+H71</f>
        <v>4932431.09</v>
      </c>
      <c r="F71" s="320">
        <v>0</v>
      </c>
      <c r="G71" s="320">
        <v>4932431.09</v>
      </c>
      <c r="H71" s="320">
        <v>0</v>
      </c>
      <c r="I71" s="320">
        <v>0</v>
      </c>
      <c r="J71" s="320">
        <v>35974445.350000001</v>
      </c>
      <c r="K71" s="320">
        <v>31042014.260000002</v>
      </c>
      <c r="L71" s="322">
        <f>M71+N71+O71</f>
        <v>4932431.09</v>
      </c>
      <c r="M71" s="320">
        <v>0</v>
      </c>
      <c r="N71" s="320">
        <v>4932431.09</v>
      </c>
      <c r="O71" s="320">
        <v>0</v>
      </c>
      <c r="P71" s="272"/>
      <c r="Q71" s="272">
        <f t="shared" si="32"/>
        <v>31.04722143</v>
      </c>
      <c r="R71" s="272"/>
      <c r="S71" s="272"/>
      <c r="T71" s="272">
        <f t="shared" si="29"/>
        <v>4.9324310899999997</v>
      </c>
      <c r="U71" s="272">
        <f t="shared" si="29"/>
        <v>0</v>
      </c>
      <c r="V71" s="272"/>
      <c r="W71" s="272">
        <f t="shared" si="24"/>
        <v>31.042014260000002</v>
      </c>
      <c r="X71" s="272"/>
      <c r="Y71" s="272"/>
      <c r="Z71" s="272">
        <f t="shared" si="24"/>
        <v>4.9324310899999997</v>
      </c>
      <c r="AA71" s="272">
        <f t="shared" si="24"/>
        <v>0</v>
      </c>
      <c r="AB71" s="272"/>
      <c r="AC71" s="272">
        <f t="shared" si="33"/>
        <v>99.983228225392935</v>
      </c>
      <c r="AD71" s="272"/>
      <c r="AE71" s="272"/>
      <c r="AF71" s="272">
        <f t="shared" ref="AF71:AG88" si="34">Z71/T71%</f>
        <v>100</v>
      </c>
      <c r="AG71" s="273" t="e">
        <f t="shared" si="34"/>
        <v>#DIV/0!</v>
      </c>
      <c r="AH71" s="321"/>
    </row>
    <row r="72" spans="1:34" x14ac:dyDescent="0.25">
      <c r="A72" s="108" t="s">
        <v>78</v>
      </c>
      <c r="B72" s="31">
        <v>7064236977.4700003</v>
      </c>
      <c r="C72" s="31">
        <v>727131844.15999997</v>
      </c>
      <c r="D72" s="31">
        <v>5632386450</v>
      </c>
      <c r="E72" s="119">
        <f>F72+G72+H72-E73</f>
        <v>1983800778.0600002</v>
      </c>
      <c r="F72" s="31">
        <v>1515655783.8399999</v>
      </c>
      <c r="G72" s="31">
        <v>335828686.04000002</v>
      </c>
      <c r="H72" s="31">
        <v>307497901.75</v>
      </c>
      <c r="I72" s="31">
        <v>6796633662.75</v>
      </c>
      <c r="J72" s="31">
        <v>708626150.89999998</v>
      </c>
      <c r="K72" s="31">
        <v>5453685919.29</v>
      </c>
      <c r="L72" s="120">
        <f>M72+N72+O72-L73</f>
        <v>1889449578.5200002</v>
      </c>
      <c r="M72" s="31">
        <v>1474656481.76</v>
      </c>
      <c r="N72" s="31">
        <v>298131342.16000003</v>
      </c>
      <c r="O72" s="31">
        <v>278786070.44</v>
      </c>
      <c r="P72" s="32">
        <f t="shared" si="26"/>
        <v>7064.2369774700001</v>
      </c>
      <c r="Q72" s="32">
        <f t="shared" si="32"/>
        <v>5632.38645</v>
      </c>
      <c r="R72" s="32">
        <f>E72/1000000</f>
        <v>1983.8007780600001</v>
      </c>
      <c r="S72" s="32">
        <f>F72/1000000</f>
        <v>1515.6557838399999</v>
      </c>
      <c r="T72" s="32">
        <f t="shared" si="29"/>
        <v>335.82868604000004</v>
      </c>
      <c r="U72" s="32">
        <f t="shared" si="29"/>
        <v>307.49790174999998</v>
      </c>
      <c r="V72" s="32">
        <f t="shared" si="29"/>
        <v>6796.6336627500004</v>
      </c>
      <c r="W72" s="32">
        <f t="shared" si="24"/>
        <v>5453.6859192900001</v>
      </c>
      <c r="X72" s="32">
        <f>L72/1000000</f>
        <v>1889.4495785200002</v>
      </c>
      <c r="Y72" s="32">
        <f>M72/1000000</f>
        <v>1474.6564817599999</v>
      </c>
      <c r="Z72" s="32">
        <f t="shared" si="24"/>
        <v>298.13134216000003</v>
      </c>
      <c r="AA72" s="32">
        <f t="shared" si="24"/>
        <v>278.78607044</v>
      </c>
      <c r="AB72" s="32">
        <f>V72/P72%</f>
        <v>96.211858186900187</v>
      </c>
      <c r="AC72" s="32">
        <f t="shared" si="33"/>
        <v>96.827267938797064</v>
      </c>
      <c r="AD72" s="32">
        <f>X72/R72%</f>
        <v>95.243917605866244</v>
      </c>
      <c r="AE72" s="32">
        <f>Y72/S72%</f>
        <v>97.294946351464716</v>
      </c>
      <c r="AF72" s="32">
        <f t="shared" si="34"/>
        <v>88.774829117632336</v>
      </c>
      <c r="AG72" s="34">
        <f t="shared" si="34"/>
        <v>90.662755372768984</v>
      </c>
      <c r="AH72" s="30"/>
    </row>
    <row r="73" spans="1:34" s="274" customFormat="1" hidden="1" x14ac:dyDescent="0.25">
      <c r="A73" s="316" t="s">
        <v>73</v>
      </c>
      <c r="B73" s="320">
        <v>0</v>
      </c>
      <c r="C73" s="320">
        <v>727131844.15999997</v>
      </c>
      <c r="D73" s="320">
        <v>551950250.59000003</v>
      </c>
      <c r="E73" s="322">
        <f>F73+G73+H73</f>
        <v>175181593.57000002</v>
      </c>
      <c r="F73" s="320">
        <v>0</v>
      </c>
      <c r="G73" s="320">
        <v>174472036.46000001</v>
      </c>
      <c r="H73" s="320">
        <v>709557.11</v>
      </c>
      <c r="I73" s="320">
        <v>0</v>
      </c>
      <c r="J73" s="320">
        <v>708626150.89999998</v>
      </c>
      <c r="K73" s="320">
        <v>546501835.05999994</v>
      </c>
      <c r="L73" s="322">
        <f>M73+N73+O73</f>
        <v>162124315.84</v>
      </c>
      <c r="M73" s="320">
        <v>0</v>
      </c>
      <c r="N73" s="320">
        <v>161529096.30000001</v>
      </c>
      <c r="O73" s="320">
        <v>595219.54</v>
      </c>
      <c r="P73" s="272">
        <f t="shared" si="26"/>
        <v>0</v>
      </c>
      <c r="Q73" s="272">
        <f t="shared" si="32"/>
        <v>551.95025059</v>
      </c>
      <c r="R73" s="272"/>
      <c r="S73" s="272"/>
      <c r="T73" s="272">
        <f t="shared" si="29"/>
        <v>174.47203646</v>
      </c>
      <c r="U73" s="272">
        <f t="shared" si="29"/>
        <v>0.70955710999999999</v>
      </c>
      <c r="V73" s="272">
        <f t="shared" si="29"/>
        <v>0</v>
      </c>
      <c r="W73" s="272">
        <f t="shared" si="24"/>
        <v>546.50183505999996</v>
      </c>
      <c r="X73" s="272"/>
      <c r="Y73" s="272"/>
      <c r="Z73" s="272">
        <f t="shared" si="24"/>
        <v>161.52909630000002</v>
      </c>
      <c r="AA73" s="272">
        <f t="shared" si="24"/>
        <v>0.59521953999999999</v>
      </c>
      <c r="AB73" s="272"/>
      <c r="AC73" s="272">
        <f t="shared" si="33"/>
        <v>99.012879236094918</v>
      </c>
      <c r="AD73" s="272"/>
      <c r="AE73" s="272"/>
      <c r="AF73" s="272">
        <f t="shared" si="34"/>
        <v>92.581653528777764</v>
      </c>
      <c r="AG73" s="273">
        <f t="shared" si="34"/>
        <v>83.886065210452202</v>
      </c>
      <c r="AH73" s="321"/>
    </row>
    <row r="74" spans="1:34" hidden="1" x14ac:dyDescent="0.25">
      <c r="A74" s="108" t="s">
        <v>79</v>
      </c>
      <c r="B74" s="31">
        <v>35892913.130000003</v>
      </c>
      <c r="C74" s="31">
        <v>0</v>
      </c>
      <c r="D74" s="31">
        <v>32352815.530000001</v>
      </c>
      <c r="E74" s="119">
        <f>F74+G74+H74-E75</f>
        <v>3540097.6</v>
      </c>
      <c r="F74" s="31">
        <v>2589540</v>
      </c>
      <c r="G74" s="31">
        <v>950557.6</v>
      </c>
      <c r="H74" s="31">
        <v>0</v>
      </c>
      <c r="I74" s="31">
        <v>35267593.799999997</v>
      </c>
      <c r="J74" s="31">
        <v>0</v>
      </c>
      <c r="K74" s="31">
        <v>32115930.199999999</v>
      </c>
      <c r="L74" s="120">
        <f>M74+N74+O74-L75</f>
        <v>3151663.6</v>
      </c>
      <c r="M74" s="31">
        <v>2201106</v>
      </c>
      <c r="N74" s="31">
        <v>950557.6</v>
      </c>
      <c r="O74" s="31">
        <v>0</v>
      </c>
      <c r="P74" s="32">
        <f t="shared" si="26"/>
        <v>35.892913130000004</v>
      </c>
      <c r="Q74" s="32">
        <f t="shared" si="32"/>
        <v>32.352815530000001</v>
      </c>
      <c r="R74" s="32">
        <f>E74/1000000</f>
        <v>3.5400976000000002</v>
      </c>
      <c r="S74" s="32">
        <f>F74/1000000</f>
        <v>2.58954</v>
      </c>
      <c r="T74" s="32">
        <f t="shared" si="29"/>
        <v>0.9505576</v>
      </c>
      <c r="U74" s="32">
        <f t="shared" si="29"/>
        <v>0</v>
      </c>
      <c r="V74" s="32">
        <f t="shared" si="29"/>
        <v>35.2675938</v>
      </c>
      <c r="W74" s="32">
        <f t="shared" si="24"/>
        <v>32.115930200000001</v>
      </c>
      <c r="X74" s="32">
        <f t="shared" si="24"/>
        <v>3.1516636</v>
      </c>
      <c r="Y74" s="32">
        <f t="shared" si="24"/>
        <v>2.2011059999999998</v>
      </c>
      <c r="Z74" s="32">
        <f t="shared" si="24"/>
        <v>0.9505576</v>
      </c>
      <c r="AA74" s="32">
        <f t="shared" si="24"/>
        <v>0</v>
      </c>
      <c r="AB74" s="32">
        <f>V74/P74%</f>
        <v>98.257819509564001</v>
      </c>
      <c r="AC74" s="32">
        <f t="shared" si="33"/>
        <v>99.267806136438594</v>
      </c>
      <c r="AD74" s="32">
        <f>X74/R74%</f>
        <v>89.027590651737967</v>
      </c>
      <c r="AE74" s="32">
        <f>Y74/S74%</f>
        <v>84.999884149308372</v>
      </c>
      <c r="AF74" s="32">
        <f t="shared" si="34"/>
        <v>100</v>
      </c>
      <c r="AG74" s="34"/>
      <c r="AH74" s="30"/>
    </row>
    <row r="75" spans="1:34" s="274" customFormat="1" hidden="1" x14ac:dyDescent="0.25">
      <c r="A75" s="316" t="s">
        <v>73</v>
      </c>
      <c r="B75" s="320"/>
      <c r="C75" s="320"/>
      <c r="D75" s="320"/>
      <c r="E75" s="322">
        <f>F75+G75+H75</f>
        <v>0</v>
      </c>
      <c r="F75" s="320"/>
      <c r="G75" s="320"/>
      <c r="H75" s="320"/>
      <c r="I75" s="320"/>
      <c r="J75" s="320"/>
      <c r="K75" s="320"/>
      <c r="L75" s="322">
        <f>M75+N75+O75</f>
        <v>0</v>
      </c>
      <c r="M75" s="320"/>
      <c r="N75" s="320"/>
      <c r="O75" s="320"/>
      <c r="P75" s="272"/>
      <c r="Q75" s="272">
        <f t="shared" si="32"/>
        <v>0</v>
      </c>
      <c r="R75" s="272"/>
      <c r="S75" s="272"/>
      <c r="T75" s="63">
        <f t="shared" si="29"/>
        <v>0</v>
      </c>
      <c r="U75" s="272"/>
      <c r="V75" s="272"/>
      <c r="W75" s="272">
        <f>K75/1000000</f>
        <v>0</v>
      </c>
      <c r="X75" s="272"/>
      <c r="Y75" s="272"/>
      <c r="Z75" s="63">
        <f t="shared" si="24"/>
        <v>0</v>
      </c>
      <c r="AA75" s="272"/>
      <c r="AB75" s="272"/>
      <c r="AC75" s="63" t="e">
        <f t="shared" si="33"/>
        <v>#DIV/0!</v>
      </c>
      <c r="AD75" s="272"/>
      <c r="AE75" s="63"/>
      <c r="AF75" s="63" t="e">
        <f t="shared" si="34"/>
        <v>#DIV/0!</v>
      </c>
      <c r="AG75" s="273"/>
      <c r="AH75" s="321"/>
    </row>
    <row r="76" spans="1:34" ht="26.4" x14ac:dyDescent="0.25">
      <c r="A76" s="108" t="s">
        <v>80</v>
      </c>
      <c r="B76" s="31">
        <v>689860789.58000004</v>
      </c>
      <c r="C76" s="31">
        <v>45924269.560000002</v>
      </c>
      <c r="D76" s="31">
        <v>538569331.97000003</v>
      </c>
      <c r="E76" s="119">
        <f>F76+G76+H76-E77</f>
        <v>181412396.32999998</v>
      </c>
      <c r="F76" s="31">
        <v>107391907.09</v>
      </c>
      <c r="G76" s="31">
        <v>59958534.380000003</v>
      </c>
      <c r="H76" s="31">
        <v>29865285.699999999</v>
      </c>
      <c r="I76" s="31">
        <v>665663482.75999999</v>
      </c>
      <c r="J76" s="31">
        <v>41559100.859999999</v>
      </c>
      <c r="K76" s="31">
        <v>530042463.19</v>
      </c>
      <c r="L76" s="120">
        <f>M76+N76+O76-L77</f>
        <v>162892895.51000002</v>
      </c>
      <c r="M76" s="31">
        <v>99757713.329999998</v>
      </c>
      <c r="N76" s="31">
        <v>54578704.329999998</v>
      </c>
      <c r="O76" s="31">
        <v>22843702.770000003</v>
      </c>
      <c r="P76" s="32">
        <f t="shared" si="26"/>
        <v>689.86078958000007</v>
      </c>
      <c r="Q76" s="32">
        <f t="shared" si="32"/>
        <v>538.56933197000001</v>
      </c>
      <c r="R76" s="32">
        <f t="shared" si="32"/>
        <v>181.41239632999998</v>
      </c>
      <c r="S76" s="32">
        <f t="shared" si="32"/>
        <v>107.39190709</v>
      </c>
      <c r="T76" s="32">
        <f t="shared" si="29"/>
        <v>59.958534380000003</v>
      </c>
      <c r="U76" s="32">
        <f t="shared" si="29"/>
        <v>29.865285699999998</v>
      </c>
      <c r="V76" s="32">
        <f t="shared" si="29"/>
        <v>665.66348275999997</v>
      </c>
      <c r="W76" s="32">
        <f t="shared" si="24"/>
        <v>530.04246319000003</v>
      </c>
      <c r="X76" s="32">
        <f t="shared" si="24"/>
        <v>162.89289551000002</v>
      </c>
      <c r="Y76" s="32">
        <f t="shared" si="24"/>
        <v>99.757713330000001</v>
      </c>
      <c r="Z76" s="32">
        <f t="shared" si="24"/>
        <v>54.578704330000001</v>
      </c>
      <c r="AA76" s="32">
        <f t="shared" si="24"/>
        <v>22.843702770000004</v>
      </c>
      <c r="AB76" s="32">
        <f>V76/P76%</f>
        <v>96.492436273304961</v>
      </c>
      <c r="AC76" s="32">
        <f t="shared" si="33"/>
        <v>98.416755601584285</v>
      </c>
      <c r="AD76" s="32">
        <f>X76/R76%</f>
        <v>89.791490992538414</v>
      </c>
      <c r="AE76" s="32">
        <f>Y76/S76%</f>
        <v>92.89127647802907</v>
      </c>
      <c r="AF76" s="32">
        <f t="shared" si="34"/>
        <v>91.027415687141072</v>
      </c>
      <c r="AG76" s="34">
        <f>AA76/U76%</f>
        <v>76.489148637208601</v>
      </c>
      <c r="AH76" s="30"/>
    </row>
    <row r="77" spans="1:34" s="274" customFormat="1" hidden="1" x14ac:dyDescent="0.25">
      <c r="A77" s="316" t="s">
        <v>73</v>
      </c>
      <c r="B77" s="320">
        <v>0</v>
      </c>
      <c r="C77" s="320">
        <v>45924269.560000002</v>
      </c>
      <c r="D77" s="320">
        <v>30120938.719999999</v>
      </c>
      <c r="E77" s="322">
        <f>F77+G77+H77</f>
        <v>15803330.84</v>
      </c>
      <c r="F77" s="320">
        <v>0</v>
      </c>
      <c r="G77" s="320">
        <v>15718330.84</v>
      </c>
      <c r="H77" s="320">
        <v>85000</v>
      </c>
      <c r="I77" s="320">
        <v>0</v>
      </c>
      <c r="J77" s="320">
        <v>41559100.859999999</v>
      </c>
      <c r="K77" s="320">
        <v>27271875.940000001</v>
      </c>
      <c r="L77" s="322">
        <f>M77+N77+O77</f>
        <v>14287224.92</v>
      </c>
      <c r="M77" s="320">
        <v>0</v>
      </c>
      <c r="N77" s="320">
        <v>14202224.92</v>
      </c>
      <c r="O77" s="320">
        <v>85000</v>
      </c>
      <c r="P77" s="272">
        <f t="shared" si="26"/>
        <v>0</v>
      </c>
      <c r="Q77" s="272">
        <f t="shared" si="32"/>
        <v>30.120938719999998</v>
      </c>
      <c r="R77" s="272">
        <f t="shared" si="32"/>
        <v>15.803330839999999</v>
      </c>
      <c r="S77" s="272">
        <f t="shared" si="32"/>
        <v>0</v>
      </c>
      <c r="T77" s="272">
        <f t="shared" si="29"/>
        <v>15.71833084</v>
      </c>
      <c r="U77" s="272">
        <f t="shared" si="29"/>
        <v>8.5000000000000006E-2</v>
      </c>
      <c r="V77" s="272">
        <f t="shared" si="29"/>
        <v>0</v>
      </c>
      <c r="W77" s="272">
        <f t="shared" si="24"/>
        <v>27.271875940000001</v>
      </c>
      <c r="X77" s="272"/>
      <c r="Y77" s="272"/>
      <c r="Z77" s="272">
        <f t="shared" si="24"/>
        <v>14.202224920000001</v>
      </c>
      <c r="AA77" s="272">
        <f t="shared" si="24"/>
        <v>8.5000000000000006E-2</v>
      </c>
      <c r="AB77" s="272" t="e">
        <f>V77/P77%</f>
        <v>#DIV/0!</v>
      </c>
      <c r="AC77" s="272">
        <f t="shared" si="33"/>
        <v>90.541255017034885</v>
      </c>
      <c r="AD77" s="272"/>
      <c r="AE77" s="272"/>
      <c r="AF77" s="272">
        <f t="shared" si="34"/>
        <v>90.354536143610019</v>
      </c>
      <c r="AG77" s="273">
        <f t="shared" si="34"/>
        <v>100</v>
      </c>
      <c r="AH77" s="321"/>
    </row>
    <row r="78" spans="1:34" s="42" customFormat="1" ht="13.5" customHeight="1" x14ac:dyDescent="0.25">
      <c r="A78" s="35" t="s">
        <v>81</v>
      </c>
      <c r="B78" s="36">
        <v>10470422313.85</v>
      </c>
      <c r="C78" s="36">
        <v>2503965786.79</v>
      </c>
      <c r="D78" s="36">
        <v>8247441251.1000004</v>
      </c>
      <c r="E78" s="119">
        <f>F78+G78+H78-E79</f>
        <v>4398693167.8900003</v>
      </c>
      <c r="F78" s="36">
        <v>3255798683.5799999</v>
      </c>
      <c r="G78" s="36">
        <v>662117061.94000006</v>
      </c>
      <c r="H78" s="36">
        <v>809031104.01999998</v>
      </c>
      <c r="I78" s="36">
        <v>9781755041.8099995</v>
      </c>
      <c r="J78" s="36">
        <v>2249074222.8600001</v>
      </c>
      <c r="K78" s="36">
        <v>7696583657.1499996</v>
      </c>
      <c r="L78" s="119">
        <f>M78+N78+O78-L79</f>
        <v>4058894536.5100002</v>
      </c>
      <c r="M78" s="36">
        <v>3063699162.0300002</v>
      </c>
      <c r="N78" s="36">
        <v>577523326.08000004</v>
      </c>
      <c r="O78" s="36">
        <v>693023119.41000009</v>
      </c>
      <c r="P78" s="38">
        <f t="shared" si="26"/>
        <v>10470.42231385</v>
      </c>
      <c r="Q78" s="38">
        <f t="shared" si="32"/>
        <v>8247.441251100001</v>
      </c>
      <c r="R78" s="38">
        <f t="shared" si="32"/>
        <v>4398.69316789</v>
      </c>
      <c r="S78" s="38">
        <f t="shared" si="32"/>
        <v>3255.7986835799998</v>
      </c>
      <c r="T78" s="38">
        <f t="shared" si="29"/>
        <v>662.1170619400001</v>
      </c>
      <c r="U78" s="38">
        <f t="shared" si="29"/>
        <v>809.03110401999993</v>
      </c>
      <c r="V78" s="38">
        <f t="shared" si="29"/>
        <v>9781.75504181</v>
      </c>
      <c r="W78" s="38">
        <f t="shared" si="24"/>
        <v>7696.5836571499995</v>
      </c>
      <c r="X78" s="38">
        <f t="shared" si="24"/>
        <v>4058.8945365100003</v>
      </c>
      <c r="Y78" s="38">
        <f t="shared" si="24"/>
        <v>3063.69916203</v>
      </c>
      <c r="Z78" s="38">
        <f t="shared" si="24"/>
        <v>577.52332608000006</v>
      </c>
      <c r="AA78" s="38">
        <f t="shared" si="24"/>
        <v>693.02311941000005</v>
      </c>
      <c r="AB78" s="38">
        <f>V78/P78%</f>
        <v>93.422736434145079</v>
      </c>
      <c r="AC78" s="38">
        <f t="shared" si="33"/>
        <v>93.320866712733107</v>
      </c>
      <c r="AD78" s="38">
        <f>X78/R78%</f>
        <v>92.275009453705607</v>
      </c>
      <c r="AE78" s="38">
        <f>Y78/S78%</f>
        <v>94.099772737214479</v>
      </c>
      <c r="AF78" s="38">
        <f t="shared" si="34"/>
        <v>87.223749285037186</v>
      </c>
      <c r="AG78" s="39">
        <f t="shared" si="34"/>
        <v>85.660874590165065</v>
      </c>
      <c r="AH78" s="40"/>
    </row>
    <row r="79" spans="1:34" s="76" customFormat="1" hidden="1" x14ac:dyDescent="0.25">
      <c r="A79" s="327" t="s">
        <v>67</v>
      </c>
      <c r="B79" s="328">
        <v>149993609.47999999</v>
      </c>
      <c r="C79" s="328">
        <v>2503965786.79</v>
      </c>
      <c r="D79" s="328">
        <v>2325705714.6199999</v>
      </c>
      <c r="E79" s="329">
        <f>F79+G79+H79</f>
        <v>328253681.64999998</v>
      </c>
      <c r="F79" s="328">
        <v>0</v>
      </c>
      <c r="G79" s="328">
        <v>327746593.31999999</v>
      </c>
      <c r="H79" s="328">
        <v>507088.33</v>
      </c>
      <c r="I79" s="328">
        <v>0</v>
      </c>
      <c r="J79" s="328">
        <v>2249074222.8599997</v>
      </c>
      <c r="K79" s="328">
        <v>1973723151.8499999</v>
      </c>
      <c r="L79" s="329">
        <f>M79+N79+O79</f>
        <v>275351071.00999999</v>
      </c>
      <c r="M79" s="328">
        <v>0</v>
      </c>
      <c r="N79" s="328">
        <v>274846058.15999997</v>
      </c>
      <c r="O79" s="328">
        <v>505012.85</v>
      </c>
      <c r="P79" s="63">
        <f t="shared" si="26"/>
        <v>149.99360947999998</v>
      </c>
      <c r="Q79" s="63">
        <f t="shared" si="32"/>
        <v>2325.70571462</v>
      </c>
      <c r="R79" s="63"/>
      <c r="S79" s="63"/>
      <c r="T79" s="63">
        <f t="shared" si="29"/>
        <v>327.74659331999999</v>
      </c>
      <c r="U79" s="63">
        <f t="shared" si="29"/>
        <v>0.50708832999999998</v>
      </c>
      <c r="V79" s="63">
        <f t="shared" si="29"/>
        <v>0</v>
      </c>
      <c r="W79" s="63">
        <f t="shared" si="24"/>
        <v>1973.7231518499998</v>
      </c>
      <c r="X79" s="63"/>
      <c r="Y79" s="63"/>
      <c r="Z79" s="63">
        <f t="shared" si="24"/>
        <v>274.84605815999998</v>
      </c>
      <c r="AA79" s="63">
        <f t="shared" si="24"/>
        <v>0.50501284999999996</v>
      </c>
      <c r="AB79" s="63">
        <f>V79/P79%</f>
        <v>0</v>
      </c>
      <c r="AC79" s="63">
        <f t="shared" si="33"/>
        <v>84.865558847048234</v>
      </c>
      <c r="AD79" s="330"/>
      <c r="AE79" s="63"/>
      <c r="AF79" s="63">
        <f t="shared" si="34"/>
        <v>83.859318071278992</v>
      </c>
      <c r="AG79" s="276">
        <f t="shared" si="34"/>
        <v>99.590706415980819</v>
      </c>
      <c r="AH79" s="100"/>
    </row>
    <row r="80" spans="1:34" x14ac:dyDescent="0.25">
      <c r="A80" s="115" t="s">
        <v>82</v>
      </c>
      <c r="B80" s="114">
        <v>4688913802.6800003</v>
      </c>
      <c r="C80" s="114">
        <v>1911003356.04</v>
      </c>
      <c r="D80" s="114">
        <v>3755785615.0799999</v>
      </c>
      <c r="E80" s="119">
        <f>F80+G80+H80-E81</f>
        <v>2705383517.5800004</v>
      </c>
      <c r="F80" s="114">
        <v>2215940138.0700002</v>
      </c>
      <c r="G80" s="114">
        <v>306086959.42000002</v>
      </c>
      <c r="H80" s="114">
        <v>322104446.15000004</v>
      </c>
      <c r="I80" s="114">
        <v>4185610595.0100002</v>
      </c>
      <c r="J80" s="114">
        <v>1771678810.03</v>
      </c>
      <c r="K80" s="114">
        <v>3301930881.4499998</v>
      </c>
      <c r="L80" s="119">
        <f>M80+N80+O80-L81</f>
        <v>2517784700.8800001</v>
      </c>
      <c r="M80" s="114">
        <v>2066876450.4200001</v>
      </c>
      <c r="N80" s="114">
        <v>296832089.50999999</v>
      </c>
      <c r="O80" s="114">
        <v>291649983.65999997</v>
      </c>
      <c r="P80" s="32">
        <f>B80/1000000</f>
        <v>4688.9138026800001</v>
      </c>
      <c r="Q80" s="32">
        <f t="shared" si="32"/>
        <v>3755.7856150799998</v>
      </c>
      <c r="R80" s="32">
        <f>E80/1000000</f>
        <v>2705.3835175800004</v>
      </c>
      <c r="S80" s="32">
        <f>F80/1000000</f>
        <v>2215.9401380700001</v>
      </c>
      <c r="T80" s="32">
        <f>G80/1000000</f>
        <v>306.08695942000003</v>
      </c>
      <c r="U80" s="32">
        <f>H80/1000000</f>
        <v>322.10444615000006</v>
      </c>
      <c r="V80" s="32">
        <f>I80/1000000</f>
        <v>4185.61059501</v>
      </c>
      <c r="W80" s="32">
        <f>K80/1000000</f>
        <v>3301.93088145</v>
      </c>
      <c r="X80" s="32">
        <f>L80/1000000</f>
        <v>2517.7847008799999</v>
      </c>
      <c r="Y80" s="32">
        <f>M80/1000000</f>
        <v>2066.8764504199999</v>
      </c>
      <c r="Z80" s="32">
        <f>N80/1000000</f>
        <v>296.83208951</v>
      </c>
      <c r="AA80" s="32">
        <f>O80/1000000</f>
        <v>291.64998365999998</v>
      </c>
      <c r="AB80" s="32">
        <f>V80/P80%</f>
        <v>89.266102367197888</v>
      </c>
      <c r="AC80" s="32">
        <f>W80/Q80%</f>
        <v>87.915850899270978</v>
      </c>
      <c r="AD80" s="32">
        <f>X80/R80%</f>
        <v>93.065721902977742</v>
      </c>
      <c r="AE80" s="32">
        <f>Y80/S80%</f>
        <v>93.273117577091725</v>
      </c>
      <c r="AF80" s="32">
        <f t="shared" si="34"/>
        <v>96.976391961442289</v>
      </c>
      <c r="AG80" s="34">
        <f t="shared" si="34"/>
        <v>90.545159232040589</v>
      </c>
      <c r="AH80" s="30"/>
    </row>
    <row r="81" spans="1:34" s="274" customFormat="1" hidden="1" x14ac:dyDescent="0.25">
      <c r="A81" s="316" t="s">
        <v>73</v>
      </c>
      <c r="B81" s="331">
        <v>149993609.47999999</v>
      </c>
      <c r="C81" s="331">
        <v>1911003356.04</v>
      </c>
      <c r="D81" s="331">
        <v>1922248939.46</v>
      </c>
      <c r="E81" s="322">
        <f>F81+G81+H81</f>
        <v>138748026.06</v>
      </c>
      <c r="F81" s="331">
        <v>0</v>
      </c>
      <c r="G81" s="331">
        <v>138748026.06</v>
      </c>
      <c r="H81" s="331">
        <v>0</v>
      </c>
      <c r="I81" s="331">
        <v>0</v>
      </c>
      <c r="J81" s="331">
        <v>1771678810.03</v>
      </c>
      <c r="K81" s="331">
        <v>1634104987.3199999</v>
      </c>
      <c r="L81" s="322">
        <f>M81+N81+O81</f>
        <v>137573822.71000001</v>
      </c>
      <c r="M81" s="331">
        <v>0</v>
      </c>
      <c r="N81" s="331">
        <v>137573822.71000001</v>
      </c>
      <c r="O81" s="331">
        <v>0</v>
      </c>
      <c r="P81" s="272"/>
      <c r="Q81" s="272">
        <f t="shared" si="32"/>
        <v>1922.24893946</v>
      </c>
      <c r="R81" s="272"/>
      <c r="S81" s="272"/>
      <c r="T81" s="272">
        <f t="shared" ref="T81:U87" si="35">G81/1000000</f>
        <v>138.74802606</v>
      </c>
      <c r="U81" s="272">
        <f t="shared" si="35"/>
        <v>0</v>
      </c>
      <c r="V81" s="272"/>
      <c r="W81" s="272">
        <f t="shared" ref="W81:W87" si="36">K81/1000000</f>
        <v>1634.10498732</v>
      </c>
      <c r="X81" s="272"/>
      <c r="Y81" s="272"/>
      <c r="Z81" s="272">
        <f t="shared" ref="Z81:AA87" si="37">N81/1000000</f>
        <v>137.57382271</v>
      </c>
      <c r="AA81" s="272">
        <f t="shared" si="37"/>
        <v>0</v>
      </c>
      <c r="AB81" s="272"/>
      <c r="AC81" s="272">
        <f t="shared" ref="AC81:AC86" si="38">W81/Q81%</f>
        <v>85.010060548091872</v>
      </c>
      <c r="AD81" s="272"/>
      <c r="AE81" s="272"/>
      <c r="AF81" s="272">
        <f t="shared" si="34"/>
        <v>99.153715275565631</v>
      </c>
      <c r="AG81" s="273" t="e">
        <f t="shared" si="34"/>
        <v>#DIV/0!</v>
      </c>
      <c r="AH81" s="321"/>
    </row>
    <row r="82" spans="1:34" x14ac:dyDescent="0.25">
      <c r="A82" s="108" t="s">
        <v>83</v>
      </c>
      <c r="B82" s="114">
        <v>4432485343.5</v>
      </c>
      <c r="C82" s="114">
        <v>204061999.46000001</v>
      </c>
      <c r="D82" s="114">
        <v>4148748180.1199999</v>
      </c>
      <c r="E82" s="119">
        <f>F82+G82+H82-E83</f>
        <v>396739382.64000005</v>
      </c>
      <c r="F82" s="114">
        <v>78764283.829999998</v>
      </c>
      <c r="G82" s="114">
        <v>236020835.96000001</v>
      </c>
      <c r="H82" s="114">
        <v>173014043.05000001</v>
      </c>
      <c r="I82" s="114">
        <v>4301105972.54</v>
      </c>
      <c r="J82" s="114">
        <v>93639032.569999993</v>
      </c>
      <c r="K82" s="114">
        <v>4054676931.4099998</v>
      </c>
      <c r="L82" s="119">
        <f>M82+N82+O82-L83</f>
        <v>298451615.74000007</v>
      </c>
      <c r="M82" s="114">
        <v>68251163.079999998</v>
      </c>
      <c r="N82" s="114">
        <v>163349340.53</v>
      </c>
      <c r="O82" s="114">
        <v>108467570.09</v>
      </c>
      <c r="P82" s="32">
        <f>B82/1000000</f>
        <v>4432.4853435000005</v>
      </c>
      <c r="Q82" s="32">
        <f t="shared" si="32"/>
        <v>4148.7481801200001</v>
      </c>
      <c r="R82" s="32">
        <f>E82/1000000</f>
        <v>396.73938264000003</v>
      </c>
      <c r="S82" s="32">
        <f>F82/1000000</f>
        <v>78.764283829999997</v>
      </c>
      <c r="T82" s="32">
        <f t="shared" si="35"/>
        <v>236.02083596</v>
      </c>
      <c r="U82" s="32">
        <f t="shared" si="35"/>
        <v>173.01404305</v>
      </c>
      <c r="V82" s="32">
        <f>I82/1000000</f>
        <v>4301.10597254</v>
      </c>
      <c r="W82" s="32">
        <f t="shared" si="36"/>
        <v>4054.6769314099997</v>
      </c>
      <c r="X82" s="32">
        <f>L82/1000000</f>
        <v>298.45161574000008</v>
      </c>
      <c r="Y82" s="32">
        <f>M82/1000000</f>
        <v>68.251163079999998</v>
      </c>
      <c r="Z82" s="32">
        <f t="shared" si="37"/>
        <v>163.34934053000001</v>
      </c>
      <c r="AA82" s="32">
        <f t="shared" si="37"/>
        <v>108.46757009000001</v>
      </c>
      <c r="AB82" s="32">
        <f>V82/P82%</f>
        <v>97.035988598300477</v>
      </c>
      <c r="AC82" s="32">
        <f t="shared" si="38"/>
        <v>97.732538958118212</v>
      </c>
      <c r="AD82" s="32">
        <f>X82/R82%</f>
        <v>75.226112858781676</v>
      </c>
      <c r="AE82" s="32">
        <f>Y82/S82%</f>
        <v>86.6524264059953</v>
      </c>
      <c r="AF82" s="32">
        <f t="shared" si="34"/>
        <v>69.209711873778758</v>
      </c>
      <c r="AG82" s="34">
        <f t="shared" si="34"/>
        <v>62.692928376139704</v>
      </c>
      <c r="AH82" s="30"/>
    </row>
    <row r="83" spans="1:34" s="274" customFormat="1" hidden="1" x14ac:dyDescent="0.25">
      <c r="A83" s="316" t="s">
        <v>73</v>
      </c>
      <c r="B83" s="331">
        <v>0</v>
      </c>
      <c r="C83" s="331">
        <v>204061999.46000001</v>
      </c>
      <c r="D83" s="331">
        <v>113002219.26000001</v>
      </c>
      <c r="E83" s="322">
        <f>F83+G83+H83</f>
        <v>91059780.200000003</v>
      </c>
      <c r="F83" s="331">
        <v>0</v>
      </c>
      <c r="G83" s="331">
        <v>90742691.870000005</v>
      </c>
      <c r="H83" s="331">
        <v>317088.33</v>
      </c>
      <c r="I83" s="331">
        <v>0</v>
      </c>
      <c r="J83" s="331">
        <v>93639032.569999993</v>
      </c>
      <c r="K83" s="331">
        <v>52022574.609999999</v>
      </c>
      <c r="L83" s="322">
        <f>M83+N83+O83</f>
        <v>41616457.960000001</v>
      </c>
      <c r="M83" s="331">
        <v>0</v>
      </c>
      <c r="N83" s="331">
        <v>41301445.109999999</v>
      </c>
      <c r="O83" s="331">
        <v>315012.84999999998</v>
      </c>
      <c r="P83" s="272"/>
      <c r="Q83" s="272">
        <f t="shared" si="32"/>
        <v>113.00221926</v>
      </c>
      <c r="R83" s="272"/>
      <c r="S83" s="272"/>
      <c r="T83" s="272">
        <f t="shared" si="35"/>
        <v>90.742691870000002</v>
      </c>
      <c r="U83" s="272">
        <f t="shared" si="35"/>
        <v>0.31708833000000003</v>
      </c>
      <c r="V83" s="272"/>
      <c r="W83" s="272">
        <f t="shared" si="36"/>
        <v>52.022574609999999</v>
      </c>
      <c r="X83" s="272"/>
      <c r="Y83" s="272"/>
      <c r="Z83" s="272">
        <f t="shared" si="37"/>
        <v>41.301445109999996</v>
      </c>
      <c r="AA83" s="272">
        <f t="shared" si="37"/>
        <v>0.31501284999999996</v>
      </c>
      <c r="AB83" s="272"/>
      <c r="AC83" s="272">
        <f t="shared" si="38"/>
        <v>46.036772508249939</v>
      </c>
      <c r="AD83" s="272"/>
      <c r="AE83" s="272"/>
      <c r="AF83" s="272">
        <f t="shared" si="34"/>
        <v>45.514899612157599</v>
      </c>
      <c r="AG83" s="273">
        <f t="shared" si="34"/>
        <v>99.34545683217037</v>
      </c>
      <c r="AH83" s="321"/>
    </row>
    <row r="84" spans="1:34" x14ac:dyDescent="0.25">
      <c r="A84" s="108" t="s">
        <v>84</v>
      </c>
      <c r="B84" s="114">
        <v>1110557400.6800001</v>
      </c>
      <c r="C84" s="114">
        <v>387749831.29000002</v>
      </c>
      <c r="D84" s="114">
        <v>290454555.89999998</v>
      </c>
      <c r="E84" s="119">
        <f>F84+G84+H84-E85</f>
        <v>1110557400.6800001</v>
      </c>
      <c r="F84" s="114">
        <v>806106520.03999996</v>
      </c>
      <c r="G84" s="114">
        <v>106786176.43000001</v>
      </c>
      <c r="H84" s="114">
        <v>294959979.60000002</v>
      </c>
      <c r="I84" s="114">
        <v>1059512725.25</v>
      </c>
      <c r="J84" s="114">
        <v>382605780.25999999</v>
      </c>
      <c r="K84" s="114">
        <v>287595589.92000002</v>
      </c>
      <c r="L84" s="119">
        <f>M84+N84+O84-L85</f>
        <v>1059512725.2500001</v>
      </c>
      <c r="M84" s="114">
        <v>776133545.95000005</v>
      </c>
      <c r="N84" s="114">
        <v>104145381.22</v>
      </c>
      <c r="O84" s="114">
        <v>274243988.42000002</v>
      </c>
      <c r="P84" s="32">
        <f>B84/1000000</f>
        <v>1110.55740068</v>
      </c>
      <c r="Q84" s="32">
        <f t="shared" si="32"/>
        <v>290.4545559</v>
      </c>
      <c r="R84" s="32">
        <f>E84/1000000</f>
        <v>1110.55740068</v>
      </c>
      <c r="S84" s="32">
        <f>F84/1000000</f>
        <v>806.10652003999996</v>
      </c>
      <c r="T84" s="32">
        <f t="shared" si="35"/>
        <v>106.78617643000001</v>
      </c>
      <c r="U84" s="32">
        <f t="shared" si="35"/>
        <v>294.9599796</v>
      </c>
      <c r="V84" s="32">
        <f>I84/1000000</f>
        <v>1059.5127252499999</v>
      </c>
      <c r="W84" s="32">
        <f t="shared" si="36"/>
        <v>287.59558992000001</v>
      </c>
      <c r="X84" s="32">
        <f>L84/1000000</f>
        <v>1059.5127252500001</v>
      </c>
      <c r="Y84" s="32">
        <f>M84/1000000</f>
        <v>776.1335459500001</v>
      </c>
      <c r="Z84" s="32">
        <f t="shared" si="37"/>
        <v>104.14538122</v>
      </c>
      <c r="AA84" s="32">
        <f t="shared" si="37"/>
        <v>274.24398841999999</v>
      </c>
      <c r="AB84" s="32">
        <f>V84/P84%</f>
        <v>95.403688688333887</v>
      </c>
      <c r="AC84" s="32">
        <f t="shared" si="38"/>
        <v>99.015692499247862</v>
      </c>
      <c r="AD84" s="32">
        <f>X84/R84%</f>
        <v>95.403688688333901</v>
      </c>
      <c r="AE84" s="32">
        <f>Y84/S84%</f>
        <v>96.281760121663254</v>
      </c>
      <c r="AF84" s="32">
        <f t="shared" si="34"/>
        <v>97.527025221535965</v>
      </c>
      <c r="AG84" s="34">
        <f t="shared" si="34"/>
        <v>92.976677307852654</v>
      </c>
      <c r="AH84" s="30"/>
    </row>
    <row r="85" spans="1:34" s="274" customFormat="1" hidden="1" x14ac:dyDescent="0.25">
      <c r="A85" s="316" t="s">
        <v>73</v>
      </c>
      <c r="B85" s="331">
        <v>0</v>
      </c>
      <c r="C85" s="331">
        <v>387749831.29000002</v>
      </c>
      <c r="D85" s="331">
        <v>290454555.89999998</v>
      </c>
      <c r="E85" s="329">
        <f>F85+G85+H85</f>
        <v>97295275.390000001</v>
      </c>
      <c r="F85" s="331">
        <v>0</v>
      </c>
      <c r="G85" s="331">
        <v>97105275.390000001</v>
      </c>
      <c r="H85" s="331">
        <v>190000</v>
      </c>
      <c r="I85" s="331">
        <v>0</v>
      </c>
      <c r="J85" s="331">
        <v>382605780.25999999</v>
      </c>
      <c r="K85" s="331">
        <v>287595589.92000002</v>
      </c>
      <c r="L85" s="329">
        <f>M85+N85+O85</f>
        <v>95010190.340000004</v>
      </c>
      <c r="M85" s="331">
        <v>0</v>
      </c>
      <c r="N85" s="331">
        <v>94820190.340000004</v>
      </c>
      <c r="O85" s="331">
        <v>190000</v>
      </c>
      <c r="P85" s="272"/>
      <c r="Q85" s="272">
        <f t="shared" si="32"/>
        <v>290.4545559</v>
      </c>
      <c r="R85" s="272"/>
      <c r="S85" s="272"/>
      <c r="T85" s="272">
        <f t="shared" si="35"/>
        <v>97.105275390000003</v>
      </c>
      <c r="U85" s="272">
        <f t="shared" si="35"/>
        <v>0.19</v>
      </c>
      <c r="V85" s="272"/>
      <c r="W85" s="272">
        <f t="shared" si="36"/>
        <v>287.59558992000001</v>
      </c>
      <c r="X85" s="272"/>
      <c r="Y85" s="272"/>
      <c r="Z85" s="272">
        <f t="shared" si="37"/>
        <v>94.820190340000011</v>
      </c>
      <c r="AA85" s="272">
        <f t="shared" si="37"/>
        <v>0.19</v>
      </c>
      <c r="AB85" s="272"/>
      <c r="AC85" s="272">
        <f t="shared" si="38"/>
        <v>99.015692499247862</v>
      </c>
      <c r="AD85" s="272"/>
      <c r="AE85" s="272"/>
      <c r="AF85" s="272">
        <f t="shared" si="34"/>
        <v>97.646796179896</v>
      </c>
      <c r="AG85" s="273">
        <f t="shared" si="34"/>
        <v>100</v>
      </c>
      <c r="AH85" s="321"/>
    </row>
    <row r="86" spans="1:34" ht="26.4" x14ac:dyDescent="0.25">
      <c r="A86" s="108" t="s">
        <v>85</v>
      </c>
      <c r="B86" s="114">
        <v>238465766.99000001</v>
      </c>
      <c r="C86" s="114">
        <v>1150600</v>
      </c>
      <c r="D86" s="114">
        <v>52452900</v>
      </c>
      <c r="E86" s="119">
        <f>F86+G86+H86-E87</f>
        <v>186012866.98999998</v>
      </c>
      <c r="F86" s="114">
        <v>154987741.63999999</v>
      </c>
      <c r="G86" s="114">
        <v>13223090.130000001</v>
      </c>
      <c r="H86" s="114">
        <v>18952635.219999999</v>
      </c>
      <c r="I86" s="114">
        <v>235525749.00999999</v>
      </c>
      <c r="J86" s="114">
        <v>1150600</v>
      </c>
      <c r="K86" s="114">
        <v>52380254.369999997</v>
      </c>
      <c r="L86" s="119">
        <f>M86+N86+O86-L87</f>
        <v>183145494.64000002</v>
      </c>
      <c r="M86" s="114">
        <v>152438002.58000001</v>
      </c>
      <c r="N86" s="114">
        <v>13196514.82</v>
      </c>
      <c r="O86" s="114">
        <v>18661577.239999998</v>
      </c>
      <c r="P86" s="32">
        <f>B86/1000000</f>
        <v>238.46576699000002</v>
      </c>
      <c r="Q86" s="32">
        <f t="shared" si="32"/>
        <v>52.4529</v>
      </c>
      <c r="R86" s="32">
        <f>E86/1000000</f>
        <v>186.01286698999999</v>
      </c>
      <c r="S86" s="32">
        <f>F86/1000000</f>
        <v>154.98774164</v>
      </c>
      <c r="T86" s="32">
        <f t="shared" si="35"/>
        <v>13.223090130000001</v>
      </c>
      <c r="U86" s="32">
        <f t="shared" si="35"/>
        <v>18.952635219999998</v>
      </c>
      <c r="V86" s="32">
        <f>I86/1000000</f>
        <v>235.52574901</v>
      </c>
      <c r="W86" s="32">
        <f t="shared" si="36"/>
        <v>52.380254369999996</v>
      </c>
      <c r="X86" s="32">
        <f>L86/1000000</f>
        <v>183.14549464000001</v>
      </c>
      <c r="Y86" s="32">
        <f>M86/1000000</f>
        <v>152.43800258000002</v>
      </c>
      <c r="Z86" s="32">
        <f t="shared" si="37"/>
        <v>13.196514820000001</v>
      </c>
      <c r="AA86" s="32">
        <f t="shared" si="37"/>
        <v>18.66157724</v>
      </c>
      <c r="AB86" s="32">
        <f>V86/P86%</f>
        <v>98.767111096443742</v>
      </c>
      <c r="AC86" s="32">
        <f t="shared" si="38"/>
        <v>99.861503119941872</v>
      </c>
      <c r="AD86" s="32">
        <f>X86/R86%</f>
        <v>98.458508598679828</v>
      </c>
      <c r="AE86" s="32">
        <f>Y86/S86%</f>
        <v>98.354876951544711</v>
      </c>
      <c r="AF86" s="32">
        <f t="shared" si="34"/>
        <v>99.799023452621654</v>
      </c>
      <c r="AG86" s="34">
        <f t="shared" si="34"/>
        <v>98.464287543017477</v>
      </c>
      <c r="AH86" s="30"/>
    </row>
    <row r="87" spans="1:34" s="274" customFormat="1" hidden="1" x14ac:dyDescent="0.25">
      <c r="A87" s="316" t="s">
        <v>73</v>
      </c>
      <c r="B87" s="331">
        <v>0</v>
      </c>
      <c r="C87" s="331">
        <v>1150600</v>
      </c>
      <c r="D87" s="331">
        <v>0</v>
      </c>
      <c r="E87" s="329">
        <f>F87+G87+H87</f>
        <v>1150600</v>
      </c>
      <c r="F87" s="331">
        <v>0</v>
      </c>
      <c r="G87" s="331">
        <v>1150600</v>
      </c>
      <c r="H87" s="331">
        <v>0</v>
      </c>
      <c r="I87" s="331">
        <v>0</v>
      </c>
      <c r="J87" s="331">
        <v>1150600</v>
      </c>
      <c r="K87" s="331">
        <v>0</v>
      </c>
      <c r="L87" s="329">
        <f>M87+N87+O87</f>
        <v>1150600</v>
      </c>
      <c r="M87" s="331">
        <v>0</v>
      </c>
      <c r="N87" s="331">
        <v>1150600</v>
      </c>
      <c r="O87" s="331">
        <v>0</v>
      </c>
      <c r="P87" s="272"/>
      <c r="Q87" s="272">
        <f t="shared" si="32"/>
        <v>0</v>
      </c>
      <c r="R87" s="272"/>
      <c r="S87" s="272"/>
      <c r="T87" s="272">
        <f t="shared" si="35"/>
        <v>1.1506000000000001</v>
      </c>
      <c r="U87" s="272">
        <f t="shared" si="35"/>
        <v>0</v>
      </c>
      <c r="V87" s="272"/>
      <c r="W87" s="272">
        <f t="shared" si="36"/>
        <v>0</v>
      </c>
      <c r="X87" s="272"/>
      <c r="Y87" s="272"/>
      <c r="Z87" s="272">
        <f t="shared" si="37"/>
        <v>1.1506000000000001</v>
      </c>
      <c r="AA87" s="272">
        <f t="shared" si="37"/>
        <v>0</v>
      </c>
      <c r="AB87" s="272"/>
      <c r="AC87" s="272"/>
      <c r="AD87" s="272"/>
      <c r="AE87" s="272"/>
      <c r="AF87" s="63"/>
      <c r="AG87" s="276" t="e">
        <f t="shared" si="34"/>
        <v>#DIV/0!</v>
      </c>
      <c r="AH87" s="100"/>
    </row>
    <row r="88" spans="1:34" s="42" customFormat="1" x14ac:dyDescent="0.25">
      <c r="A88" s="107" t="s">
        <v>86</v>
      </c>
      <c r="B88" s="36">
        <v>84586825.370000005</v>
      </c>
      <c r="C88" s="36">
        <v>0</v>
      </c>
      <c r="D88" s="36">
        <v>79097240</v>
      </c>
      <c r="E88" s="119">
        <f>F88+G88+H88-E89</f>
        <v>5489585.3699999992</v>
      </c>
      <c r="F88" s="36">
        <v>5055884.0599999996</v>
      </c>
      <c r="G88" s="36">
        <v>393701.31</v>
      </c>
      <c r="H88" s="36">
        <v>40000</v>
      </c>
      <c r="I88" s="36">
        <v>84114270.480000004</v>
      </c>
      <c r="J88" s="36">
        <v>0</v>
      </c>
      <c r="K88" s="36">
        <v>78805288.459999993</v>
      </c>
      <c r="L88" s="119">
        <f>M88+N88+O88-L89</f>
        <v>5308982.0200000005</v>
      </c>
      <c r="M88" s="36">
        <v>4921755.16</v>
      </c>
      <c r="N88" s="36">
        <v>347226.86</v>
      </c>
      <c r="O88" s="36">
        <v>40000</v>
      </c>
      <c r="P88" s="38">
        <f t="shared" si="26"/>
        <v>84.58682537</v>
      </c>
      <c r="Q88" s="38">
        <f t="shared" si="32"/>
        <v>79.097239999999999</v>
      </c>
      <c r="R88" s="38">
        <f>E88/1000000</f>
        <v>5.4895853699999995</v>
      </c>
      <c r="S88" s="38">
        <f>F88/1000000</f>
        <v>5.0558840599999995</v>
      </c>
      <c r="T88" s="38">
        <f t="shared" si="29"/>
        <v>0.39370130999999997</v>
      </c>
      <c r="U88" s="38">
        <f t="shared" si="29"/>
        <v>0.04</v>
      </c>
      <c r="V88" s="38">
        <f t="shared" si="29"/>
        <v>84.114270480000002</v>
      </c>
      <c r="W88" s="38">
        <f t="shared" si="24"/>
        <v>78.80528846</v>
      </c>
      <c r="X88" s="38">
        <f>L88/1000000</f>
        <v>5.3089820200000002</v>
      </c>
      <c r="Y88" s="38">
        <f>M88/1000000</f>
        <v>4.92175516</v>
      </c>
      <c r="Z88" s="38">
        <f t="shared" si="24"/>
        <v>0.34722685999999997</v>
      </c>
      <c r="AA88" s="38">
        <f t="shared" si="24"/>
        <v>0.04</v>
      </c>
      <c r="AB88" s="38">
        <f>V88/P88%</f>
        <v>99.441337480236498</v>
      </c>
      <c r="AC88" s="38">
        <f t="shared" si="33"/>
        <v>99.630895414302699</v>
      </c>
      <c r="AD88" s="38">
        <f>X88/R88%</f>
        <v>96.710073023238195</v>
      </c>
      <c r="AE88" s="38">
        <f>Y88/S88%</f>
        <v>97.347073263384928</v>
      </c>
      <c r="AF88" s="38">
        <f>Z88/T88%</f>
        <v>88.195505369286167</v>
      </c>
      <c r="AG88" s="39">
        <f t="shared" si="34"/>
        <v>100</v>
      </c>
      <c r="AH88" s="40"/>
    </row>
    <row r="89" spans="1:34" s="274" customFormat="1" hidden="1" x14ac:dyDescent="0.25">
      <c r="A89" s="316" t="s">
        <v>67</v>
      </c>
      <c r="B89" s="331"/>
      <c r="C89" s="331"/>
      <c r="D89" s="331"/>
      <c r="E89" s="322">
        <f>F89+G89+H89</f>
        <v>0</v>
      </c>
      <c r="F89" s="331"/>
      <c r="G89" s="331"/>
      <c r="H89" s="331"/>
      <c r="I89" s="331"/>
      <c r="J89" s="331"/>
      <c r="K89" s="331"/>
      <c r="L89" s="322">
        <f>M89+N89+O89</f>
        <v>0</v>
      </c>
      <c r="M89" s="331"/>
      <c r="N89" s="331"/>
      <c r="O89" s="331"/>
      <c r="P89" s="272"/>
      <c r="Q89" s="272">
        <f t="shared" si="32"/>
        <v>0</v>
      </c>
      <c r="R89" s="272"/>
      <c r="S89" s="272"/>
      <c r="T89" s="272">
        <f t="shared" si="29"/>
        <v>0</v>
      </c>
      <c r="U89" s="272"/>
      <c r="V89" s="272"/>
      <c r="W89" s="272">
        <f t="shared" si="24"/>
        <v>0</v>
      </c>
      <c r="X89" s="272"/>
      <c r="Y89" s="272"/>
      <c r="Z89" s="272">
        <f t="shared" si="24"/>
        <v>0</v>
      </c>
      <c r="AA89" s="272"/>
      <c r="AB89" s="272"/>
      <c r="AC89" s="272"/>
      <c r="AD89" s="324"/>
      <c r="AE89" s="324"/>
      <c r="AF89" s="272" t="e">
        <f t="shared" ref="AF89:AG107" si="39">Z89/T89%</f>
        <v>#DIV/0!</v>
      </c>
      <c r="AG89" s="332"/>
      <c r="AH89" s="333"/>
    </row>
    <row r="90" spans="1:34" s="42" customFormat="1" x14ac:dyDescent="0.25">
      <c r="A90" s="107" t="s">
        <v>366</v>
      </c>
      <c r="B90" s="36">
        <v>25051058661.32</v>
      </c>
      <c r="C90" s="36">
        <v>12815410740.969999</v>
      </c>
      <c r="D90" s="36">
        <v>17620337406.240002</v>
      </c>
      <c r="E90" s="119">
        <f>F90+G90+H90-E91</f>
        <v>20245372996.050003</v>
      </c>
      <c r="F90" s="36">
        <v>10875360747.35</v>
      </c>
      <c r="G90" s="36">
        <v>9368738042.7700005</v>
      </c>
      <c r="H90" s="36">
        <v>2033205.9300000002</v>
      </c>
      <c r="I90" s="36">
        <v>24933196999.700001</v>
      </c>
      <c r="J90" s="36">
        <v>12811546834.879999</v>
      </c>
      <c r="K90" s="36">
        <v>17588689970.049999</v>
      </c>
      <c r="L90" s="119">
        <f>M90+N90+O90-L91</f>
        <v>20155301864.529999</v>
      </c>
      <c r="M90" s="36">
        <v>10811934042.98</v>
      </c>
      <c r="N90" s="36">
        <v>9342168847.0799999</v>
      </c>
      <c r="O90" s="36">
        <v>1950974.4700000002</v>
      </c>
      <c r="P90" s="38">
        <f t="shared" si="26"/>
        <v>25051.058661319999</v>
      </c>
      <c r="Q90" s="38">
        <f t="shared" si="32"/>
        <v>17620.337406240003</v>
      </c>
      <c r="R90" s="38">
        <f>E90/1000000</f>
        <v>20245.372996050002</v>
      </c>
      <c r="S90" s="38">
        <f>F90/1000000</f>
        <v>10875.36074735</v>
      </c>
      <c r="T90" s="38">
        <f t="shared" si="29"/>
        <v>9368.7380427700009</v>
      </c>
      <c r="U90" s="38">
        <f t="shared" si="29"/>
        <v>2.0332059300000003</v>
      </c>
      <c r="V90" s="38">
        <f t="shared" si="29"/>
        <v>24933.196999700001</v>
      </c>
      <c r="W90" s="38">
        <f t="shared" si="24"/>
        <v>17588.68997005</v>
      </c>
      <c r="X90" s="38">
        <f>L90/1000000</f>
        <v>20155.30186453</v>
      </c>
      <c r="Y90" s="38">
        <f>M90/1000000</f>
        <v>10811.93404298</v>
      </c>
      <c r="Z90" s="38">
        <f t="shared" si="24"/>
        <v>9342.16884708</v>
      </c>
      <c r="AA90" s="38">
        <f t="shared" si="24"/>
        <v>1.9509744700000002</v>
      </c>
      <c r="AB90" s="38">
        <f t="shared" ref="AB90:AB122" si="40">V90/P90%</f>
        <v>99.529514248425826</v>
      </c>
      <c r="AC90" s="38">
        <f t="shared" si="33"/>
        <v>99.82039256422641</v>
      </c>
      <c r="AD90" s="38">
        <f>X90/R90%</f>
        <v>99.555102632401116</v>
      </c>
      <c r="AE90" s="38">
        <f>Y90/S90%</f>
        <v>99.416785283325382</v>
      </c>
      <c r="AF90" s="38">
        <f t="shared" si="39"/>
        <v>99.71640582148089</v>
      </c>
      <c r="AG90" s="39">
        <f>AA90/U90%</f>
        <v>95.955576423092566</v>
      </c>
      <c r="AH90" s="40"/>
    </row>
    <row r="91" spans="1:34" s="274" customFormat="1" hidden="1" x14ac:dyDescent="0.25">
      <c r="A91" s="316" t="s">
        <v>67</v>
      </c>
      <c r="B91" s="331">
        <v>0</v>
      </c>
      <c r="C91" s="331">
        <v>12815410740.970001</v>
      </c>
      <c r="D91" s="331">
        <v>12814651740.970001</v>
      </c>
      <c r="E91" s="322">
        <f>F91+G91+H91</f>
        <v>759000</v>
      </c>
      <c r="F91" s="331">
        <v>0</v>
      </c>
      <c r="G91" s="331">
        <v>708000</v>
      </c>
      <c r="H91" s="331">
        <v>51000</v>
      </c>
      <c r="I91" s="331">
        <v>0</v>
      </c>
      <c r="J91" s="331">
        <v>12811546834.880001</v>
      </c>
      <c r="K91" s="331">
        <v>12810794834.880001</v>
      </c>
      <c r="L91" s="322">
        <f>M91+N91+O91</f>
        <v>752000</v>
      </c>
      <c r="M91" s="331">
        <v>0</v>
      </c>
      <c r="N91" s="331">
        <v>701000</v>
      </c>
      <c r="O91" s="331">
        <v>51000</v>
      </c>
      <c r="P91" s="272">
        <f t="shared" si="26"/>
        <v>0</v>
      </c>
      <c r="Q91" s="272">
        <f t="shared" si="32"/>
        <v>12814.651740970001</v>
      </c>
      <c r="R91" s="324"/>
      <c r="S91" s="272"/>
      <c r="T91" s="272">
        <f t="shared" si="29"/>
        <v>0.70799999999999996</v>
      </c>
      <c r="U91" s="272">
        <f t="shared" si="29"/>
        <v>5.0999999999999997E-2</v>
      </c>
      <c r="V91" s="272">
        <f t="shared" si="29"/>
        <v>0</v>
      </c>
      <c r="W91" s="272">
        <f t="shared" si="24"/>
        <v>12810.794834880002</v>
      </c>
      <c r="X91" s="272"/>
      <c r="Y91" s="272"/>
      <c r="Z91" s="272">
        <f t="shared" si="24"/>
        <v>0.70099999999999996</v>
      </c>
      <c r="AA91" s="272">
        <f t="shared" si="24"/>
        <v>5.0999999999999997E-2</v>
      </c>
      <c r="AB91" s="272" t="e">
        <f t="shared" si="40"/>
        <v>#DIV/0!</v>
      </c>
      <c r="AC91" s="272">
        <f t="shared" si="33"/>
        <v>99.969902372940282</v>
      </c>
      <c r="AD91" s="272"/>
      <c r="AE91" s="272"/>
      <c r="AF91" s="272">
        <f t="shared" si="39"/>
        <v>99.011299435028249</v>
      </c>
      <c r="AG91" s="332"/>
      <c r="AH91" s="333"/>
    </row>
    <row r="92" spans="1:34" x14ac:dyDescent="0.25">
      <c r="A92" s="108" t="s">
        <v>357</v>
      </c>
      <c r="B92" s="334">
        <v>7309963711.8699999</v>
      </c>
      <c r="C92" s="334">
        <v>41779827.850000001</v>
      </c>
      <c r="D92" s="334">
        <v>57608547.850000001</v>
      </c>
      <c r="E92" s="119">
        <f>F92+G92+H92-E93</f>
        <v>7294134991.8700008</v>
      </c>
      <c r="F92" s="334">
        <v>4775143568.0200005</v>
      </c>
      <c r="G92" s="334">
        <v>2518835623.8499999</v>
      </c>
      <c r="H92" s="334">
        <v>155800</v>
      </c>
      <c r="I92" s="334">
        <v>7277893100.6099997</v>
      </c>
      <c r="J92" s="334">
        <v>41779539.5</v>
      </c>
      <c r="K92" s="334">
        <v>57608259.5</v>
      </c>
      <c r="L92" s="119">
        <f>M92+N92+O92-L93</f>
        <v>7262064380.6100006</v>
      </c>
      <c r="M92" s="334">
        <v>4749128146.5600004</v>
      </c>
      <c r="N92" s="334">
        <v>2512780434.0500002</v>
      </c>
      <c r="O92" s="334">
        <v>155800</v>
      </c>
      <c r="P92" s="32">
        <f t="shared" ref="P92:P97" si="41">B92/1000000</f>
        <v>7309.9637118700002</v>
      </c>
      <c r="Q92" s="32">
        <f t="shared" ref="Q92:Q97" si="42">D92/1000000</f>
        <v>57.608547850000001</v>
      </c>
      <c r="R92" s="32">
        <f>E92/1000000</f>
        <v>7294.1349918700007</v>
      </c>
      <c r="S92" s="32">
        <f>F92/1000000</f>
        <v>4775.1435680200002</v>
      </c>
      <c r="T92" s="32">
        <f t="shared" ref="T92:T97" si="43">G92/1000000</f>
        <v>2518.83562385</v>
      </c>
      <c r="U92" s="32">
        <f t="shared" ref="U92:U97" si="44">H92/1000000</f>
        <v>0.15579999999999999</v>
      </c>
      <c r="V92" s="32">
        <f t="shared" ref="V92:V97" si="45">I92/1000000</f>
        <v>7277.8931006099992</v>
      </c>
      <c r="W92" s="32">
        <f t="shared" ref="W92:W97" si="46">K92/1000000</f>
        <v>57.608259500000003</v>
      </c>
      <c r="X92" s="32">
        <f>L92/1000000</f>
        <v>7262.0643806100006</v>
      </c>
      <c r="Y92" s="32">
        <f>M92/1000000</f>
        <v>4749.1281465600005</v>
      </c>
      <c r="Z92" s="32">
        <f t="shared" ref="Z92:Z97" si="47">N92/1000000</f>
        <v>2512.7804340500002</v>
      </c>
      <c r="AA92" s="32">
        <f t="shared" ref="AA92:AA97" si="48">O92/1000000</f>
        <v>0.15579999999999999</v>
      </c>
      <c r="AB92" s="32">
        <f t="shared" ref="AB92:AB97" si="49">V92/P92%</f>
        <v>99.561275369836324</v>
      </c>
      <c r="AC92" s="32">
        <f t="shared" ref="AC92:AC97" si="50">W92/Q92%</f>
        <v>99.999499466640344</v>
      </c>
      <c r="AD92" s="32">
        <f>X92/R92%</f>
        <v>99.560323310498831</v>
      </c>
      <c r="AE92" s="32">
        <f>Y92/S92%</f>
        <v>99.455190800246726</v>
      </c>
      <c r="AF92" s="32">
        <f t="shared" ref="AF92:AF97" si="51">Z92/T92%</f>
        <v>99.759603614357957</v>
      </c>
      <c r="AG92" s="34">
        <f>AA92/U92%</f>
        <v>100</v>
      </c>
      <c r="AH92" s="40"/>
    </row>
    <row r="93" spans="1:34" s="274" customFormat="1" hidden="1" x14ac:dyDescent="0.25">
      <c r="A93" s="271" t="s">
        <v>73</v>
      </c>
      <c r="B93" s="331">
        <v>0</v>
      </c>
      <c r="C93" s="331">
        <v>41779827.850000001</v>
      </c>
      <c r="D93" s="331">
        <v>41779827.850000001</v>
      </c>
      <c r="E93" s="322">
        <f>F93+G93+H93</f>
        <v>0</v>
      </c>
      <c r="F93" s="331">
        <v>0</v>
      </c>
      <c r="G93" s="331">
        <v>0</v>
      </c>
      <c r="H93" s="331">
        <v>0</v>
      </c>
      <c r="I93" s="331">
        <v>0</v>
      </c>
      <c r="J93" s="331">
        <v>41779539.5</v>
      </c>
      <c r="K93" s="331">
        <v>41779539.5</v>
      </c>
      <c r="L93" s="322">
        <f>M93+N93+O93</f>
        <v>0</v>
      </c>
      <c r="M93" s="331">
        <v>0</v>
      </c>
      <c r="N93" s="331">
        <v>0</v>
      </c>
      <c r="O93" s="331">
        <v>0</v>
      </c>
      <c r="P93" s="272">
        <f t="shared" si="41"/>
        <v>0</v>
      </c>
      <c r="Q93" s="272">
        <f t="shared" si="42"/>
        <v>41.779827850000004</v>
      </c>
      <c r="R93" s="272"/>
      <c r="S93" s="272"/>
      <c r="T93" s="272">
        <f t="shared" si="43"/>
        <v>0</v>
      </c>
      <c r="U93" s="272">
        <f t="shared" si="44"/>
        <v>0</v>
      </c>
      <c r="V93" s="272">
        <f t="shared" si="45"/>
        <v>0</v>
      </c>
      <c r="W93" s="272">
        <f t="shared" si="46"/>
        <v>41.779539499999998</v>
      </c>
      <c r="X93" s="272"/>
      <c r="Y93" s="272"/>
      <c r="Z93" s="272">
        <f t="shared" si="47"/>
        <v>0</v>
      </c>
      <c r="AA93" s="272">
        <f t="shared" si="48"/>
        <v>0</v>
      </c>
      <c r="AB93" s="272" t="e">
        <f t="shared" si="49"/>
        <v>#DIV/0!</v>
      </c>
      <c r="AC93" s="272">
        <f t="shared" si="50"/>
        <v>99.999309834398929</v>
      </c>
      <c r="AD93" s="272"/>
      <c r="AE93" s="272"/>
      <c r="AF93" s="272" t="e">
        <f t="shared" si="51"/>
        <v>#DIV/0!</v>
      </c>
      <c r="AG93" s="273"/>
      <c r="AH93" s="333"/>
    </row>
    <row r="94" spans="1:34" x14ac:dyDescent="0.25">
      <c r="A94" s="108" t="s">
        <v>358</v>
      </c>
      <c r="B94" s="334">
        <v>12194366994.84</v>
      </c>
      <c r="C94" s="334">
        <v>12168589856.540001</v>
      </c>
      <c r="D94" s="334">
        <v>13864245795.25</v>
      </c>
      <c r="E94" s="119">
        <f>F94+G94+H94-E95</f>
        <v>10498711056.130001</v>
      </c>
      <c r="F94" s="334">
        <v>4530094451.0100002</v>
      </c>
      <c r="G94" s="334">
        <v>5968616605.1199999</v>
      </c>
      <c r="H94" s="334">
        <v>0</v>
      </c>
      <c r="I94" s="334">
        <v>12127513220.67</v>
      </c>
      <c r="J94" s="334">
        <v>12168071282.700001</v>
      </c>
      <c r="K94" s="334">
        <v>13839187886.360001</v>
      </c>
      <c r="L94" s="119">
        <f>M94+N94+O94-L95</f>
        <v>10456396617.01</v>
      </c>
      <c r="M94" s="334">
        <v>4505241227.2600002</v>
      </c>
      <c r="N94" s="334">
        <v>5951155389.75</v>
      </c>
      <c r="O94" s="334">
        <v>0</v>
      </c>
      <c r="P94" s="32">
        <f t="shared" si="41"/>
        <v>12194.36699484</v>
      </c>
      <c r="Q94" s="32">
        <f t="shared" si="42"/>
        <v>13864.245795250001</v>
      </c>
      <c r="R94" s="32">
        <f>E94/1000000</f>
        <v>10498.711056130001</v>
      </c>
      <c r="S94" s="32">
        <f>F94/1000000</f>
        <v>4530.0944510099998</v>
      </c>
      <c r="T94" s="32">
        <f t="shared" si="43"/>
        <v>5968.6166051199998</v>
      </c>
      <c r="U94" s="32">
        <f t="shared" si="44"/>
        <v>0</v>
      </c>
      <c r="V94" s="32">
        <f t="shared" si="45"/>
        <v>12127.51322067</v>
      </c>
      <c r="W94" s="32">
        <f t="shared" si="46"/>
        <v>13839.187886360001</v>
      </c>
      <c r="X94" s="32">
        <f>L94/1000000</f>
        <v>10456.396617010001</v>
      </c>
      <c r="Y94" s="32">
        <f>M94/1000000</f>
        <v>4505.2412272600004</v>
      </c>
      <c r="Z94" s="32">
        <f t="shared" si="47"/>
        <v>5951.1553897499998</v>
      </c>
      <c r="AA94" s="32">
        <f t="shared" si="48"/>
        <v>0</v>
      </c>
      <c r="AB94" s="32">
        <f t="shared" si="49"/>
        <v>99.45176511254509</v>
      </c>
      <c r="AC94" s="32">
        <f t="shared" si="50"/>
        <v>99.819262372724353</v>
      </c>
      <c r="AD94" s="32">
        <f>X94/R94%</f>
        <v>99.596955865403174</v>
      </c>
      <c r="AE94" s="32">
        <f>Y94/S94%</f>
        <v>99.451375153017878</v>
      </c>
      <c r="AF94" s="32">
        <f t="shared" si="51"/>
        <v>99.707449539395427</v>
      </c>
      <c r="AG94" s="116" t="s">
        <v>30</v>
      </c>
      <c r="AH94" s="40"/>
    </row>
    <row r="95" spans="1:34" s="274" customFormat="1" hidden="1" x14ac:dyDescent="0.25">
      <c r="A95" s="271" t="s">
        <v>73</v>
      </c>
      <c r="B95" s="331">
        <v>0</v>
      </c>
      <c r="C95" s="331">
        <v>12168589856.540001</v>
      </c>
      <c r="D95" s="331">
        <v>12168589856.540001</v>
      </c>
      <c r="E95" s="322">
        <f>F95+G95+H95</f>
        <v>0</v>
      </c>
      <c r="F95" s="331">
        <v>0</v>
      </c>
      <c r="G95" s="331">
        <v>0</v>
      </c>
      <c r="H95" s="331">
        <v>0</v>
      </c>
      <c r="I95" s="331">
        <v>0</v>
      </c>
      <c r="J95" s="331">
        <v>12168071282.700001</v>
      </c>
      <c r="K95" s="331">
        <v>12168071282.700001</v>
      </c>
      <c r="L95" s="322">
        <f>M95+N95+O95</f>
        <v>0</v>
      </c>
      <c r="M95" s="331">
        <v>0</v>
      </c>
      <c r="N95" s="331">
        <v>0</v>
      </c>
      <c r="O95" s="331">
        <v>0</v>
      </c>
      <c r="P95" s="272">
        <f t="shared" si="41"/>
        <v>0</v>
      </c>
      <c r="Q95" s="272">
        <f t="shared" si="42"/>
        <v>12168.58985654</v>
      </c>
      <c r="R95" s="272"/>
      <c r="S95" s="272"/>
      <c r="T95" s="272">
        <f t="shared" si="43"/>
        <v>0</v>
      </c>
      <c r="U95" s="272">
        <f t="shared" si="44"/>
        <v>0</v>
      </c>
      <c r="V95" s="272">
        <f t="shared" si="45"/>
        <v>0</v>
      </c>
      <c r="W95" s="272">
        <f t="shared" si="46"/>
        <v>12168.071282700001</v>
      </c>
      <c r="X95" s="272"/>
      <c r="Y95" s="272"/>
      <c r="Z95" s="272">
        <f t="shared" si="47"/>
        <v>0</v>
      </c>
      <c r="AA95" s="272">
        <f t="shared" si="48"/>
        <v>0</v>
      </c>
      <c r="AB95" s="272" t="e">
        <f t="shared" si="49"/>
        <v>#DIV/0!</v>
      </c>
      <c r="AC95" s="272">
        <f t="shared" si="50"/>
        <v>99.995738422889474</v>
      </c>
      <c r="AD95" s="272"/>
      <c r="AE95" s="272"/>
      <c r="AF95" s="272" t="e">
        <f t="shared" si="51"/>
        <v>#DIV/0!</v>
      </c>
      <c r="AG95" s="273"/>
      <c r="AH95" s="333"/>
    </row>
    <row r="96" spans="1:34" x14ac:dyDescent="0.25">
      <c r="A96" s="108" t="s">
        <v>359</v>
      </c>
      <c r="B96" s="334">
        <v>2007379035.6099999</v>
      </c>
      <c r="C96" s="334">
        <v>75290605.599999994</v>
      </c>
      <c r="D96" s="334">
        <v>215546017.38999999</v>
      </c>
      <c r="E96" s="119">
        <f>F96+G96+H96-E97</f>
        <v>1867123623.8200002</v>
      </c>
      <c r="F96" s="334">
        <v>1220895997.3800001</v>
      </c>
      <c r="G96" s="334">
        <v>646227626.44000006</v>
      </c>
      <c r="H96" s="334">
        <v>0</v>
      </c>
      <c r="I96" s="334">
        <v>2000297514.45</v>
      </c>
      <c r="J96" s="334">
        <v>75290605.599999994</v>
      </c>
      <c r="K96" s="334">
        <v>215546017.38999999</v>
      </c>
      <c r="L96" s="119">
        <f>M96+N96+O96-L97</f>
        <v>1860042102.6599998</v>
      </c>
      <c r="M96" s="334">
        <v>1215004372.03</v>
      </c>
      <c r="N96" s="334">
        <v>645037730.63</v>
      </c>
      <c r="O96" s="334">
        <v>0</v>
      </c>
      <c r="P96" s="32">
        <f t="shared" si="41"/>
        <v>2007.3790356099998</v>
      </c>
      <c r="Q96" s="32">
        <f t="shared" si="42"/>
        <v>215.54601738999997</v>
      </c>
      <c r="R96" s="32">
        <f>E96/1000000</f>
        <v>1867.1236238200001</v>
      </c>
      <c r="S96" s="32">
        <f>F96/1000000</f>
        <v>1220.8959973800002</v>
      </c>
      <c r="T96" s="32">
        <f t="shared" si="43"/>
        <v>646.22762644000011</v>
      </c>
      <c r="U96" s="32">
        <f t="shared" si="44"/>
        <v>0</v>
      </c>
      <c r="V96" s="32">
        <f t="shared" si="45"/>
        <v>2000.2975144500001</v>
      </c>
      <c r="W96" s="32">
        <f t="shared" si="46"/>
        <v>215.54601738999997</v>
      </c>
      <c r="X96" s="32">
        <f>L96/1000000</f>
        <v>1860.04210266</v>
      </c>
      <c r="Y96" s="32">
        <f>M96/1000000</f>
        <v>1215.00437203</v>
      </c>
      <c r="Z96" s="32">
        <f t="shared" si="47"/>
        <v>645.03773062999994</v>
      </c>
      <c r="AA96" s="32">
        <f t="shared" si="48"/>
        <v>0</v>
      </c>
      <c r="AB96" s="32">
        <f t="shared" si="49"/>
        <v>99.64722550976289</v>
      </c>
      <c r="AC96" s="32">
        <f t="shared" si="50"/>
        <v>100</v>
      </c>
      <c r="AD96" s="32">
        <f>X96/R96%</f>
        <v>99.620725640784727</v>
      </c>
      <c r="AE96" s="32">
        <f>Y96/S96%</f>
        <v>99.517434297217505</v>
      </c>
      <c r="AF96" s="32">
        <f t="shared" si="51"/>
        <v>99.815870482579783</v>
      </c>
      <c r="AG96" s="116" t="s">
        <v>30</v>
      </c>
      <c r="AH96" s="40"/>
    </row>
    <row r="97" spans="1:34" s="274" customFormat="1" hidden="1" x14ac:dyDescent="0.25">
      <c r="A97" s="271" t="s">
        <v>73</v>
      </c>
      <c r="B97" s="331">
        <v>0</v>
      </c>
      <c r="C97" s="331">
        <v>75290605.599999994</v>
      </c>
      <c r="D97" s="331">
        <v>75290605.599999994</v>
      </c>
      <c r="E97" s="322">
        <f>F97+G97+H97</f>
        <v>0</v>
      </c>
      <c r="F97" s="331">
        <v>0</v>
      </c>
      <c r="G97" s="331">
        <v>0</v>
      </c>
      <c r="H97" s="331">
        <v>0</v>
      </c>
      <c r="I97" s="331">
        <v>0</v>
      </c>
      <c r="J97" s="331">
        <v>75290605.599999994</v>
      </c>
      <c r="K97" s="331">
        <v>75290605.599999994</v>
      </c>
      <c r="L97" s="322">
        <f>M97+N97+O97</f>
        <v>0</v>
      </c>
      <c r="M97" s="331">
        <v>0</v>
      </c>
      <c r="N97" s="331">
        <v>0</v>
      </c>
      <c r="O97" s="331">
        <v>0</v>
      </c>
      <c r="P97" s="272">
        <f t="shared" si="41"/>
        <v>0</v>
      </c>
      <c r="Q97" s="272">
        <f t="shared" si="42"/>
        <v>75.290605599999992</v>
      </c>
      <c r="R97" s="272"/>
      <c r="S97" s="272"/>
      <c r="T97" s="272">
        <f t="shared" si="43"/>
        <v>0</v>
      </c>
      <c r="U97" s="272">
        <f t="shared" si="44"/>
        <v>0</v>
      </c>
      <c r="V97" s="272">
        <f t="shared" si="45"/>
        <v>0</v>
      </c>
      <c r="W97" s="272">
        <f t="shared" si="46"/>
        <v>75.290605599999992</v>
      </c>
      <c r="X97" s="272"/>
      <c r="Y97" s="272"/>
      <c r="Z97" s="272">
        <f t="shared" si="47"/>
        <v>0</v>
      </c>
      <c r="AA97" s="272">
        <f t="shared" si="48"/>
        <v>0</v>
      </c>
      <c r="AB97" s="272" t="e">
        <f t="shared" si="49"/>
        <v>#DIV/0!</v>
      </c>
      <c r="AC97" s="272">
        <f t="shared" si="50"/>
        <v>100</v>
      </c>
      <c r="AD97" s="272"/>
      <c r="AE97" s="272"/>
      <c r="AF97" s="272" t="e">
        <f t="shared" si="51"/>
        <v>#DIV/0!</v>
      </c>
      <c r="AG97" s="273"/>
      <c r="AH97" s="333"/>
    </row>
    <row r="98" spans="1:34" x14ac:dyDescent="0.25">
      <c r="A98" s="108" t="s">
        <v>360</v>
      </c>
      <c r="B98" s="334">
        <v>2203626125.75</v>
      </c>
      <c r="C98" s="334">
        <v>0</v>
      </c>
      <c r="D98" s="334">
        <v>2203626125.75</v>
      </c>
      <c r="E98" s="119">
        <f>F98+G98+H98</f>
        <v>0</v>
      </c>
      <c r="F98" s="334">
        <v>0</v>
      </c>
      <c r="G98" s="334">
        <v>0</v>
      </c>
      <c r="H98" s="334">
        <v>0</v>
      </c>
      <c r="I98" s="334">
        <v>2202901502.73</v>
      </c>
      <c r="J98" s="334">
        <v>0</v>
      </c>
      <c r="K98" s="334">
        <v>2202901502.73</v>
      </c>
      <c r="L98" s="119">
        <f>M98+N98+O98</f>
        <v>0</v>
      </c>
      <c r="M98" s="334">
        <v>0</v>
      </c>
      <c r="N98" s="334">
        <v>0</v>
      </c>
      <c r="O98" s="334">
        <v>0</v>
      </c>
      <c r="P98" s="32">
        <f t="shared" ref="P98:P101" si="52">B98/1000000</f>
        <v>2203.62612575</v>
      </c>
      <c r="Q98" s="32">
        <f t="shared" ref="Q98:Q101" si="53">D98/1000000</f>
        <v>2203.62612575</v>
      </c>
      <c r="R98" s="32">
        <f t="shared" ref="R98:S100" si="54">E98/1000000</f>
        <v>0</v>
      </c>
      <c r="S98" s="32">
        <f t="shared" si="54"/>
        <v>0</v>
      </c>
      <c r="T98" s="32">
        <f t="shared" ref="T98:T101" si="55">G98/1000000</f>
        <v>0</v>
      </c>
      <c r="U98" s="32">
        <f t="shared" ref="U98:U101" si="56">H98/1000000</f>
        <v>0</v>
      </c>
      <c r="V98" s="32">
        <f t="shared" ref="V98:V101" si="57">I98/1000000</f>
        <v>2202.9015027300002</v>
      </c>
      <c r="W98" s="32">
        <f t="shared" ref="W98:W101" si="58">K98/1000000</f>
        <v>2202.9015027300002</v>
      </c>
      <c r="X98" s="32">
        <f t="shared" ref="X98:Y100" si="59">L98/1000000</f>
        <v>0</v>
      </c>
      <c r="Y98" s="32">
        <f t="shared" si="59"/>
        <v>0</v>
      </c>
      <c r="Z98" s="32">
        <f t="shared" ref="Z98:Z101" si="60">N98/1000000</f>
        <v>0</v>
      </c>
      <c r="AA98" s="32">
        <f t="shared" ref="AA98:AA101" si="61">O98/1000000</f>
        <v>0</v>
      </c>
      <c r="AB98" s="32">
        <f t="shared" ref="AB98:AB101" si="62">V98/P98%</f>
        <v>99.967116789389422</v>
      </c>
      <c r="AC98" s="32">
        <f t="shared" ref="AC98:AC101" si="63">W98/Q98%</f>
        <v>99.967116789389422</v>
      </c>
      <c r="AD98" s="109" t="s">
        <v>30</v>
      </c>
      <c r="AE98" s="109" t="s">
        <v>30</v>
      </c>
      <c r="AF98" s="109" t="s">
        <v>30</v>
      </c>
      <c r="AG98" s="116" t="s">
        <v>30</v>
      </c>
      <c r="AH98" s="40"/>
    </row>
    <row r="99" spans="1:34" ht="26.4" hidden="1" x14ac:dyDescent="0.25">
      <c r="A99" s="108" t="s">
        <v>361</v>
      </c>
      <c r="B99" s="334">
        <v>101648693.53</v>
      </c>
      <c r="C99" s="334">
        <v>0</v>
      </c>
      <c r="D99" s="334">
        <v>98941802.400000006</v>
      </c>
      <c r="E99" s="119">
        <f>F99+G99+H99</f>
        <v>2706891.13</v>
      </c>
      <c r="F99" s="334">
        <v>0</v>
      </c>
      <c r="G99" s="334">
        <v>2706891.13</v>
      </c>
      <c r="H99" s="334">
        <v>0</v>
      </c>
      <c r="I99" s="334">
        <v>101648693.53</v>
      </c>
      <c r="J99" s="334">
        <v>0</v>
      </c>
      <c r="K99" s="334">
        <v>98941802.400000006</v>
      </c>
      <c r="L99" s="119">
        <f>M99+N99+O99</f>
        <v>2706891.13</v>
      </c>
      <c r="M99" s="334">
        <v>0</v>
      </c>
      <c r="N99" s="334">
        <v>2706891.13</v>
      </c>
      <c r="O99" s="334">
        <v>0</v>
      </c>
      <c r="P99" s="32">
        <f t="shared" si="52"/>
        <v>101.64869353</v>
      </c>
      <c r="Q99" s="32">
        <f t="shared" si="53"/>
        <v>98.9418024</v>
      </c>
      <c r="R99" s="32">
        <f t="shared" si="54"/>
        <v>2.7068911299999998</v>
      </c>
      <c r="S99" s="32">
        <f t="shared" si="54"/>
        <v>0</v>
      </c>
      <c r="T99" s="32">
        <f t="shared" si="55"/>
        <v>2.7068911299999998</v>
      </c>
      <c r="U99" s="32">
        <f t="shared" si="56"/>
        <v>0</v>
      </c>
      <c r="V99" s="32">
        <f t="shared" si="57"/>
        <v>101.64869353</v>
      </c>
      <c r="W99" s="32">
        <f t="shared" si="58"/>
        <v>98.9418024</v>
      </c>
      <c r="X99" s="32">
        <f t="shared" si="59"/>
        <v>2.7068911299999998</v>
      </c>
      <c r="Y99" s="32">
        <f t="shared" si="59"/>
        <v>0</v>
      </c>
      <c r="Z99" s="32">
        <f t="shared" si="60"/>
        <v>2.7068911299999998</v>
      </c>
      <c r="AA99" s="32">
        <f t="shared" si="61"/>
        <v>0</v>
      </c>
      <c r="AB99" s="32">
        <f t="shared" si="62"/>
        <v>99.999999999999986</v>
      </c>
      <c r="AC99" s="32">
        <f t="shared" si="63"/>
        <v>100</v>
      </c>
      <c r="AD99" s="32">
        <f>X99/R99%</f>
        <v>100</v>
      </c>
      <c r="AE99" s="109" t="s">
        <v>30</v>
      </c>
      <c r="AF99" s="32">
        <f t="shared" ref="AF99:AF101" si="64">Z99/T99%</f>
        <v>100</v>
      </c>
      <c r="AG99" s="116" t="s">
        <v>30</v>
      </c>
      <c r="AH99" s="40"/>
    </row>
    <row r="100" spans="1:34" x14ac:dyDescent="0.25">
      <c r="A100" s="108" t="s">
        <v>362</v>
      </c>
      <c r="B100" s="334">
        <v>554956662.75999999</v>
      </c>
      <c r="C100" s="334">
        <v>67107315.899999999</v>
      </c>
      <c r="D100" s="334">
        <v>460390156</v>
      </c>
      <c r="E100" s="119">
        <f>F100+G100+H100-E101</f>
        <v>160914822.66</v>
      </c>
      <c r="F100" s="334">
        <v>106487637.84999999</v>
      </c>
      <c r="G100" s="334">
        <v>53347678.880000003</v>
      </c>
      <c r="H100" s="334">
        <v>1838505.93</v>
      </c>
      <c r="I100" s="334">
        <v>552620798.73000002</v>
      </c>
      <c r="J100" s="334">
        <v>67070694.899999999</v>
      </c>
      <c r="K100" s="334">
        <v>459063118.45999998</v>
      </c>
      <c r="L100" s="119">
        <f>M100+N100+O100-L101</f>
        <v>159876375.16999999</v>
      </c>
      <c r="M100" s="334">
        <v>105977518.25</v>
      </c>
      <c r="N100" s="334">
        <v>52894582.450000003</v>
      </c>
      <c r="O100" s="334">
        <v>1756274.4700000002</v>
      </c>
      <c r="P100" s="32">
        <f t="shared" si="52"/>
        <v>554.95666275999997</v>
      </c>
      <c r="Q100" s="32">
        <f t="shared" si="53"/>
        <v>460.39015599999999</v>
      </c>
      <c r="R100" s="32">
        <f t="shared" si="54"/>
        <v>160.91482266</v>
      </c>
      <c r="S100" s="32">
        <f t="shared" si="54"/>
        <v>106.48763785</v>
      </c>
      <c r="T100" s="32">
        <f t="shared" si="55"/>
        <v>53.347678880000004</v>
      </c>
      <c r="U100" s="32">
        <f t="shared" si="56"/>
        <v>1.83850593</v>
      </c>
      <c r="V100" s="32">
        <f t="shared" si="57"/>
        <v>552.62079873000005</v>
      </c>
      <c r="W100" s="32">
        <f t="shared" si="58"/>
        <v>459.06311846</v>
      </c>
      <c r="X100" s="32">
        <f t="shared" si="59"/>
        <v>159.87637516999999</v>
      </c>
      <c r="Y100" s="32">
        <f t="shared" si="59"/>
        <v>105.97751825</v>
      </c>
      <c r="Z100" s="32">
        <f t="shared" si="60"/>
        <v>52.894582450000001</v>
      </c>
      <c r="AA100" s="32">
        <f t="shared" si="61"/>
        <v>1.7562744700000001</v>
      </c>
      <c r="AB100" s="32">
        <f t="shared" si="62"/>
        <v>99.579090731448673</v>
      </c>
      <c r="AC100" s="32">
        <f t="shared" si="63"/>
        <v>99.711758055052769</v>
      </c>
      <c r="AD100" s="32">
        <f>X100/R100%</f>
        <v>99.354660140791282</v>
      </c>
      <c r="AE100" s="32">
        <f>Y100/S100%</f>
        <v>99.520958854662027</v>
      </c>
      <c r="AF100" s="32">
        <f t="shared" si="64"/>
        <v>99.150672644972616</v>
      </c>
      <c r="AG100" s="34">
        <f>AA100/U100%</f>
        <v>95.527267078219339</v>
      </c>
      <c r="AH100" s="40"/>
    </row>
    <row r="101" spans="1:34" s="274" customFormat="1" hidden="1" x14ac:dyDescent="0.25">
      <c r="A101" s="271" t="s">
        <v>73</v>
      </c>
      <c r="B101" s="331">
        <v>0</v>
      </c>
      <c r="C101" s="331">
        <v>67107315.899999999</v>
      </c>
      <c r="D101" s="331">
        <v>66348315.899999999</v>
      </c>
      <c r="E101" s="322">
        <f>F101+G101+H101</f>
        <v>759000</v>
      </c>
      <c r="F101" s="331">
        <v>0</v>
      </c>
      <c r="G101" s="331">
        <v>708000</v>
      </c>
      <c r="H101" s="331">
        <v>51000</v>
      </c>
      <c r="I101" s="331">
        <v>0</v>
      </c>
      <c r="J101" s="331">
        <v>67070694.899999999</v>
      </c>
      <c r="K101" s="331">
        <v>66318694.899999999</v>
      </c>
      <c r="L101" s="322">
        <f>M101+N101+O101</f>
        <v>752000</v>
      </c>
      <c r="M101" s="331">
        <v>0</v>
      </c>
      <c r="N101" s="331">
        <v>701000</v>
      </c>
      <c r="O101" s="331">
        <v>51000</v>
      </c>
      <c r="P101" s="272">
        <f t="shared" si="52"/>
        <v>0</v>
      </c>
      <c r="Q101" s="272">
        <f t="shared" si="53"/>
        <v>66.348315900000003</v>
      </c>
      <c r="R101" s="272"/>
      <c r="S101" s="272"/>
      <c r="T101" s="272">
        <f t="shared" si="55"/>
        <v>0.70799999999999996</v>
      </c>
      <c r="U101" s="272">
        <f t="shared" si="56"/>
        <v>5.0999999999999997E-2</v>
      </c>
      <c r="V101" s="272">
        <f t="shared" si="57"/>
        <v>0</v>
      </c>
      <c r="W101" s="272">
        <f t="shared" si="58"/>
        <v>66.318694899999997</v>
      </c>
      <c r="X101" s="272"/>
      <c r="Y101" s="272"/>
      <c r="Z101" s="272">
        <f t="shared" si="60"/>
        <v>0.70099999999999996</v>
      </c>
      <c r="AA101" s="272">
        <f t="shared" si="61"/>
        <v>5.0999999999999997E-2</v>
      </c>
      <c r="AB101" s="272" t="e">
        <f t="shared" si="62"/>
        <v>#DIV/0!</v>
      </c>
      <c r="AC101" s="272">
        <f t="shared" si="63"/>
        <v>99.955355309930326</v>
      </c>
      <c r="AD101" s="272"/>
      <c r="AE101" s="272"/>
      <c r="AF101" s="272">
        <f t="shared" si="64"/>
        <v>99.011299435028249</v>
      </c>
      <c r="AG101" s="273"/>
      <c r="AH101" s="333"/>
    </row>
    <row r="102" spans="1:34" ht="26.4" hidden="1" x14ac:dyDescent="0.25">
      <c r="A102" s="108" t="s">
        <v>363</v>
      </c>
      <c r="B102" s="334">
        <v>3595400.21</v>
      </c>
      <c r="C102" s="334">
        <v>0</v>
      </c>
      <c r="D102" s="334">
        <v>3595400.21</v>
      </c>
      <c r="E102" s="119">
        <f>F102+G102+H102</f>
        <v>0</v>
      </c>
      <c r="F102" s="334">
        <v>0</v>
      </c>
      <c r="G102" s="334">
        <v>0</v>
      </c>
      <c r="H102" s="334">
        <v>0</v>
      </c>
      <c r="I102" s="334">
        <v>3595400.21</v>
      </c>
      <c r="J102" s="334">
        <v>0</v>
      </c>
      <c r="K102" s="334">
        <v>3595400.21</v>
      </c>
      <c r="L102" s="119">
        <f>M102+N102+O102</f>
        <v>0</v>
      </c>
      <c r="M102" s="334">
        <v>0</v>
      </c>
      <c r="N102" s="334">
        <v>0</v>
      </c>
      <c r="O102" s="334">
        <v>0</v>
      </c>
      <c r="P102" s="32">
        <f t="shared" ref="P102:P104" si="65">B102/1000000</f>
        <v>3.5954002099999998</v>
      </c>
      <c r="Q102" s="32">
        <f t="shared" ref="Q102:Q104" si="66">D102/1000000</f>
        <v>3.5954002099999998</v>
      </c>
      <c r="R102" s="32">
        <f>E102/1000000</f>
        <v>0</v>
      </c>
      <c r="S102" s="32">
        <f>F102/1000000</f>
        <v>0</v>
      </c>
      <c r="T102" s="32">
        <f t="shared" ref="T102:T104" si="67">G102/1000000</f>
        <v>0</v>
      </c>
      <c r="U102" s="32">
        <f t="shared" ref="U102:U104" si="68">H102/1000000</f>
        <v>0</v>
      </c>
      <c r="V102" s="32">
        <f t="shared" ref="V102:V104" si="69">I102/1000000</f>
        <v>3.5954002099999998</v>
      </c>
      <c r="W102" s="32">
        <f t="shared" ref="W102:W104" si="70">K102/1000000</f>
        <v>3.5954002099999998</v>
      </c>
      <c r="X102" s="32">
        <f>L102/1000000</f>
        <v>0</v>
      </c>
      <c r="Y102" s="32">
        <f>M102/1000000</f>
        <v>0</v>
      </c>
      <c r="Z102" s="32">
        <f t="shared" ref="Z102:Z104" si="71">N102/1000000</f>
        <v>0</v>
      </c>
      <c r="AA102" s="32">
        <f t="shared" ref="AA102:AA104" si="72">O102/1000000</f>
        <v>0</v>
      </c>
      <c r="AB102" s="32">
        <f t="shared" ref="AB102:AB104" si="73">V102/P102%</f>
        <v>100</v>
      </c>
      <c r="AC102" s="32">
        <f t="shared" ref="AC102:AC104" si="74">W102/Q102%</f>
        <v>100</v>
      </c>
      <c r="AD102" s="109" t="s">
        <v>30</v>
      </c>
      <c r="AE102" s="109" t="s">
        <v>30</v>
      </c>
      <c r="AF102" s="109" t="s">
        <v>30</v>
      </c>
      <c r="AG102" s="116" t="s">
        <v>30</v>
      </c>
      <c r="AH102" s="40"/>
    </row>
    <row r="103" spans="1:34" x14ac:dyDescent="0.25">
      <c r="A103" s="108" t="s">
        <v>364</v>
      </c>
      <c r="B103" s="334">
        <v>675522036.75</v>
      </c>
      <c r="C103" s="334">
        <v>462643135.07999998</v>
      </c>
      <c r="D103" s="334">
        <v>716383561.38999999</v>
      </c>
      <c r="E103" s="119">
        <f>F103+G103+H103-E104</f>
        <v>421781610.44</v>
      </c>
      <c r="F103" s="334">
        <v>242739093.09</v>
      </c>
      <c r="G103" s="334">
        <v>179003617.34999999</v>
      </c>
      <c r="H103" s="334">
        <v>38900</v>
      </c>
      <c r="I103" s="334">
        <v>666726768.76999998</v>
      </c>
      <c r="J103" s="334">
        <v>459334712.18000001</v>
      </c>
      <c r="K103" s="334">
        <v>711845983</v>
      </c>
      <c r="L103" s="119">
        <f>M103+N103+O103-L104</f>
        <v>414215497.94999999</v>
      </c>
      <c r="M103" s="334">
        <v>236582778.88</v>
      </c>
      <c r="N103" s="334">
        <v>177593819.06999999</v>
      </c>
      <c r="O103" s="334">
        <v>38900</v>
      </c>
      <c r="P103" s="32">
        <f t="shared" si="65"/>
        <v>675.52203674999998</v>
      </c>
      <c r="Q103" s="32">
        <f t="shared" si="66"/>
        <v>716.38356138999995</v>
      </c>
      <c r="R103" s="32">
        <f>E103/1000000</f>
        <v>421.78161044000001</v>
      </c>
      <c r="S103" s="32">
        <f>F103/1000000</f>
        <v>242.73909309000001</v>
      </c>
      <c r="T103" s="32">
        <f t="shared" si="67"/>
        <v>179.00361734999998</v>
      </c>
      <c r="U103" s="32">
        <f t="shared" si="68"/>
        <v>3.8899999999999997E-2</v>
      </c>
      <c r="V103" s="32">
        <f t="shared" si="69"/>
        <v>666.72676877000004</v>
      </c>
      <c r="W103" s="32">
        <f t="shared" si="70"/>
        <v>711.84598300000005</v>
      </c>
      <c r="X103" s="32">
        <f>L103/1000000</f>
        <v>414.21549794999999</v>
      </c>
      <c r="Y103" s="32">
        <f>M103/1000000</f>
        <v>236.58277888000001</v>
      </c>
      <c r="Z103" s="32">
        <f t="shared" si="71"/>
        <v>177.59381907</v>
      </c>
      <c r="AA103" s="32">
        <f t="shared" si="72"/>
        <v>3.8899999999999997E-2</v>
      </c>
      <c r="AB103" s="32">
        <f t="shared" si="73"/>
        <v>98.698004283869878</v>
      </c>
      <c r="AC103" s="32">
        <f t="shared" si="74"/>
        <v>99.366599314312055</v>
      </c>
      <c r="AD103" s="32">
        <f>X103/R103%</f>
        <v>98.206154013659571</v>
      </c>
      <c r="AE103" s="32">
        <f>Y103/S103%</f>
        <v>97.463814282391908</v>
      </c>
      <c r="AF103" s="32">
        <f t="shared" ref="AF103:AF104" si="75">Z103/T103%</f>
        <v>99.212419111484508</v>
      </c>
      <c r="AG103" s="34">
        <f>AA103/U103%</f>
        <v>100</v>
      </c>
      <c r="AH103" s="40"/>
    </row>
    <row r="104" spans="1:34" s="274" customFormat="1" hidden="1" x14ac:dyDescent="0.25">
      <c r="A104" s="271" t="s">
        <v>73</v>
      </c>
      <c r="B104" s="331">
        <v>0</v>
      </c>
      <c r="C104" s="331">
        <v>462643135.07999998</v>
      </c>
      <c r="D104" s="331">
        <v>462643135.07999998</v>
      </c>
      <c r="E104" s="322">
        <f>F104+G104+H104</f>
        <v>0</v>
      </c>
      <c r="F104" s="331">
        <v>0</v>
      </c>
      <c r="G104" s="331">
        <v>0</v>
      </c>
      <c r="H104" s="331">
        <v>0</v>
      </c>
      <c r="I104" s="331">
        <v>0</v>
      </c>
      <c r="J104" s="331">
        <v>459334712.18000001</v>
      </c>
      <c r="K104" s="331">
        <v>459334712.18000001</v>
      </c>
      <c r="L104" s="322">
        <f>M104+N104+O104</f>
        <v>0</v>
      </c>
      <c r="M104" s="331">
        <v>0</v>
      </c>
      <c r="N104" s="331">
        <v>0</v>
      </c>
      <c r="O104" s="331">
        <v>0</v>
      </c>
      <c r="P104" s="272">
        <f t="shared" si="65"/>
        <v>0</v>
      </c>
      <c r="Q104" s="272">
        <f t="shared" si="66"/>
        <v>462.64313507999998</v>
      </c>
      <c r="R104" s="272"/>
      <c r="S104" s="272"/>
      <c r="T104" s="272">
        <f t="shared" si="67"/>
        <v>0</v>
      </c>
      <c r="U104" s="272">
        <f t="shared" si="68"/>
        <v>0</v>
      </c>
      <c r="V104" s="272">
        <f t="shared" si="69"/>
        <v>0</v>
      </c>
      <c r="W104" s="272">
        <f t="shared" si="70"/>
        <v>459.33471218</v>
      </c>
      <c r="X104" s="272"/>
      <c r="Y104" s="272"/>
      <c r="Z104" s="272">
        <f t="shared" si="71"/>
        <v>0</v>
      </c>
      <c r="AA104" s="272">
        <f t="shared" si="72"/>
        <v>0</v>
      </c>
      <c r="AB104" s="272" t="e">
        <f t="shared" si="73"/>
        <v>#DIV/0!</v>
      </c>
      <c r="AC104" s="272">
        <f t="shared" si="74"/>
        <v>99.284886633100498</v>
      </c>
      <c r="AD104" s="272"/>
      <c r="AE104" s="272"/>
      <c r="AF104" s="272" t="e">
        <f t="shared" si="75"/>
        <v>#DIV/0!</v>
      </c>
      <c r="AG104" s="273"/>
      <c r="AH104" s="333"/>
    </row>
    <row r="105" spans="1:34" s="42" customFormat="1" x14ac:dyDescent="0.25">
      <c r="A105" s="107" t="s">
        <v>87</v>
      </c>
      <c r="B105" s="36">
        <v>3283198834.8800001</v>
      </c>
      <c r="C105" s="36">
        <v>717633955.52999997</v>
      </c>
      <c r="D105" s="36">
        <v>1548023560.45</v>
      </c>
      <c r="E105" s="119">
        <f>F105+G105+H105-E106</f>
        <v>2280514248.27</v>
      </c>
      <c r="F105" s="36">
        <v>815241671.90999997</v>
      </c>
      <c r="G105" s="36">
        <v>1167075975.8299999</v>
      </c>
      <c r="H105" s="36">
        <v>470491582.22000003</v>
      </c>
      <c r="I105" s="36">
        <v>3140106490.2399998</v>
      </c>
      <c r="J105" s="36">
        <v>717467289.52999997</v>
      </c>
      <c r="K105" s="36">
        <v>1523383393.6600001</v>
      </c>
      <c r="L105" s="119">
        <f>M105+N105+O105-L106</f>
        <v>2162062070.4200001</v>
      </c>
      <c r="M105" s="36">
        <v>813899210.38999999</v>
      </c>
      <c r="N105" s="36">
        <v>1062942592.14</v>
      </c>
      <c r="O105" s="36">
        <v>457348583.58000004</v>
      </c>
      <c r="P105" s="38">
        <f t="shared" si="26"/>
        <v>3283.19883488</v>
      </c>
      <c r="Q105" s="38">
        <f t="shared" si="32"/>
        <v>1548.0235604500001</v>
      </c>
      <c r="R105" s="38">
        <f>E105/1000000</f>
        <v>2280.5142482699998</v>
      </c>
      <c r="S105" s="38">
        <f>F105/1000000</f>
        <v>815.24167190999992</v>
      </c>
      <c r="T105" s="38">
        <f t="shared" si="29"/>
        <v>1167.0759758299998</v>
      </c>
      <c r="U105" s="38">
        <f t="shared" si="29"/>
        <v>470.49158222000005</v>
      </c>
      <c r="V105" s="38">
        <f t="shared" si="29"/>
        <v>3140.1064902399999</v>
      </c>
      <c r="W105" s="38">
        <f t="shared" si="24"/>
        <v>1523.3833936600001</v>
      </c>
      <c r="X105" s="38">
        <f>L105/1000000</f>
        <v>2162.0620704200001</v>
      </c>
      <c r="Y105" s="38">
        <f>M105/1000000</f>
        <v>813.89921039000001</v>
      </c>
      <c r="Z105" s="38">
        <f t="shared" si="24"/>
        <v>1062.94259214</v>
      </c>
      <c r="AA105" s="38">
        <f t="shared" si="24"/>
        <v>457.34858358000002</v>
      </c>
      <c r="AB105" s="38">
        <f t="shared" si="40"/>
        <v>95.641678989410636</v>
      </c>
      <c r="AC105" s="38">
        <f t="shared" si="33"/>
        <v>98.408282185134368</v>
      </c>
      <c r="AD105" s="38">
        <f>X105/R105%</f>
        <v>94.805900557742277</v>
      </c>
      <c r="AE105" s="38">
        <f>Y105/S105%</f>
        <v>99.835329624790305</v>
      </c>
      <c r="AF105" s="38">
        <f t="shared" si="39"/>
        <v>91.077411766963806</v>
      </c>
      <c r="AG105" s="39">
        <f>AA105/U105%</f>
        <v>97.206539046249205</v>
      </c>
      <c r="AH105" s="40"/>
    </row>
    <row r="106" spans="1:34" s="274" customFormat="1" hidden="1" x14ac:dyDescent="0.25">
      <c r="A106" s="316" t="s">
        <v>67</v>
      </c>
      <c r="B106" s="331">
        <v>21000000</v>
      </c>
      <c r="C106" s="331">
        <v>717633955.52999997</v>
      </c>
      <c r="D106" s="331">
        <v>566338973.84000003</v>
      </c>
      <c r="E106" s="322">
        <f>F106+G106+H106</f>
        <v>172294981.69</v>
      </c>
      <c r="F106" s="331">
        <v>0</v>
      </c>
      <c r="G106" s="331">
        <v>93135371.560000002</v>
      </c>
      <c r="H106" s="331">
        <v>79159610.129999995</v>
      </c>
      <c r="I106" s="331">
        <v>0</v>
      </c>
      <c r="J106" s="331">
        <v>717467289.52999997</v>
      </c>
      <c r="K106" s="331">
        <v>545338973.84000003</v>
      </c>
      <c r="L106" s="322">
        <f>M106+N106+O106</f>
        <v>172128315.69</v>
      </c>
      <c r="M106" s="331">
        <v>0</v>
      </c>
      <c r="N106" s="331">
        <v>93134905.560000002</v>
      </c>
      <c r="O106" s="331">
        <v>78993410.129999995</v>
      </c>
      <c r="P106" s="272">
        <f t="shared" si="26"/>
        <v>21</v>
      </c>
      <c r="Q106" s="272">
        <f t="shared" si="32"/>
        <v>566.33897383999999</v>
      </c>
      <c r="R106" s="272"/>
      <c r="S106" s="272"/>
      <c r="T106" s="272">
        <f t="shared" si="29"/>
        <v>93.135371559999996</v>
      </c>
      <c r="U106" s="272">
        <f t="shared" si="29"/>
        <v>79.15961012999999</v>
      </c>
      <c r="V106" s="272"/>
      <c r="W106" s="272">
        <f t="shared" si="24"/>
        <v>545.33897383999999</v>
      </c>
      <c r="X106" s="272"/>
      <c r="Y106" s="272"/>
      <c r="Z106" s="272">
        <f t="shared" si="24"/>
        <v>93.134905560000007</v>
      </c>
      <c r="AA106" s="272">
        <f t="shared" si="24"/>
        <v>78.993410130000001</v>
      </c>
      <c r="AB106" s="272"/>
      <c r="AC106" s="272">
        <f t="shared" si="33"/>
        <v>96.291973364006395</v>
      </c>
      <c r="AD106" s="272"/>
      <c r="AE106" s="272"/>
      <c r="AF106" s="272">
        <f t="shared" si="39"/>
        <v>99.999499653040317</v>
      </c>
      <c r="AG106" s="332">
        <f t="shared" si="39"/>
        <v>99.790044443464225</v>
      </c>
      <c r="AH106" s="333"/>
    </row>
    <row r="107" spans="1:34" s="42" customFormat="1" x14ac:dyDescent="0.25">
      <c r="A107" s="107" t="s">
        <v>88</v>
      </c>
      <c r="B107" s="36">
        <v>5598052168.1300001</v>
      </c>
      <c r="C107" s="36">
        <v>81000</v>
      </c>
      <c r="D107" s="36">
        <v>5597798817.5600004</v>
      </c>
      <c r="E107" s="119">
        <f>F107+G107+H107-E108</f>
        <v>334350.57</v>
      </c>
      <c r="F107" s="36">
        <v>76850.570000000007</v>
      </c>
      <c r="G107" s="36">
        <v>257500</v>
      </c>
      <c r="H107" s="36">
        <v>0</v>
      </c>
      <c r="I107" s="36">
        <v>5466793600</v>
      </c>
      <c r="J107" s="36">
        <v>81000</v>
      </c>
      <c r="K107" s="36">
        <v>5466540249.4300003</v>
      </c>
      <c r="L107" s="119">
        <f>M107+N107+O107-L108</f>
        <v>334350.57</v>
      </c>
      <c r="M107" s="36">
        <v>76850.570000000007</v>
      </c>
      <c r="N107" s="36">
        <v>257500</v>
      </c>
      <c r="O107" s="36">
        <v>0</v>
      </c>
      <c r="P107" s="38">
        <f t="shared" si="26"/>
        <v>5598.0521681299997</v>
      </c>
      <c r="Q107" s="38">
        <f t="shared" si="32"/>
        <v>5597.7988175600003</v>
      </c>
      <c r="R107" s="38">
        <f>E107/1000000</f>
        <v>0.33435057000000001</v>
      </c>
      <c r="S107" s="38">
        <f>F107/1000000</f>
        <v>7.6850570000000007E-2</v>
      </c>
      <c r="T107" s="38">
        <f>G107/1000000</f>
        <v>0.25750000000000001</v>
      </c>
      <c r="U107" s="38">
        <f>H107/1000000</f>
        <v>0</v>
      </c>
      <c r="V107" s="38">
        <f t="shared" si="29"/>
        <v>5466.7936</v>
      </c>
      <c r="W107" s="38">
        <f t="shared" si="24"/>
        <v>5466.5402494300006</v>
      </c>
      <c r="X107" s="38">
        <f t="shared" si="24"/>
        <v>0.33435057000000001</v>
      </c>
      <c r="Y107" s="38">
        <f t="shared" si="24"/>
        <v>7.6850570000000007E-2</v>
      </c>
      <c r="Z107" s="38">
        <f t="shared" si="24"/>
        <v>0.25750000000000001</v>
      </c>
      <c r="AA107" s="38">
        <f t="shared" si="24"/>
        <v>0</v>
      </c>
      <c r="AB107" s="38">
        <f t="shared" si="40"/>
        <v>97.655281440975813</v>
      </c>
      <c r="AC107" s="38">
        <f t="shared" si="33"/>
        <v>97.655175321445128</v>
      </c>
      <c r="AD107" s="38">
        <f>X107/R107%</f>
        <v>100</v>
      </c>
      <c r="AE107" s="38">
        <f>Y107/S107%</f>
        <v>100</v>
      </c>
      <c r="AF107" s="38">
        <f t="shared" si="39"/>
        <v>100</v>
      </c>
      <c r="AG107" s="116" t="s">
        <v>30</v>
      </c>
      <c r="AH107" s="117"/>
    </row>
    <row r="108" spans="1:34" s="274" customFormat="1" hidden="1" x14ac:dyDescent="0.25">
      <c r="A108" s="316" t="s">
        <v>67</v>
      </c>
      <c r="B108" s="331">
        <v>0</v>
      </c>
      <c r="C108" s="331">
        <v>81000</v>
      </c>
      <c r="D108" s="331">
        <v>81000</v>
      </c>
      <c r="E108" s="322">
        <f>F108+G108+H108</f>
        <v>0</v>
      </c>
      <c r="F108" s="342">
        <v>0</v>
      </c>
      <c r="G108" s="343">
        <v>0</v>
      </c>
      <c r="H108" s="343">
        <v>0</v>
      </c>
      <c r="I108" s="343">
        <v>0</v>
      </c>
      <c r="J108" s="343">
        <v>81000</v>
      </c>
      <c r="K108" s="343">
        <v>81000</v>
      </c>
      <c r="L108" s="322">
        <f>M108+N108+O108</f>
        <v>0</v>
      </c>
      <c r="M108" s="331">
        <v>0</v>
      </c>
      <c r="N108" s="331">
        <v>0</v>
      </c>
      <c r="O108" s="331">
        <v>0</v>
      </c>
      <c r="P108" s="272">
        <v>0</v>
      </c>
      <c r="Q108" s="272">
        <f t="shared" si="32"/>
        <v>8.1000000000000003E-2</v>
      </c>
      <c r="R108" s="272"/>
      <c r="S108" s="272">
        <f t="shared" ref="R108:T109" si="76">F108/1000000</f>
        <v>0</v>
      </c>
      <c r="T108" s="272">
        <f t="shared" si="76"/>
        <v>0</v>
      </c>
      <c r="U108" s="272">
        <f t="shared" ref="U108:U113" si="77">H108/1000000</f>
        <v>0</v>
      </c>
      <c r="V108" s="272">
        <f t="shared" si="29"/>
        <v>0</v>
      </c>
      <c r="W108" s="272">
        <f t="shared" si="24"/>
        <v>8.1000000000000003E-2</v>
      </c>
      <c r="X108" s="272"/>
      <c r="Y108" s="272">
        <f t="shared" si="24"/>
        <v>0</v>
      </c>
      <c r="Z108" s="272">
        <f t="shared" si="24"/>
        <v>0</v>
      </c>
      <c r="AA108" s="324">
        <f t="shared" si="24"/>
        <v>0</v>
      </c>
      <c r="AB108" s="272"/>
      <c r="AC108" s="272">
        <f t="shared" si="33"/>
        <v>100</v>
      </c>
      <c r="AD108" s="272"/>
      <c r="AE108" s="272"/>
      <c r="AF108" s="272"/>
      <c r="AG108" s="332"/>
      <c r="AH108" s="333"/>
    </row>
    <row r="109" spans="1:34" x14ac:dyDescent="0.25">
      <c r="A109" s="115" t="s">
        <v>89</v>
      </c>
      <c r="B109" s="31">
        <v>1874247896.3299999</v>
      </c>
      <c r="C109" s="31">
        <v>0</v>
      </c>
      <c r="D109" s="31">
        <v>1874247896.3299999</v>
      </c>
      <c r="E109" s="119">
        <f>F109+G109+H109</f>
        <v>0</v>
      </c>
      <c r="F109" s="31">
        <v>0</v>
      </c>
      <c r="G109" s="31">
        <v>0</v>
      </c>
      <c r="H109" s="31">
        <v>0</v>
      </c>
      <c r="I109" s="114">
        <v>1874247895.5999999</v>
      </c>
      <c r="J109" s="114">
        <v>0</v>
      </c>
      <c r="K109" s="114">
        <v>1874247895.5999999</v>
      </c>
      <c r="L109" s="119">
        <f>M109+N109+O109</f>
        <v>0</v>
      </c>
      <c r="M109" s="114">
        <v>0</v>
      </c>
      <c r="N109" s="114">
        <v>0</v>
      </c>
      <c r="O109" s="114">
        <v>0</v>
      </c>
      <c r="P109" s="32">
        <f>B109/1000000</f>
        <v>1874.24789633</v>
      </c>
      <c r="Q109" s="32">
        <f t="shared" si="32"/>
        <v>1874.24789633</v>
      </c>
      <c r="R109" s="32">
        <f t="shared" si="76"/>
        <v>0</v>
      </c>
      <c r="S109" s="32">
        <f t="shared" si="76"/>
        <v>0</v>
      </c>
      <c r="T109" s="32">
        <f t="shared" si="76"/>
        <v>0</v>
      </c>
      <c r="U109" s="32">
        <f t="shared" si="77"/>
        <v>0</v>
      </c>
      <c r="V109" s="32">
        <f t="shared" si="29"/>
        <v>1874.2478956</v>
      </c>
      <c r="W109" s="32">
        <f t="shared" si="24"/>
        <v>1874.2478956</v>
      </c>
      <c r="X109" s="32">
        <f t="shared" si="24"/>
        <v>0</v>
      </c>
      <c r="Y109" s="32">
        <f t="shared" si="24"/>
        <v>0</v>
      </c>
      <c r="Z109" s="32">
        <f>N109/1000000</f>
        <v>0</v>
      </c>
      <c r="AA109" s="32">
        <f t="shared" si="24"/>
        <v>0</v>
      </c>
      <c r="AB109" s="32">
        <f t="shared" si="40"/>
        <v>99.999999961051032</v>
      </c>
      <c r="AC109" s="32">
        <f t="shared" si="33"/>
        <v>99.999999961051032</v>
      </c>
      <c r="AD109" s="54" t="s">
        <v>30</v>
      </c>
      <c r="AE109" s="54" t="s">
        <v>30</v>
      </c>
      <c r="AF109" s="54" t="s">
        <v>30</v>
      </c>
      <c r="AG109" s="50" t="s">
        <v>30</v>
      </c>
      <c r="AH109" s="80"/>
    </row>
    <row r="110" spans="1:34" x14ac:dyDescent="0.25">
      <c r="A110" s="115" t="s">
        <v>90</v>
      </c>
      <c r="B110" s="114">
        <v>1997495021.9000001</v>
      </c>
      <c r="C110" s="114">
        <v>81000</v>
      </c>
      <c r="D110" s="31">
        <v>1997576021.9000001</v>
      </c>
      <c r="E110" s="119">
        <f>F110+G110+H110-E111</f>
        <v>0</v>
      </c>
      <c r="F110" s="114">
        <v>0</v>
      </c>
      <c r="G110" s="114">
        <v>0</v>
      </c>
      <c r="H110" s="114">
        <v>0</v>
      </c>
      <c r="I110" s="31">
        <v>1868802706.9300001</v>
      </c>
      <c r="J110" s="31">
        <v>81000</v>
      </c>
      <c r="K110" s="31">
        <v>1868883706.9300001</v>
      </c>
      <c r="L110" s="119">
        <f>M110+N110+O110-L111</f>
        <v>0</v>
      </c>
      <c r="M110" s="31">
        <v>0</v>
      </c>
      <c r="N110" s="31">
        <v>0</v>
      </c>
      <c r="O110" s="31">
        <v>0</v>
      </c>
      <c r="P110" s="32">
        <f>B110/1000000</f>
        <v>1997.4950219</v>
      </c>
      <c r="Q110" s="32">
        <f t="shared" si="32"/>
        <v>1997.5760219000001</v>
      </c>
      <c r="R110" s="32">
        <f t="shared" ref="R110:T112" si="78">E110/1000000</f>
        <v>0</v>
      </c>
      <c r="S110" s="32">
        <f t="shared" si="78"/>
        <v>0</v>
      </c>
      <c r="T110" s="32">
        <f t="shared" si="78"/>
        <v>0</v>
      </c>
      <c r="U110" s="32">
        <f t="shared" si="77"/>
        <v>0</v>
      </c>
      <c r="V110" s="32">
        <f>I110/1000000</f>
        <v>1868.8027069300001</v>
      </c>
      <c r="W110" s="32">
        <f t="shared" si="24"/>
        <v>1868.88370693</v>
      </c>
      <c r="X110" s="32">
        <f t="shared" ref="X110:Y113" si="79">L110/1000000</f>
        <v>0</v>
      </c>
      <c r="Y110" s="32">
        <f t="shared" si="79"/>
        <v>0</v>
      </c>
      <c r="Z110" s="32">
        <f>N110/1000000</f>
        <v>0</v>
      </c>
      <c r="AA110" s="32">
        <f t="shared" si="24"/>
        <v>0</v>
      </c>
      <c r="AB110" s="32">
        <f t="shared" si="40"/>
        <v>93.557314858908185</v>
      </c>
      <c r="AC110" s="32">
        <f t="shared" si="33"/>
        <v>93.55757610428293</v>
      </c>
      <c r="AD110" s="54" t="s">
        <v>30</v>
      </c>
      <c r="AE110" s="54" t="s">
        <v>30</v>
      </c>
      <c r="AF110" s="54" t="s">
        <v>30</v>
      </c>
      <c r="AG110" s="50" t="s">
        <v>30</v>
      </c>
      <c r="AH110" s="80"/>
    </row>
    <row r="111" spans="1:34" hidden="1" x14ac:dyDescent="0.25">
      <c r="A111" s="316" t="s">
        <v>73</v>
      </c>
      <c r="B111" s="114">
        <v>0</v>
      </c>
      <c r="C111" s="114">
        <v>81000</v>
      </c>
      <c r="D111" s="31">
        <v>81000</v>
      </c>
      <c r="E111" s="119">
        <f>F111+G111+H111</f>
        <v>0</v>
      </c>
      <c r="F111" s="114">
        <v>0</v>
      </c>
      <c r="G111" s="114">
        <v>0</v>
      </c>
      <c r="H111" s="114">
        <v>0</v>
      </c>
      <c r="I111" s="31">
        <v>0</v>
      </c>
      <c r="J111" s="31">
        <v>81000</v>
      </c>
      <c r="K111" s="31">
        <v>81000</v>
      </c>
      <c r="L111" s="119">
        <f>M111+N111+O111</f>
        <v>0</v>
      </c>
      <c r="M111" s="31">
        <v>0</v>
      </c>
      <c r="N111" s="31">
        <v>0</v>
      </c>
      <c r="O111" s="31">
        <v>0</v>
      </c>
      <c r="P111" s="32">
        <f>B111/1000000</f>
        <v>0</v>
      </c>
      <c r="Q111" s="32">
        <f t="shared" ref="Q111" si="80">D111/1000000</f>
        <v>8.1000000000000003E-2</v>
      </c>
      <c r="R111" s="32">
        <f t="shared" ref="R111" si="81">E111/1000000</f>
        <v>0</v>
      </c>
      <c r="S111" s="32">
        <f t="shared" ref="S111" si="82">F111/1000000</f>
        <v>0</v>
      </c>
      <c r="T111" s="32">
        <f t="shared" ref="T111" si="83">G111/1000000</f>
        <v>0</v>
      </c>
      <c r="U111" s="32">
        <f t="shared" si="77"/>
        <v>0</v>
      </c>
      <c r="V111" s="32">
        <f>I111/1000000</f>
        <v>0</v>
      </c>
      <c r="W111" s="32">
        <f t="shared" ref="W111" si="84">K111/1000000</f>
        <v>8.1000000000000003E-2</v>
      </c>
      <c r="X111" s="32">
        <f t="shared" ref="X111" si="85">L111/1000000</f>
        <v>0</v>
      </c>
      <c r="Y111" s="32">
        <f t="shared" ref="Y111" si="86">M111/1000000</f>
        <v>0</v>
      </c>
      <c r="Z111" s="32">
        <f>N111/1000000</f>
        <v>0</v>
      </c>
      <c r="AA111" s="32">
        <f t="shared" ref="AA111" si="87">O111/1000000</f>
        <v>0</v>
      </c>
      <c r="AB111" s="32" t="e">
        <f t="shared" ref="AB111" si="88">V111/P111%</f>
        <v>#DIV/0!</v>
      </c>
      <c r="AC111" s="32">
        <f t="shared" ref="AC111" si="89">W111/Q111%</f>
        <v>100</v>
      </c>
      <c r="AD111" s="54" t="s">
        <v>30</v>
      </c>
      <c r="AE111" s="54" t="s">
        <v>30</v>
      </c>
      <c r="AF111" s="54" t="s">
        <v>30</v>
      </c>
      <c r="AG111" s="50" t="s">
        <v>30</v>
      </c>
      <c r="AH111" s="80"/>
    </row>
    <row r="112" spans="1:34" x14ac:dyDescent="0.25">
      <c r="A112" s="281" t="s">
        <v>365</v>
      </c>
      <c r="B112" s="114">
        <v>368245675.00999999</v>
      </c>
      <c r="C112" s="114">
        <v>0</v>
      </c>
      <c r="D112" s="31">
        <v>368245675.00999999</v>
      </c>
      <c r="E112" s="119">
        <f>F112+G112+H112</f>
        <v>0</v>
      </c>
      <c r="F112" s="114">
        <v>0</v>
      </c>
      <c r="G112" s="114">
        <v>0</v>
      </c>
      <c r="H112" s="114">
        <v>0</v>
      </c>
      <c r="I112" s="31">
        <v>368221199.35000002</v>
      </c>
      <c r="J112" s="31">
        <v>0</v>
      </c>
      <c r="K112" s="31">
        <v>368221199.35000002</v>
      </c>
      <c r="L112" s="119">
        <f>M112+N112+O112</f>
        <v>0</v>
      </c>
      <c r="M112" s="31">
        <v>0</v>
      </c>
      <c r="N112" s="31">
        <v>0</v>
      </c>
      <c r="O112" s="31">
        <v>0</v>
      </c>
      <c r="P112" s="32">
        <f>B112/1000000</f>
        <v>368.24567501000001</v>
      </c>
      <c r="Q112" s="32">
        <f t="shared" ref="Q112" si="90">D112/1000000</f>
        <v>368.24567501000001</v>
      </c>
      <c r="R112" s="32">
        <f t="shared" si="78"/>
        <v>0</v>
      </c>
      <c r="S112" s="32">
        <f t="shared" si="78"/>
        <v>0</v>
      </c>
      <c r="T112" s="32">
        <f t="shared" si="78"/>
        <v>0</v>
      </c>
      <c r="U112" s="32">
        <f t="shared" si="77"/>
        <v>0</v>
      </c>
      <c r="V112" s="32">
        <f>I112/1000000</f>
        <v>368.22119935000001</v>
      </c>
      <c r="W112" s="32">
        <f t="shared" ref="W112" si="91">K112/1000000</f>
        <v>368.22119935000001</v>
      </c>
      <c r="X112" s="32">
        <f t="shared" si="79"/>
        <v>0</v>
      </c>
      <c r="Y112" s="32">
        <f t="shared" si="79"/>
        <v>0</v>
      </c>
      <c r="Z112" s="32">
        <f>N112/1000000</f>
        <v>0</v>
      </c>
      <c r="AA112" s="32">
        <f t="shared" ref="AA112" si="92">O112/1000000</f>
        <v>0</v>
      </c>
      <c r="AB112" s="32">
        <f t="shared" ref="AB112" si="93">V112/P112%</f>
        <v>99.99335344264415</v>
      </c>
      <c r="AC112" s="32">
        <f t="shared" ref="AC112" si="94">W112/Q112%</f>
        <v>99.99335344264415</v>
      </c>
      <c r="AD112" s="54" t="s">
        <v>30</v>
      </c>
      <c r="AE112" s="54" t="s">
        <v>30</v>
      </c>
      <c r="AF112" s="54" t="s">
        <v>30</v>
      </c>
      <c r="AG112" s="50" t="s">
        <v>30</v>
      </c>
      <c r="AH112" s="80"/>
    </row>
    <row r="113" spans="1:34" ht="13.95" customHeight="1" x14ac:dyDescent="0.25">
      <c r="A113" s="108" t="s">
        <v>91</v>
      </c>
      <c r="B113" s="31">
        <v>1023292966.02</v>
      </c>
      <c r="C113" s="31">
        <v>0</v>
      </c>
      <c r="D113" s="31">
        <v>1022958615.45</v>
      </c>
      <c r="E113" s="119">
        <f>F113+G113+H113-E114</f>
        <v>334350.57</v>
      </c>
      <c r="F113" s="31">
        <v>76850.570000000007</v>
      </c>
      <c r="G113" s="31">
        <v>257500</v>
      </c>
      <c r="H113" s="31">
        <v>0</v>
      </c>
      <c r="I113" s="31">
        <v>1020751189.25</v>
      </c>
      <c r="J113" s="31">
        <v>0</v>
      </c>
      <c r="K113" s="31">
        <v>1020416838.6799999</v>
      </c>
      <c r="L113" s="119">
        <f>M113+N113+O113-L114</f>
        <v>334350.57</v>
      </c>
      <c r="M113" s="31">
        <v>76850.570000000007</v>
      </c>
      <c r="N113" s="31">
        <v>257500</v>
      </c>
      <c r="O113" s="31">
        <v>0</v>
      </c>
      <c r="P113" s="32">
        <f t="shared" ref="P113:P134" si="95">B113/1000000</f>
        <v>1023.29296602</v>
      </c>
      <c r="Q113" s="32">
        <f t="shared" ref="Q113:V134" si="96">D113/1000000</f>
        <v>1022.95861545</v>
      </c>
      <c r="R113" s="32">
        <f>E113/1000000</f>
        <v>0.33435057000000001</v>
      </c>
      <c r="S113" s="32">
        <f>F113/1000000</f>
        <v>7.6850570000000007E-2</v>
      </c>
      <c r="T113" s="32">
        <f t="shared" ref="T113:V131" si="97">G113/1000000</f>
        <v>0.25750000000000001</v>
      </c>
      <c r="U113" s="32">
        <f t="shared" si="77"/>
        <v>0</v>
      </c>
      <c r="V113" s="32">
        <f t="shared" ref="V113:V122" si="98">I113/1000000</f>
        <v>1020.75118925</v>
      </c>
      <c r="W113" s="32">
        <f>K113/1000000</f>
        <v>1020.41683868</v>
      </c>
      <c r="X113" s="32">
        <f t="shared" si="79"/>
        <v>0.33435057000000001</v>
      </c>
      <c r="Y113" s="32">
        <f t="shared" si="79"/>
        <v>7.6850570000000007E-2</v>
      </c>
      <c r="Z113" s="32">
        <f t="shared" ref="Z113:AA132" si="99">N113/1000000</f>
        <v>0.25750000000000001</v>
      </c>
      <c r="AA113" s="32">
        <f>O113/1000000</f>
        <v>0</v>
      </c>
      <c r="AB113" s="32">
        <f t="shared" si="40"/>
        <v>99.751608106925048</v>
      </c>
      <c r="AC113" s="32">
        <f t="shared" si="33"/>
        <v>99.751526920873346</v>
      </c>
      <c r="AD113" s="32">
        <f>X113/R113%</f>
        <v>100</v>
      </c>
      <c r="AE113" s="32">
        <f>Y113/S113%</f>
        <v>100</v>
      </c>
      <c r="AF113" s="32">
        <f>Z113/T113%</f>
        <v>100</v>
      </c>
      <c r="AG113" s="116" t="s">
        <v>30</v>
      </c>
      <c r="AH113" s="117"/>
    </row>
    <row r="114" spans="1:34" s="274" customFormat="1" hidden="1" x14ac:dyDescent="0.25">
      <c r="A114" s="316" t="s">
        <v>73</v>
      </c>
      <c r="B114" s="320"/>
      <c r="C114" s="320"/>
      <c r="D114" s="320"/>
      <c r="E114" s="322">
        <f>F114+G114+H114</f>
        <v>0</v>
      </c>
      <c r="F114" s="320"/>
      <c r="G114" s="320"/>
      <c r="H114" s="320"/>
      <c r="I114" s="320"/>
      <c r="J114" s="320"/>
      <c r="K114" s="320"/>
      <c r="L114" s="322">
        <f>M114+N114+O114</f>
        <v>0</v>
      </c>
      <c r="M114" s="320"/>
      <c r="N114" s="320"/>
      <c r="O114" s="320"/>
      <c r="P114" s="272">
        <f t="shared" si="95"/>
        <v>0</v>
      </c>
      <c r="Q114" s="272">
        <f t="shared" si="96"/>
        <v>0</v>
      </c>
      <c r="R114" s="272"/>
      <c r="S114" s="272"/>
      <c r="T114" s="272">
        <f t="shared" si="97"/>
        <v>0</v>
      </c>
      <c r="U114" s="272"/>
      <c r="V114" s="272">
        <f t="shared" si="98"/>
        <v>0</v>
      </c>
      <c r="W114" s="272">
        <f>K114/1000000</f>
        <v>0</v>
      </c>
      <c r="X114" s="272"/>
      <c r="Y114" s="272"/>
      <c r="Z114" s="272">
        <f t="shared" si="99"/>
        <v>0</v>
      </c>
      <c r="AA114" s="272"/>
      <c r="AB114" s="272" t="e">
        <f t="shared" si="40"/>
        <v>#DIV/0!</v>
      </c>
      <c r="AC114" s="272" t="e">
        <f t="shared" si="33"/>
        <v>#DIV/0!</v>
      </c>
      <c r="AD114" s="272"/>
      <c r="AE114" s="272"/>
      <c r="AF114" s="272"/>
      <c r="AG114" s="273"/>
      <c r="AH114" s="321"/>
    </row>
    <row r="115" spans="1:34" s="42" customFormat="1" x14ac:dyDescent="0.25">
      <c r="A115" s="107" t="s">
        <v>92</v>
      </c>
      <c r="B115" s="36">
        <v>21054283660.57</v>
      </c>
      <c r="C115" s="36">
        <v>1310439746</v>
      </c>
      <c r="D115" s="36">
        <v>20585473028.580002</v>
      </c>
      <c r="E115" s="119">
        <f>F115+G115+H115-E116</f>
        <v>1777018536.99</v>
      </c>
      <c r="F115" s="36">
        <v>1276523963</v>
      </c>
      <c r="G115" s="36">
        <v>490710233.39999998</v>
      </c>
      <c r="H115" s="36">
        <v>12016181.59</v>
      </c>
      <c r="I115" s="36">
        <v>20884413186.040001</v>
      </c>
      <c r="J115" s="36">
        <v>1279228705.6600001</v>
      </c>
      <c r="K115" s="36">
        <v>20426024674.790001</v>
      </c>
      <c r="L115" s="119">
        <f>M115+N115+O115-L116</f>
        <v>1735660070.3</v>
      </c>
      <c r="M115" s="36">
        <v>1244020459.01</v>
      </c>
      <c r="N115" s="36">
        <v>483282576.31999999</v>
      </c>
      <c r="O115" s="36">
        <v>10314181.58</v>
      </c>
      <c r="P115" s="38">
        <f t="shared" si="95"/>
        <v>21054.283660569999</v>
      </c>
      <c r="Q115" s="38">
        <f t="shared" si="96"/>
        <v>20585.473028580003</v>
      </c>
      <c r="R115" s="38">
        <f>E115/1000000</f>
        <v>1777.01853699</v>
      </c>
      <c r="S115" s="38">
        <f>F115/1000000</f>
        <v>1276.5239630000001</v>
      </c>
      <c r="T115" s="38">
        <f t="shared" si="97"/>
        <v>490.71023339999999</v>
      </c>
      <c r="U115" s="38">
        <f>H115/1000000</f>
        <v>12.01618159</v>
      </c>
      <c r="V115" s="38">
        <f t="shared" si="98"/>
        <v>20884.413186040001</v>
      </c>
      <c r="W115" s="38">
        <f>K115/1000000</f>
        <v>20426.024674790002</v>
      </c>
      <c r="X115" s="38">
        <f>L115/1000000</f>
        <v>1735.6600702999999</v>
      </c>
      <c r="Y115" s="38">
        <f>M115/1000000</f>
        <v>1244.02045901</v>
      </c>
      <c r="Z115" s="38">
        <f t="shared" si="99"/>
        <v>483.28257631999998</v>
      </c>
      <c r="AA115" s="38">
        <f t="shared" si="99"/>
        <v>10.31418158</v>
      </c>
      <c r="AB115" s="38">
        <f t="shared" si="40"/>
        <v>99.193178560388986</v>
      </c>
      <c r="AC115" s="38">
        <f t="shared" si="33"/>
        <v>99.225432645785546</v>
      </c>
      <c r="AD115" s="38">
        <f>X115/R115%</f>
        <v>97.672592275820861</v>
      </c>
      <c r="AE115" s="38">
        <f>Y115/S115%</f>
        <v>97.453749014345746</v>
      </c>
      <c r="AF115" s="38">
        <f>Z115/T115%</f>
        <v>98.486345591667046</v>
      </c>
      <c r="AG115" s="39">
        <f>AA115/U115%</f>
        <v>85.835766568171508</v>
      </c>
      <c r="AH115" s="40"/>
    </row>
    <row r="116" spans="1:34" s="274" customFormat="1" hidden="1" x14ac:dyDescent="0.25">
      <c r="A116" s="316" t="s">
        <v>67</v>
      </c>
      <c r="B116" s="320">
        <v>19495000</v>
      </c>
      <c r="C116" s="320">
        <v>1310439746</v>
      </c>
      <c r="D116" s="320">
        <v>1327702905</v>
      </c>
      <c r="E116" s="322">
        <f>F116+G116+H116</f>
        <v>2231841</v>
      </c>
      <c r="F116" s="320">
        <v>0</v>
      </c>
      <c r="G116" s="320">
        <v>2231841</v>
      </c>
      <c r="H116" s="320">
        <v>0</v>
      </c>
      <c r="I116" s="320">
        <v>19075560.059999999</v>
      </c>
      <c r="J116" s="320">
        <v>1279228705.6600001</v>
      </c>
      <c r="K116" s="320">
        <v>1296347119.1099999</v>
      </c>
      <c r="L116" s="322">
        <f>M116+N116+O116</f>
        <v>1957146.61</v>
      </c>
      <c r="M116" s="320">
        <v>0</v>
      </c>
      <c r="N116" s="320">
        <v>1957146.61</v>
      </c>
      <c r="O116" s="320">
        <v>0</v>
      </c>
      <c r="P116" s="272">
        <f t="shared" si="95"/>
        <v>19.495000000000001</v>
      </c>
      <c r="Q116" s="272">
        <f t="shared" si="96"/>
        <v>1327.7029050000001</v>
      </c>
      <c r="R116" s="272">
        <f>E116/1000000</f>
        <v>2.2318410000000002</v>
      </c>
      <c r="S116" s="272">
        <f>F116/1000000</f>
        <v>0</v>
      </c>
      <c r="T116" s="272">
        <f t="shared" si="97"/>
        <v>2.2318410000000002</v>
      </c>
      <c r="U116" s="272">
        <f>H116/1000000</f>
        <v>0</v>
      </c>
      <c r="V116" s="272">
        <f t="shared" si="98"/>
        <v>19.075560059999997</v>
      </c>
      <c r="W116" s="272">
        <f>K116/1000000</f>
        <v>1296.34711911</v>
      </c>
      <c r="X116" s="272">
        <f>L116/1000000</f>
        <v>1.9571466100000001</v>
      </c>
      <c r="Y116" s="272">
        <f>M116/1000000</f>
        <v>0</v>
      </c>
      <c r="Z116" s="272">
        <f t="shared" si="99"/>
        <v>1.9571466100000001</v>
      </c>
      <c r="AA116" s="272">
        <f>O116/1000000</f>
        <v>0</v>
      </c>
      <c r="AB116" s="272">
        <f t="shared" si="40"/>
        <v>97.848474275455231</v>
      </c>
      <c r="AC116" s="272">
        <f t="shared" si="33"/>
        <v>97.638343203745563</v>
      </c>
      <c r="AD116" s="272">
        <f>X116/R116%</f>
        <v>87.692026896181233</v>
      </c>
      <c r="AE116" s="272" t="e">
        <f>Y116/S116%</f>
        <v>#DIV/0!</v>
      </c>
      <c r="AF116" s="272">
        <f>Z116/T116%</f>
        <v>87.692026896181233</v>
      </c>
      <c r="AG116" s="273" t="e">
        <f t="shared" ref="AG116" si="100">AA116/U116%</f>
        <v>#DIV/0!</v>
      </c>
      <c r="AH116" s="321"/>
    </row>
    <row r="117" spans="1:34" x14ac:dyDescent="0.25">
      <c r="A117" s="108" t="s">
        <v>93</v>
      </c>
      <c r="B117" s="31">
        <v>2102673734.97</v>
      </c>
      <c r="C117" s="31">
        <v>0</v>
      </c>
      <c r="D117" s="31">
        <v>2102637734.97</v>
      </c>
      <c r="E117" s="120">
        <f>F117+G117+H117</f>
        <v>36000</v>
      </c>
      <c r="F117" s="31">
        <v>0</v>
      </c>
      <c r="G117" s="31">
        <v>36000</v>
      </c>
      <c r="H117" s="31">
        <v>0</v>
      </c>
      <c r="I117" s="31">
        <v>2101267810.02</v>
      </c>
      <c r="J117" s="31">
        <v>0</v>
      </c>
      <c r="K117" s="31">
        <v>2101231810.02</v>
      </c>
      <c r="L117" s="120">
        <f>M117+N117+O117</f>
        <v>36000</v>
      </c>
      <c r="M117" s="31">
        <v>0</v>
      </c>
      <c r="N117" s="31">
        <v>36000</v>
      </c>
      <c r="O117" s="31">
        <v>0</v>
      </c>
      <c r="P117" s="32">
        <f t="shared" si="95"/>
        <v>2102.6737349700002</v>
      </c>
      <c r="Q117" s="32">
        <f t="shared" si="96"/>
        <v>2102.6377349700001</v>
      </c>
      <c r="R117" s="32">
        <f t="shared" si="96"/>
        <v>3.5999999999999997E-2</v>
      </c>
      <c r="S117" s="32">
        <f t="shared" si="96"/>
        <v>0</v>
      </c>
      <c r="T117" s="32">
        <f t="shared" si="97"/>
        <v>3.5999999999999997E-2</v>
      </c>
      <c r="U117" s="32">
        <f t="shared" si="97"/>
        <v>0</v>
      </c>
      <c r="V117" s="32">
        <f t="shared" si="98"/>
        <v>2101.2678100200001</v>
      </c>
      <c r="W117" s="32">
        <f t="shared" ref="W117:Y121" si="101">K117/1000000</f>
        <v>2101.23181002</v>
      </c>
      <c r="X117" s="32">
        <f t="shared" si="101"/>
        <v>3.5999999999999997E-2</v>
      </c>
      <c r="Y117" s="32">
        <f t="shared" si="101"/>
        <v>0</v>
      </c>
      <c r="Z117" s="32">
        <f t="shared" si="99"/>
        <v>3.5999999999999997E-2</v>
      </c>
      <c r="AA117" s="32">
        <f t="shared" si="99"/>
        <v>0</v>
      </c>
      <c r="AB117" s="32">
        <f t="shared" si="40"/>
        <v>99.933136324165844</v>
      </c>
      <c r="AC117" s="32">
        <f t="shared" si="33"/>
        <v>99.933135179369344</v>
      </c>
      <c r="AD117" s="32">
        <f t="shared" si="33"/>
        <v>100</v>
      </c>
      <c r="AE117" s="54" t="s">
        <v>30</v>
      </c>
      <c r="AF117" s="32">
        <f t="shared" ref="AF117:AG132" si="102">Z117/T117%</f>
        <v>100</v>
      </c>
      <c r="AG117" s="50" t="s">
        <v>30</v>
      </c>
      <c r="AH117" s="30"/>
    </row>
    <row r="118" spans="1:34" x14ac:dyDescent="0.25">
      <c r="A118" s="108" t="s">
        <v>94</v>
      </c>
      <c r="B118" s="31">
        <v>15693464698.83</v>
      </c>
      <c r="C118" s="31">
        <v>562296741</v>
      </c>
      <c r="D118" s="31">
        <v>15426314120.889999</v>
      </c>
      <c r="E118" s="120">
        <f>F118+G118+H118-E119</f>
        <v>827424287.93999994</v>
      </c>
      <c r="F118" s="31">
        <v>641833404.61000001</v>
      </c>
      <c r="G118" s="31">
        <v>183242850.66</v>
      </c>
      <c r="H118" s="31">
        <v>4371063.67</v>
      </c>
      <c r="I118" s="31">
        <v>15574865538.1</v>
      </c>
      <c r="J118" s="31">
        <v>539893445</v>
      </c>
      <c r="K118" s="31">
        <v>15315338936.09</v>
      </c>
      <c r="L118" s="120">
        <f>M118+N118+O118-L119</f>
        <v>797671710.39999998</v>
      </c>
      <c r="M118" s="31">
        <v>615951188.09000003</v>
      </c>
      <c r="N118" s="31">
        <v>180618156.03</v>
      </c>
      <c r="O118" s="31">
        <v>2850702.8899999997</v>
      </c>
      <c r="P118" s="32">
        <f t="shared" si="95"/>
        <v>15693.464698829999</v>
      </c>
      <c r="Q118" s="32">
        <f t="shared" si="96"/>
        <v>15426.31412089</v>
      </c>
      <c r="R118" s="32">
        <f t="shared" si="96"/>
        <v>827.42428793999989</v>
      </c>
      <c r="S118" s="32">
        <f t="shared" si="96"/>
        <v>641.83340461</v>
      </c>
      <c r="T118" s="32">
        <f t="shared" si="97"/>
        <v>183.24285065999999</v>
      </c>
      <c r="U118" s="32">
        <f t="shared" si="97"/>
        <v>4.3710636699999998</v>
      </c>
      <c r="V118" s="32">
        <f t="shared" si="98"/>
        <v>15574.865538100001</v>
      </c>
      <c r="W118" s="32">
        <f t="shared" si="101"/>
        <v>15315.33893609</v>
      </c>
      <c r="X118" s="32">
        <f t="shared" si="101"/>
        <v>797.67171039999994</v>
      </c>
      <c r="Y118" s="32">
        <f t="shared" si="101"/>
        <v>615.95118809000007</v>
      </c>
      <c r="Z118" s="32">
        <f t="shared" si="99"/>
        <v>180.61815602999999</v>
      </c>
      <c r="AA118" s="32">
        <f t="shared" si="99"/>
        <v>2.8507028899999995</v>
      </c>
      <c r="AB118" s="32">
        <f t="shared" si="40"/>
        <v>99.244276754649093</v>
      </c>
      <c r="AC118" s="32">
        <f t="shared" si="33"/>
        <v>99.280611143204197</v>
      </c>
      <c r="AD118" s="32">
        <f t="shared" si="33"/>
        <v>96.404193353560657</v>
      </c>
      <c r="AE118" s="32">
        <f t="shared" si="33"/>
        <v>95.9674556771119</v>
      </c>
      <c r="AF118" s="32">
        <f t="shared" si="102"/>
        <v>98.567641454743566</v>
      </c>
      <c r="AG118" s="34">
        <f t="shared" si="102"/>
        <v>65.21760160039031</v>
      </c>
      <c r="AH118" s="30"/>
    </row>
    <row r="119" spans="1:34" s="274" customFormat="1" hidden="1" x14ac:dyDescent="0.25">
      <c r="A119" s="316" t="s">
        <v>67</v>
      </c>
      <c r="B119" s="320">
        <v>0</v>
      </c>
      <c r="C119" s="320">
        <v>562296741</v>
      </c>
      <c r="D119" s="320">
        <v>560273710</v>
      </c>
      <c r="E119" s="322">
        <f>F119+G119+H119</f>
        <v>2023031</v>
      </c>
      <c r="F119" s="320">
        <v>0</v>
      </c>
      <c r="G119" s="320">
        <v>2023031</v>
      </c>
      <c r="H119" s="320">
        <v>0</v>
      </c>
      <c r="I119" s="320">
        <v>0</v>
      </c>
      <c r="J119" s="320">
        <v>539893445</v>
      </c>
      <c r="K119" s="320">
        <v>538145108.38999999</v>
      </c>
      <c r="L119" s="322">
        <f>M119+N119+O119</f>
        <v>1748336.61</v>
      </c>
      <c r="M119" s="320">
        <v>0</v>
      </c>
      <c r="N119" s="320">
        <v>1748336.61</v>
      </c>
      <c r="O119" s="320">
        <v>0</v>
      </c>
      <c r="P119" s="272">
        <f t="shared" si="95"/>
        <v>0</v>
      </c>
      <c r="Q119" s="272">
        <f t="shared" si="96"/>
        <v>560.27371000000005</v>
      </c>
      <c r="R119" s="272">
        <f t="shared" si="96"/>
        <v>2.023031</v>
      </c>
      <c r="S119" s="272">
        <f t="shared" si="96"/>
        <v>0</v>
      </c>
      <c r="T119" s="272">
        <f t="shared" si="97"/>
        <v>2.023031</v>
      </c>
      <c r="U119" s="272">
        <f t="shared" si="97"/>
        <v>0</v>
      </c>
      <c r="V119" s="272">
        <f t="shared" si="98"/>
        <v>0</v>
      </c>
      <c r="W119" s="272">
        <f t="shared" si="101"/>
        <v>538.14510839000002</v>
      </c>
      <c r="X119" s="272">
        <f t="shared" si="101"/>
        <v>1.7483366100000002</v>
      </c>
      <c r="Y119" s="272">
        <f t="shared" si="101"/>
        <v>0</v>
      </c>
      <c r="Z119" s="272">
        <f t="shared" si="99"/>
        <v>1.7483366100000002</v>
      </c>
      <c r="AA119" s="272">
        <f t="shared" si="99"/>
        <v>0</v>
      </c>
      <c r="AB119" s="272" t="e">
        <f t="shared" si="40"/>
        <v>#DIV/0!</v>
      </c>
      <c r="AC119" s="272">
        <f t="shared" si="33"/>
        <v>96.050394438461154</v>
      </c>
      <c r="AD119" s="272">
        <f t="shared" si="33"/>
        <v>86.421642080620614</v>
      </c>
      <c r="AE119" s="272" t="e">
        <f t="shared" si="33"/>
        <v>#DIV/0!</v>
      </c>
      <c r="AF119" s="272">
        <f t="shared" si="102"/>
        <v>86.421642080620614</v>
      </c>
      <c r="AG119" s="273" t="e">
        <f t="shared" si="102"/>
        <v>#DIV/0!</v>
      </c>
      <c r="AH119" s="321"/>
    </row>
    <row r="120" spans="1:34" x14ac:dyDescent="0.25">
      <c r="A120" s="108" t="s">
        <v>95</v>
      </c>
      <c r="B120" s="31">
        <v>2847249239.6799998</v>
      </c>
      <c r="C120" s="31">
        <v>609350970</v>
      </c>
      <c r="D120" s="31">
        <v>2831822544.1100001</v>
      </c>
      <c r="E120" s="120">
        <f>F120+G120+H120-E121</f>
        <v>624717315.56999993</v>
      </c>
      <c r="F120" s="31">
        <v>398322014.20999998</v>
      </c>
      <c r="G120" s="31">
        <v>226395301.36000001</v>
      </c>
      <c r="H120" s="31">
        <v>60350</v>
      </c>
      <c r="I120" s="31">
        <v>2801570514.7800002</v>
      </c>
      <c r="J120" s="31">
        <v>601383849.75</v>
      </c>
      <c r="K120" s="31">
        <v>2786461525.2199998</v>
      </c>
      <c r="L120" s="120">
        <f>M120+N120+O120-L121</f>
        <v>616432489.30999994</v>
      </c>
      <c r="M120" s="31">
        <v>393347454.83999997</v>
      </c>
      <c r="N120" s="31">
        <v>223085034.47</v>
      </c>
      <c r="O120" s="31">
        <v>60350</v>
      </c>
      <c r="P120" s="32">
        <f t="shared" si="95"/>
        <v>2847.2492396799998</v>
      </c>
      <c r="Q120" s="32">
        <f t="shared" si="96"/>
        <v>2831.8225441100003</v>
      </c>
      <c r="R120" s="32">
        <f t="shared" si="96"/>
        <v>624.71731556999998</v>
      </c>
      <c r="S120" s="32">
        <f t="shared" si="96"/>
        <v>398.32201420999996</v>
      </c>
      <c r="T120" s="32">
        <f t="shared" si="97"/>
        <v>226.39530136000002</v>
      </c>
      <c r="U120" s="32">
        <f t="shared" si="97"/>
        <v>6.0350000000000001E-2</v>
      </c>
      <c r="V120" s="32">
        <f t="shared" si="98"/>
        <v>2801.5705147800004</v>
      </c>
      <c r="W120" s="32">
        <f t="shared" si="101"/>
        <v>2786.4615252199997</v>
      </c>
      <c r="X120" s="32">
        <f t="shared" si="101"/>
        <v>616.43248930999994</v>
      </c>
      <c r="Y120" s="32">
        <f t="shared" si="101"/>
        <v>393.34745483999995</v>
      </c>
      <c r="Z120" s="32">
        <f t="shared" si="99"/>
        <v>223.08503447000001</v>
      </c>
      <c r="AA120" s="32">
        <f t="shared" si="99"/>
        <v>6.0350000000000001E-2</v>
      </c>
      <c r="AB120" s="32">
        <f t="shared" si="40"/>
        <v>98.395689275690756</v>
      </c>
      <c r="AC120" s="32">
        <f t="shared" si="33"/>
        <v>98.398168734677654</v>
      </c>
      <c r="AD120" s="32">
        <f t="shared" si="33"/>
        <v>98.673827977308292</v>
      </c>
      <c r="AE120" s="32">
        <f t="shared" si="33"/>
        <v>98.751121155112116</v>
      </c>
      <c r="AF120" s="32">
        <f t="shared" si="102"/>
        <v>98.537837636154734</v>
      </c>
      <c r="AG120" s="34">
        <f t="shared" si="102"/>
        <v>100</v>
      </c>
      <c r="AH120" s="30"/>
    </row>
    <row r="121" spans="1:34" s="274" customFormat="1" hidden="1" x14ac:dyDescent="0.25">
      <c r="A121" s="316" t="s">
        <v>67</v>
      </c>
      <c r="B121" s="320">
        <v>0</v>
      </c>
      <c r="C121" s="320">
        <v>609350970</v>
      </c>
      <c r="D121" s="320">
        <v>609290620</v>
      </c>
      <c r="E121" s="322">
        <f>F121+G121+H121</f>
        <v>60350</v>
      </c>
      <c r="F121" s="320">
        <v>0</v>
      </c>
      <c r="G121" s="320">
        <v>60350</v>
      </c>
      <c r="H121" s="320">
        <v>0</v>
      </c>
      <c r="I121" s="320">
        <v>0</v>
      </c>
      <c r="J121" s="320">
        <v>601383849.75</v>
      </c>
      <c r="K121" s="320">
        <v>601323499.75</v>
      </c>
      <c r="L121" s="322">
        <f>M121+N121+O121</f>
        <v>60350</v>
      </c>
      <c r="M121" s="320">
        <v>0</v>
      </c>
      <c r="N121" s="320">
        <v>60350</v>
      </c>
      <c r="O121" s="320">
        <v>0</v>
      </c>
      <c r="P121" s="272">
        <f t="shared" si="95"/>
        <v>0</v>
      </c>
      <c r="Q121" s="272">
        <f t="shared" si="96"/>
        <v>609.29061999999999</v>
      </c>
      <c r="R121" s="272">
        <f t="shared" si="96"/>
        <v>6.0350000000000001E-2</v>
      </c>
      <c r="S121" s="272">
        <f t="shared" si="96"/>
        <v>0</v>
      </c>
      <c r="T121" s="272">
        <f t="shared" si="97"/>
        <v>6.0350000000000001E-2</v>
      </c>
      <c r="U121" s="272">
        <f t="shared" si="97"/>
        <v>0</v>
      </c>
      <c r="V121" s="272">
        <f t="shared" si="98"/>
        <v>0</v>
      </c>
      <c r="W121" s="272">
        <f t="shared" si="101"/>
        <v>601.32349975</v>
      </c>
      <c r="X121" s="272">
        <f t="shared" si="101"/>
        <v>6.0350000000000001E-2</v>
      </c>
      <c r="Y121" s="272">
        <f t="shared" si="101"/>
        <v>0</v>
      </c>
      <c r="Z121" s="272">
        <f t="shared" si="99"/>
        <v>6.0350000000000001E-2</v>
      </c>
      <c r="AA121" s="272">
        <f t="shared" si="99"/>
        <v>0</v>
      </c>
      <c r="AB121" s="272" t="e">
        <f t="shared" si="40"/>
        <v>#DIV/0!</v>
      </c>
      <c r="AC121" s="272">
        <f t="shared" si="33"/>
        <v>98.692394074604337</v>
      </c>
      <c r="AD121" s="272">
        <f t="shared" si="33"/>
        <v>100</v>
      </c>
      <c r="AE121" s="272" t="e">
        <f t="shared" si="33"/>
        <v>#DIV/0!</v>
      </c>
      <c r="AF121" s="272">
        <f t="shared" si="102"/>
        <v>100</v>
      </c>
      <c r="AG121" s="273" t="e">
        <f t="shared" si="102"/>
        <v>#DIV/0!</v>
      </c>
      <c r="AH121" s="321"/>
    </row>
    <row r="122" spans="1:34" s="42" customFormat="1" x14ac:dyDescent="0.25">
      <c r="A122" s="107" t="s">
        <v>96</v>
      </c>
      <c r="B122" s="36">
        <v>509500041.43000001</v>
      </c>
      <c r="C122" s="36">
        <v>16164604</v>
      </c>
      <c r="D122" s="36">
        <v>400369126.07999998</v>
      </c>
      <c r="E122" s="119">
        <f>F122+G122+H122-E123</f>
        <v>121452459.34999999</v>
      </c>
      <c r="F122" s="36">
        <v>94697483.219999999</v>
      </c>
      <c r="G122" s="36">
        <v>19204947.239999998</v>
      </c>
      <c r="H122" s="36">
        <v>11393088.890000001</v>
      </c>
      <c r="I122" s="36">
        <v>506178451.81</v>
      </c>
      <c r="J122" s="36">
        <v>16164604</v>
      </c>
      <c r="K122" s="36">
        <v>400324638.89999998</v>
      </c>
      <c r="L122" s="119">
        <f>M122+N122+O122-L123</f>
        <v>118175356.91</v>
      </c>
      <c r="M122" s="36">
        <v>93983530.129999995</v>
      </c>
      <c r="N122" s="36">
        <v>17214034.550000001</v>
      </c>
      <c r="O122" s="36">
        <v>10820852.23</v>
      </c>
      <c r="P122" s="38">
        <f t="shared" si="95"/>
        <v>509.50004143000001</v>
      </c>
      <c r="Q122" s="38">
        <f t="shared" si="96"/>
        <v>400.36912608</v>
      </c>
      <c r="R122" s="38">
        <f>E122/1000000</f>
        <v>121.45245935</v>
      </c>
      <c r="S122" s="38">
        <f>F122/1000000</f>
        <v>94.697483219999995</v>
      </c>
      <c r="T122" s="38">
        <f t="shared" si="97"/>
        <v>19.204947239999999</v>
      </c>
      <c r="U122" s="38">
        <f>H122/1000000</f>
        <v>11.393088890000001</v>
      </c>
      <c r="V122" s="38">
        <f t="shared" si="98"/>
        <v>506.17845181000001</v>
      </c>
      <c r="W122" s="38">
        <f>K122/1000000</f>
        <v>400.32463889999997</v>
      </c>
      <c r="X122" s="38">
        <f>L122/1000000</f>
        <v>118.17535690999999</v>
      </c>
      <c r="Y122" s="38">
        <f>M122/1000000</f>
        <v>93.983530129999991</v>
      </c>
      <c r="Z122" s="38">
        <f t="shared" si="99"/>
        <v>17.214034550000001</v>
      </c>
      <c r="AA122" s="38">
        <f t="shared" si="99"/>
        <v>10.82085223</v>
      </c>
      <c r="AB122" s="38">
        <f t="shared" si="40"/>
        <v>99.348068822393543</v>
      </c>
      <c r="AC122" s="38">
        <f t="shared" si="33"/>
        <v>99.988888458899012</v>
      </c>
      <c r="AD122" s="38">
        <f>X122/R122%</f>
        <v>97.301740567841364</v>
      </c>
      <c r="AE122" s="38">
        <f>Y122/S122%</f>
        <v>99.246069625376037</v>
      </c>
      <c r="AF122" s="38">
        <f t="shared" si="102"/>
        <v>89.633334238725041</v>
      </c>
      <c r="AG122" s="39">
        <f t="shared" si="102"/>
        <v>94.977335246613691</v>
      </c>
      <c r="AH122" s="40"/>
    </row>
    <row r="123" spans="1:34" s="274" customFormat="1" hidden="1" x14ac:dyDescent="0.25">
      <c r="A123" s="316" t="s">
        <v>67</v>
      </c>
      <c r="B123" s="331">
        <v>0</v>
      </c>
      <c r="C123" s="331">
        <v>16164604</v>
      </c>
      <c r="D123" s="331">
        <v>12321544</v>
      </c>
      <c r="E123" s="322">
        <f>F123+G123+H123</f>
        <v>3843060</v>
      </c>
      <c r="F123" s="331">
        <v>0</v>
      </c>
      <c r="G123" s="331">
        <v>2843060</v>
      </c>
      <c r="H123" s="331">
        <v>1000000</v>
      </c>
      <c r="I123" s="331">
        <v>0</v>
      </c>
      <c r="J123" s="331">
        <v>16164604</v>
      </c>
      <c r="K123" s="331">
        <v>12321544</v>
      </c>
      <c r="L123" s="322">
        <f>M123+N123+O123</f>
        <v>3843060</v>
      </c>
      <c r="M123" s="331">
        <v>0</v>
      </c>
      <c r="N123" s="331">
        <v>2843060</v>
      </c>
      <c r="O123" s="331">
        <v>1000000</v>
      </c>
      <c r="P123" s="272"/>
      <c r="Q123" s="272">
        <f t="shared" si="96"/>
        <v>12.321543999999999</v>
      </c>
      <c r="R123" s="272"/>
      <c r="S123" s="272"/>
      <c r="T123" s="272">
        <f t="shared" si="97"/>
        <v>2.8430599999999999</v>
      </c>
      <c r="U123" s="272">
        <f t="shared" si="97"/>
        <v>1</v>
      </c>
      <c r="V123" s="272"/>
      <c r="W123" s="272">
        <f t="shared" ref="W123:Y135" si="103">K123/1000000</f>
        <v>12.321543999999999</v>
      </c>
      <c r="X123" s="272"/>
      <c r="Y123" s="272"/>
      <c r="Z123" s="272">
        <f t="shared" si="99"/>
        <v>2.8430599999999999</v>
      </c>
      <c r="AA123" s="272">
        <f t="shared" si="99"/>
        <v>1</v>
      </c>
      <c r="AB123" s="272"/>
      <c r="AC123" s="272">
        <f t="shared" si="33"/>
        <v>100</v>
      </c>
      <c r="AD123" s="272"/>
      <c r="AE123" s="272"/>
      <c r="AF123" s="272">
        <f t="shared" si="102"/>
        <v>100</v>
      </c>
      <c r="AG123" s="273">
        <f t="shared" si="102"/>
        <v>100</v>
      </c>
      <c r="AH123" s="321"/>
    </row>
    <row r="124" spans="1:34" s="42" customFormat="1" x14ac:dyDescent="0.25">
      <c r="A124" s="107" t="s">
        <v>97</v>
      </c>
      <c r="B124" s="36">
        <v>118037633.8</v>
      </c>
      <c r="C124" s="36">
        <v>0</v>
      </c>
      <c r="D124" s="36">
        <v>95088233.799999997</v>
      </c>
      <c r="E124" s="103">
        <f>F124+G124+H124</f>
        <v>22949400</v>
      </c>
      <c r="F124" s="36">
        <v>22949400</v>
      </c>
      <c r="G124" s="36">
        <v>0</v>
      </c>
      <c r="H124" s="36">
        <v>0</v>
      </c>
      <c r="I124" s="36">
        <v>117937497.23999999</v>
      </c>
      <c r="J124" s="36">
        <v>0</v>
      </c>
      <c r="K124" s="36">
        <v>95037173.799999997</v>
      </c>
      <c r="L124" s="103">
        <f>M124+N124+O124</f>
        <v>22900323.440000001</v>
      </c>
      <c r="M124" s="36">
        <v>22900323.440000001</v>
      </c>
      <c r="N124" s="36">
        <v>0</v>
      </c>
      <c r="O124" s="36">
        <v>0</v>
      </c>
      <c r="P124" s="38">
        <f t="shared" si="95"/>
        <v>118.03763379999999</v>
      </c>
      <c r="Q124" s="38">
        <f t="shared" si="96"/>
        <v>95.088233799999998</v>
      </c>
      <c r="R124" s="38">
        <f t="shared" si="96"/>
        <v>22.949400000000001</v>
      </c>
      <c r="S124" s="38">
        <f t="shared" si="96"/>
        <v>22.949400000000001</v>
      </c>
      <c r="T124" s="38">
        <f t="shared" si="97"/>
        <v>0</v>
      </c>
      <c r="U124" s="38">
        <f t="shared" si="97"/>
        <v>0</v>
      </c>
      <c r="V124" s="38">
        <f t="shared" si="97"/>
        <v>117.93749724</v>
      </c>
      <c r="W124" s="38">
        <f t="shared" si="103"/>
        <v>95.037173799999991</v>
      </c>
      <c r="X124" s="38">
        <f t="shared" si="103"/>
        <v>22.900323440000001</v>
      </c>
      <c r="Y124" s="38">
        <f t="shared" si="103"/>
        <v>22.900323440000001</v>
      </c>
      <c r="Z124" s="38">
        <f t="shared" si="99"/>
        <v>0</v>
      </c>
      <c r="AA124" s="38">
        <f t="shared" si="99"/>
        <v>0</v>
      </c>
      <c r="AB124" s="38">
        <f>V124/P124%</f>
        <v>99.915165564764152</v>
      </c>
      <c r="AC124" s="38">
        <f t="shared" si="33"/>
        <v>99.946302504569175</v>
      </c>
      <c r="AD124" s="38">
        <f>X124/R124%</f>
        <v>99.786153189190131</v>
      </c>
      <c r="AE124" s="38">
        <f>Y124/S124%</f>
        <v>99.786153189190131</v>
      </c>
      <c r="AF124" s="109" t="s">
        <v>30</v>
      </c>
      <c r="AG124" s="116" t="s">
        <v>30</v>
      </c>
      <c r="AH124" s="40"/>
    </row>
    <row r="125" spans="1:34" s="42" customFormat="1" ht="26.4" x14ac:dyDescent="0.25">
      <c r="A125" s="107" t="s">
        <v>98</v>
      </c>
      <c r="B125" s="118">
        <v>2085840975.47</v>
      </c>
      <c r="C125" s="118">
        <v>711466.67</v>
      </c>
      <c r="D125" s="118">
        <v>1601513780.8</v>
      </c>
      <c r="E125" s="103">
        <f>F125+G125+H125</f>
        <v>485038661.34000003</v>
      </c>
      <c r="F125" s="118">
        <v>443245652.85000002</v>
      </c>
      <c r="G125" s="118">
        <v>38612228.770000003</v>
      </c>
      <c r="H125" s="118">
        <v>3180779.72</v>
      </c>
      <c r="I125" s="36">
        <v>1895358528.96</v>
      </c>
      <c r="J125" s="36">
        <v>711466.67</v>
      </c>
      <c r="K125" s="36">
        <v>1595961937.3499999</v>
      </c>
      <c r="L125" s="103">
        <f>M125+N125+O125</f>
        <v>300108058.27999997</v>
      </c>
      <c r="M125" s="36">
        <v>259987093.22</v>
      </c>
      <c r="N125" s="36">
        <v>37349524.409999996</v>
      </c>
      <c r="O125" s="36">
        <v>2771440.65</v>
      </c>
      <c r="P125" s="38">
        <f t="shared" si="95"/>
        <v>2085.8409754700001</v>
      </c>
      <c r="Q125" s="38">
        <f t="shared" si="96"/>
        <v>1601.5137807999999</v>
      </c>
      <c r="R125" s="38">
        <f t="shared" si="96"/>
        <v>485.03866134000003</v>
      </c>
      <c r="S125" s="38">
        <f t="shared" si="96"/>
        <v>443.24565285</v>
      </c>
      <c r="T125" s="38">
        <f t="shared" si="97"/>
        <v>38.612228770000002</v>
      </c>
      <c r="U125" s="38">
        <f t="shared" si="97"/>
        <v>3.1807797200000003</v>
      </c>
      <c r="V125" s="38">
        <f t="shared" si="97"/>
        <v>1895.3585289600001</v>
      </c>
      <c r="W125" s="38">
        <f t="shared" si="103"/>
        <v>1595.96193735</v>
      </c>
      <c r="X125" s="38">
        <f t="shared" si="103"/>
        <v>300.10805827999997</v>
      </c>
      <c r="Y125" s="38">
        <f t="shared" si="103"/>
        <v>259.98709322000002</v>
      </c>
      <c r="Z125" s="38">
        <f t="shared" si="99"/>
        <v>37.349524409999994</v>
      </c>
      <c r="AA125" s="38">
        <f t="shared" si="99"/>
        <v>2.7714406499999997</v>
      </c>
      <c r="AB125" s="38">
        <f>V125/P125%</f>
        <v>90.867834664764942</v>
      </c>
      <c r="AC125" s="38">
        <f t="shared" si="33"/>
        <v>99.653337766021181</v>
      </c>
      <c r="AD125" s="38">
        <f>X125/R125%</f>
        <v>61.873018008688526</v>
      </c>
      <c r="AE125" s="38">
        <f>Y125/S125%</f>
        <v>58.655305821574061</v>
      </c>
      <c r="AF125" s="38">
        <f t="shared" si="102"/>
        <v>96.729781211228413</v>
      </c>
      <c r="AG125" s="39">
        <f t="shared" si="102"/>
        <v>87.13085765021161</v>
      </c>
      <c r="AH125" s="40"/>
    </row>
    <row r="126" spans="1:34" s="42" customFormat="1" ht="26.4" x14ac:dyDescent="0.25">
      <c r="A126" s="107" t="s">
        <v>99</v>
      </c>
      <c r="B126" s="36">
        <v>916840.97</v>
      </c>
      <c r="C126" s="36">
        <v>3850565701.1100001</v>
      </c>
      <c r="D126" s="36">
        <v>3336841142.1999998</v>
      </c>
      <c r="E126" s="119"/>
      <c r="F126" s="36">
        <v>0</v>
      </c>
      <c r="G126" s="36">
        <v>514641399.88</v>
      </c>
      <c r="H126" s="36">
        <v>0</v>
      </c>
      <c r="I126" s="36">
        <v>0</v>
      </c>
      <c r="J126" s="36">
        <v>3847473306.02</v>
      </c>
      <c r="K126" s="36">
        <v>3336674301.23</v>
      </c>
      <c r="L126" s="119"/>
      <c r="M126" s="36">
        <v>0</v>
      </c>
      <c r="N126" s="36">
        <v>510799004.79000002</v>
      </c>
      <c r="O126" s="36">
        <v>0</v>
      </c>
      <c r="P126" s="38">
        <f t="shared" si="95"/>
        <v>0.91684096999999998</v>
      </c>
      <c r="Q126" s="38">
        <f t="shared" si="96"/>
        <v>3336.8411421999999</v>
      </c>
      <c r="R126" s="38"/>
      <c r="S126" s="38">
        <f t="shared" si="96"/>
        <v>0</v>
      </c>
      <c r="T126" s="38">
        <f t="shared" si="97"/>
        <v>514.64139987999999</v>
      </c>
      <c r="U126" s="38">
        <f t="shared" si="97"/>
        <v>0</v>
      </c>
      <c r="V126" s="38">
        <f t="shared" si="97"/>
        <v>0</v>
      </c>
      <c r="W126" s="38">
        <f t="shared" si="103"/>
        <v>3336.6743012299999</v>
      </c>
      <c r="X126" s="38"/>
      <c r="Y126" s="38">
        <f t="shared" si="103"/>
        <v>0</v>
      </c>
      <c r="Z126" s="38">
        <f t="shared" si="99"/>
        <v>510.79900479000003</v>
      </c>
      <c r="AA126" s="38">
        <f t="shared" si="99"/>
        <v>0</v>
      </c>
      <c r="AB126" s="38">
        <f>V126/P126%</f>
        <v>0</v>
      </c>
      <c r="AC126" s="38">
        <f t="shared" si="33"/>
        <v>99.995000032579014</v>
      </c>
      <c r="AD126" s="109" t="s">
        <v>30</v>
      </c>
      <c r="AE126" s="109" t="s">
        <v>30</v>
      </c>
      <c r="AF126" s="38">
        <f t="shared" si="102"/>
        <v>99.253383989143529</v>
      </c>
      <c r="AG126" s="116" t="s">
        <v>30</v>
      </c>
      <c r="AH126" s="40"/>
    </row>
    <row r="127" spans="1:34" ht="26.4" x14ac:dyDescent="0.25">
      <c r="A127" s="108" t="s">
        <v>100</v>
      </c>
      <c r="B127" s="31">
        <v>0</v>
      </c>
      <c r="C127" s="31">
        <v>1452589251</v>
      </c>
      <c r="D127" s="31">
        <v>1303432100</v>
      </c>
      <c r="E127" s="120"/>
      <c r="F127" s="31">
        <v>0</v>
      </c>
      <c r="G127" s="31">
        <v>149157151</v>
      </c>
      <c r="H127" s="31">
        <v>0</v>
      </c>
      <c r="I127" s="31">
        <v>0</v>
      </c>
      <c r="J127" s="31">
        <v>1452589251</v>
      </c>
      <c r="K127" s="31">
        <v>1303432100</v>
      </c>
      <c r="L127" s="120"/>
      <c r="M127" s="31">
        <v>0</v>
      </c>
      <c r="N127" s="31">
        <v>149157151</v>
      </c>
      <c r="O127" s="31">
        <v>0</v>
      </c>
      <c r="P127" s="32">
        <f t="shared" si="95"/>
        <v>0</v>
      </c>
      <c r="Q127" s="32">
        <f t="shared" si="96"/>
        <v>1303.4321</v>
      </c>
      <c r="R127" s="32"/>
      <c r="S127" s="32">
        <f t="shared" si="96"/>
        <v>0</v>
      </c>
      <c r="T127" s="32">
        <f t="shared" si="97"/>
        <v>149.157151</v>
      </c>
      <c r="U127" s="32">
        <f t="shared" si="97"/>
        <v>0</v>
      </c>
      <c r="V127" s="32">
        <f>I127/1000000</f>
        <v>0</v>
      </c>
      <c r="W127" s="32">
        <f t="shared" si="103"/>
        <v>1303.4321</v>
      </c>
      <c r="X127" s="32"/>
      <c r="Y127" s="32">
        <f t="shared" si="103"/>
        <v>0</v>
      </c>
      <c r="Z127" s="32">
        <f t="shared" si="99"/>
        <v>149.157151</v>
      </c>
      <c r="AA127" s="32">
        <f t="shared" si="99"/>
        <v>0</v>
      </c>
      <c r="AB127" s="54" t="s">
        <v>30</v>
      </c>
      <c r="AC127" s="32">
        <f t="shared" si="33"/>
        <v>100</v>
      </c>
      <c r="AD127" s="54" t="s">
        <v>30</v>
      </c>
      <c r="AE127" s="54" t="s">
        <v>30</v>
      </c>
      <c r="AF127" s="32">
        <f t="shared" si="102"/>
        <v>100</v>
      </c>
      <c r="AG127" s="50" t="s">
        <v>30</v>
      </c>
      <c r="AH127" s="80"/>
    </row>
    <row r="128" spans="1:34" x14ac:dyDescent="0.25">
      <c r="A128" s="108" t="s">
        <v>101</v>
      </c>
      <c r="B128" s="31">
        <v>0</v>
      </c>
      <c r="C128" s="31">
        <v>316943603</v>
      </c>
      <c r="D128" s="31">
        <v>229427469.66</v>
      </c>
      <c r="E128" s="120"/>
      <c r="F128" s="31">
        <v>0</v>
      </c>
      <c r="G128" s="31">
        <v>87516133.340000004</v>
      </c>
      <c r="H128" s="31">
        <v>0</v>
      </c>
      <c r="I128" s="31">
        <v>0</v>
      </c>
      <c r="J128" s="31">
        <v>316943603</v>
      </c>
      <c r="K128" s="31">
        <v>229427469.66</v>
      </c>
      <c r="L128" s="120"/>
      <c r="M128" s="31">
        <v>0</v>
      </c>
      <c r="N128" s="31">
        <v>87516133.340000004</v>
      </c>
      <c r="O128" s="31">
        <v>0</v>
      </c>
      <c r="P128" s="32">
        <f t="shared" si="95"/>
        <v>0</v>
      </c>
      <c r="Q128" s="32">
        <f t="shared" si="96"/>
        <v>229.42746965999999</v>
      </c>
      <c r="R128" s="32"/>
      <c r="S128" s="32">
        <f t="shared" si="96"/>
        <v>0</v>
      </c>
      <c r="T128" s="32">
        <f t="shared" si="97"/>
        <v>87.51613334000001</v>
      </c>
      <c r="U128" s="32">
        <f t="shared" si="97"/>
        <v>0</v>
      </c>
      <c r="V128" s="32">
        <f t="shared" si="97"/>
        <v>0</v>
      </c>
      <c r="W128" s="32">
        <f t="shared" si="103"/>
        <v>229.42746965999999</v>
      </c>
      <c r="X128" s="32"/>
      <c r="Y128" s="32">
        <f t="shared" si="103"/>
        <v>0</v>
      </c>
      <c r="Z128" s="32">
        <f t="shared" si="99"/>
        <v>87.51613334000001</v>
      </c>
      <c r="AA128" s="32">
        <f t="shared" si="99"/>
        <v>0</v>
      </c>
      <c r="AB128" s="54" t="s">
        <v>30</v>
      </c>
      <c r="AC128" s="32">
        <f t="shared" si="33"/>
        <v>99.999999999999986</v>
      </c>
      <c r="AD128" s="54" t="s">
        <v>30</v>
      </c>
      <c r="AE128" s="54" t="s">
        <v>30</v>
      </c>
      <c r="AF128" s="32">
        <f t="shared" si="102"/>
        <v>100</v>
      </c>
      <c r="AG128" s="50" t="s">
        <v>30</v>
      </c>
      <c r="AH128" s="80"/>
    </row>
    <row r="129" spans="1:34" ht="26.4" x14ac:dyDescent="0.25">
      <c r="A129" s="108" t="s">
        <v>102</v>
      </c>
      <c r="B129" s="31">
        <v>916840.97</v>
      </c>
      <c r="C129" s="31">
        <v>2081032847.1099999</v>
      </c>
      <c r="D129" s="31">
        <v>1803981572.54</v>
      </c>
      <c r="E129" s="120"/>
      <c r="F129" s="31">
        <v>0</v>
      </c>
      <c r="G129" s="31">
        <v>277968115.54000002</v>
      </c>
      <c r="H129" s="31">
        <v>0</v>
      </c>
      <c r="I129" s="31">
        <v>0</v>
      </c>
      <c r="J129" s="31">
        <v>2077940452.02</v>
      </c>
      <c r="K129" s="31">
        <v>1803814731.5699999</v>
      </c>
      <c r="L129" s="120"/>
      <c r="M129" s="31">
        <v>0</v>
      </c>
      <c r="N129" s="31">
        <v>274125720.44999999</v>
      </c>
      <c r="O129" s="31">
        <v>0</v>
      </c>
      <c r="P129" s="32">
        <f t="shared" si="95"/>
        <v>0.91684096999999998</v>
      </c>
      <c r="Q129" s="32">
        <f t="shared" si="96"/>
        <v>1803.9815725399999</v>
      </c>
      <c r="R129" s="32"/>
      <c r="S129" s="32">
        <f t="shared" si="96"/>
        <v>0</v>
      </c>
      <c r="T129" s="32">
        <f t="shared" si="97"/>
        <v>277.96811554000004</v>
      </c>
      <c r="U129" s="32">
        <f t="shared" si="97"/>
        <v>0</v>
      </c>
      <c r="V129" s="32">
        <f t="shared" si="97"/>
        <v>0</v>
      </c>
      <c r="W129" s="32">
        <f t="shared" si="103"/>
        <v>1803.8147315699998</v>
      </c>
      <c r="X129" s="32"/>
      <c r="Y129" s="32">
        <f t="shared" si="103"/>
        <v>0</v>
      </c>
      <c r="Z129" s="32">
        <f t="shared" si="99"/>
        <v>274.12572044999996</v>
      </c>
      <c r="AA129" s="32">
        <f t="shared" si="99"/>
        <v>0</v>
      </c>
      <c r="AB129" s="54" t="s">
        <v>30</v>
      </c>
      <c r="AC129" s="32">
        <f t="shared" si="33"/>
        <v>99.990751514730533</v>
      </c>
      <c r="AD129" s="54" t="s">
        <v>30</v>
      </c>
      <c r="AE129" s="54" t="s">
        <v>30</v>
      </c>
      <c r="AF129" s="32">
        <f t="shared" si="102"/>
        <v>98.617684951910547</v>
      </c>
      <c r="AG129" s="50" t="s">
        <v>30</v>
      </c>
      <c r="AH129" s="30"/>
    </row>
    <row r="130" spans="1:34" s="42" customFormat="1" x14ac:dyDescent="0.25">
      <c r="A130" s="121" t="s">
        <v>103</v>
      </c>
      <c r="B130" s="122">
        <f>B53+B55+B57+B59+B78+B88+B90+B105+B107+B115+B122+B124+B125+B126</f>
        <v>86307866550.319992</v>
      </c>
      <c r="C130" s="122">
        <f>C53+C55+C57+C59+C78+C88+C90+C105+C107+C115+C122+C124+C125+C126</f>
        <v>22244340606.019997</v>
      </c>
      <c r="D130" s="122">
        <f>D53+D55+D57+D59+D78+D88+D90+D105+D107+D115+D122+D124+D125+D126</f>
        <v>71902662706.949997</v>
      </c>
      <c r="E130" s="122">
        <f>E53+E55+E57+E59+E78+E88+E90+E105+E107+E115+E122+E124+E125</f>
        <v>35333814019.720001</v>
      </c>
      <c r="F130" s="122">
        <f>F53+F55+F57+F59+F78+F88+F90+F105+F107+F115+F122+F124+F125+F126</f>
        <v>20374406528.68</v>
      </c>
      <c r="G130" s="122">
        <f t="shared" ref="G130:K130" si="104">G53+G55+G57+G59+G78+G88+G90+G105+G107+G115+G122+G124+G125+G126</f>
        <v>13900647872.110001</v>
      </c>
      <c r="H130" s="122">
        <f t="shared" si="104"/>
        <v>2374490048.5999999</v>
      </c>
      <c r="I130" s="122">
        <f t="shared" si="104"/>
        <v>84354086406.5</v>
      </c>
      <c r="J130" s="122">
        <f t="shared" si="104"/>
        <v>21925677156.130001</v>
      </c>
      <c r="K130" s="122">
        <f t="shared" si="104"/>
        <v>70714840973.369995</v>
      </c>
      <c r="L130" s="122">
        <f t="shared" ref="L130:O130" si="105">L53+L55+L57+L59+L78+L88+L90+L105+L107+L115+L122+L124+L125+L126</f>
        <v>34322284261.979992</v>
      </c>
      <c r="M130" s="122">
        <f t="shared" si="105"/>
        <v>19792626672.369999</v>
      </c>
      <c r="N130" s="122">
        <f t="shared" si="105"/>
        <v>13597009275.169998</v>
      </c>
      <c r="O130" s="122">
        <f t="shared" si="105"/>
        <v>2175286641.7200003</v>
      </c>
      <c r="P130" s="86">
        <f t="shared" si="95"/>
        <v>86307.866550319988</v>
      </c>
      <c r="Q130" s="86">
        <f t="shared" si="96"/>
        <v>71902.662706949995</v>
      </c>
      <c r="R130" s="86">
        <f>E130/1000000</f>
        <v>35333.814019720005</v>
      </c>
      <c r="S130" s="86">
        <f>F130/1000000</f>
        <v>20374.40652868</v>
      </c>
      <c r="T130" s="86">
        <f t="shared" si="97"/>
        <v>13900.647872110001</v>
      </c>
      <c r="U130" s="86">
        <f t="shared" si="97"/>
        <v>2374.4900485999997</v>
      </c>
      <c r="V130" s="86">
        <f t="shared" si="97"/>
        <v>84354.086406500006</v>
      </c>
      <c r="W130" s="86">
        <f t="shared" si="103"/>
        <v>70714.840973369995</v>
      </c>
      <c r="X130" s="86">
        <f t="shared" si="103"/>
        <v>34322.284261979992</v>
      </c>
      <c r="Y130" s="86">
        <f t="shared" si="103"/>
        <v>19792.626672369999</v>
      </c>
      <c r="Z130" s="86">
        <f t="shared" si="99"/>
        <v>13597.009275169998</v>
      </c>
      <c r="AA130" s="86">
        <f t="shared" si="99"/>
        <v>2175.2866417200003</v>
      </c>
      <c r="AB130" s="86">
        <f>V130/P130%</f>
        <v>97.736266435596718</v>
      </c>
      <c r="AC130" s="86">
        <f t="shared" si="33"/>
        <v>98.348014261417362</v>
      </c>
      <c r="AD130" s="86">
        <f>X130/R130%</f>
        <v>97.13721887714847</v>
      </c>
      <c r="AE130" s="86">
        <f>Y130/S130%</f>
        <v>97.144555570288347</v>
      </c>
      <c r="AF130" s="86">
        <f t="shared" si="102"/>
        <v>97.815651473704193</v>
      </c>
      <c r="AG130" s="123">
        <f>AA130/U130%</f>
        <v>91.610686808418095</v>
      </c>
      <c r="AH130" s="84"/>
    </row>
    <row r="131" spans="1:34" s="77" customFormat="1" hidden="1" x14ac:dyDescent="0.25">
      <c r="A131" s="124" t="s">
        <v>104</v>
      </c>
      <c r="B131" s="125">
        <f t="shared" ref="B131:O131" si="106">B130-B52</f>
        <v>0</v>
      </c>
      <c r="C131" s="125">
        <f t="shared" si="106"/>
        <v>0</v>
      </c>
      <c r="D131" s="125">
        <f t="shared" si="106"/>
        <v>0</v>
      </c>
      <c r="E131" s="125">
        <f t="shared" si="106"/>
        <v>0</v>
      </c>
      <c r="F131" s="125">
        <f t="shared" si="106"/>
        <v>0</v>
      </c>
      <c r="G131" s="125">
        <f t="shared" si="106"/>
        <v>0</v>
      </c>
      <c r="H131" s="125">
        <f t="shared" si="106"/>
        <v>0</v>
      </c>
      <c r="I131" s="125">
        <f t="shared" si="106"/>
        <v>0</v>
      </c>
      <c r="J131" s="125">
        <f t="shared" si="106"/>
        <v>0</v>
      </c>
      <c r="K131" s="125">
        <f t="shared" si="106"/>
        <v>0</v>
      </c>
      <c r="L131" s="125">
        <f t="shared" si="106"/>
        <v>0</v>
      </c>
      <c r="M131" s="125">
        <f t="shared" si="106"/>
        <v>0</v>
      </c>
      <c r="N131" s="125">
        <f t="shared" si="106"/>
        <v>0</v>
      </c>
      <c r="O131" s="125">
        <f t="shared" si="106"/>
        <v>0</v>
      </c>
      <c r="P131" s="126">
        <f t="shared" si="95"/>
        <v>0</v>
      </c>
      <c r="Q131" s="126">
        <f t="shared" si="96"/>
        <v>0</v>
      </c>
      <c r="R131" s="126">
        <f>E131/1000000</f>
        <v>0</v>
      </c>
      <c r="S131" s="126">
        <f>F131/1000000</f>
        <v>0</v>
      </c>
      <c r="T131" s="126">
        <f t="shared" si="97"/>
        <v>0</v>
      </c>
      <c r="U131" s="126">
        <f t="shared" si="97"/>
        <v>0</v>
      </c>
      <c r="V131" s="126">
        <f t="shared" si="97"/>
        <v>0</v>
      </c>
      <c r="W131" s="126">
        <f t="shared" si="103"/>
        <v>0</v>
      </c>
      <c r="X131" s="126">
        <f t="shared" si="103"/>
        <v>0</v>
      </c>
      <c r="Y131" s="126">
        <f t="shared" si="103"/>
        <v>0</v>
      </c>
      <c r="Z131" s="126">
        <f t="shared" si="99"/>
        <v>0</v>
      </c>
      <c r="AA131" s="126">
        <f t="shared" si="99"/>
        <v>0</v>
      </c>
      <c r="AB131" s="127"/>
      <c r="AC131" s="127"/>
      <c r="AD131" s="127"/>
      <c r="AE131" s="127"/>
      <c r="AF131" s="127"/>
      <c r="AG131" s="128"/>
      <c r="AH131" s="129"/>
    </row>
    <row r="132" spans="1:34" x14ac:dyDescent="0.25">
      <c r="A132" s="130" t="s">
        <v>67</v>
      </c>
      <c r="B132" s="131">
        <v>191443353.82999998</v>
      </c>
      <c r="C132" s="131">
        <v>22243629139.350002</v>
      </c>
      <c r="D132" s="131">
        <v>21119342063.510002</v>
      </c>
      <c r="E132" s="182">
        <f>F132+G132+H132</f>
        <v>1315730429.6700001</v>
      </c>
      <c r="F132" s="132">
        <v>0</v>
      </c>
      <c r="G132" s="132">
        <v>1221211103.1000001</v>
      </c>
      <c r="H132" s="132">
        <v>94519326.569999993</v>
      </c>
      <c r="I132" s="132">
        <v>19075560.059999999</v>
      </c>
      <c r="J132" s="132">
        <v>21924965689.459999</v>
      </c>
      <c r="K132" s="132">
        <v>20701402922.239998</v>
      </c>
      <c r="L132" s="182">
        <f>M132+N132+O132</f>
        <v>1242638327.2800002</v>
      </c>
      <c r="M132" s="132">
        <v>0</v>
      </c>
      <c r="N132" s="132">
        <v>1148439613.7600002</v>
      </c>
      <c r="O132" s="132">
        <v>94198713.519999996</v>
      </c>
      <c r="P132" s="53">
        <f t="shared" si="95"/>
        <v>191.44335382999998</v>
      </c>
      <c r="Q132" s="53">
        <f t="shared" si="96"/>
        <v>21119.342063510001</v>
      </c>
      <c r="R132" s="53">
        <f t="shared" si="96"/>
        <v>1315.7304296700001</v>
      </c>
      <c r="S132" s="53">
        <f t="shared" si="96"/>
        <v>0</v>
      </c>
      <c r="T132" s="53">
        <f>G132/1000000</f>
        <v>1221.2111031000002</v>
      </c>
      <c r="U132" s="53">
        <f>H132/1000000</f>
        <v>94.51932656999999</v>
      </c>
      <c r="V132" s="53">
        <f>I132/1000000</f>
        <v>19.075560059999997</v>
      </c>
      <c r="W132" s="53">
        <f t="shared" si="103"/>
        <v>20701.402922239999</v>
      </c>
      <c r="X132" s="53">
        <f t="shared" si="103"/>
        <v>1242.6383272800001</v>
      </c>
      <c r="Y132" s="53">
        <f t="shared" si="103"/>
        <v>0</v>
      </c>
      <c r="Z132" s="53">
        <f t="shared" si="99"/>
        <v>1148.4396137600002</v>
      </c>
      <c r="AA132" s="53">
        <f t="shared" si="99"/>
        <v>94.198713519999998</v>
      </c>
      <c r="AB132" s="53">
        <f>V132/P132%</f>
        <v>9.964075366616763</v>
      </c>
      <c r="AC132" s="53">
        <f>W132/Q132%</f>
        <v>98.021059841669413</v>
      </c>
      <c r="AD132" s="53">
        <f>X132/R132%</f>
        <v>94.444750935164407</v>
      </c>
      <c r="AE132" s="133" t="s">
        <v>30</v>
      </c>
      <c r="AF132" s="53">
        <f t="shared" si="102"/>
        <v>94.04103932929597</v>
      </c>
      <c r="AG132" s="134">
        <f>AA132/U132%</f>
        <v>99.660796303111027</v>
      </c>
      <c r="AH132" s="135"/>
    </row>
    <row r="133" spans="1:34" s="76" customFormat="1" hidden="1" x14ac:dyDescent="0.25">
      <c r="A133" s="69" t="s">
        <v>105</v>
      </c>
      <c r="B133" s="344">
        <f>(B54+B56+B58+B60+B79+B89+B91+B106+B108+B116+B123+B126)-B132</f>
        <v>0</v>
      </c>
      <c r="C133" s="344">
        <f>(C54+C56+C58+C60+C79+C89+C91+C106+C108+C116+C123+C126)-C132</f>
        <v>0</v>
      </c>
      <c r="D133" s="344">
        <f>(D54+D56+D58+D60+D79+D89+D91+D106+D108+D116+D123+D126)-D132</f>
        <v>0</v>
      </c>
      <c r="E133" s="344">
        <f>(E54+E56+E58+E60+E79+E89+E91+E106+E108+E116+E123+G126)-E132</f>
        <v>0</v>
      </c>
      <c r="F133" s="344">
        <f t="shared" ref="F133:K133" si="107">(F54+F56+F58+F60+F79+F89+F91+F106+F108+F116+F123+F126)-F132</f>
        <v>0</v>
      </c>
      <c r="G133" s="344">
        <f t="shared" si="107"/>
        <v>0</v>
      </c>
      <c r="H133" s="344">
        <f t="shared" si="107"/>
        <v>0</v>
      </c>
      <c r="I133" s="344">
        <f t="shared" si="107"/>
        <v>0</v>
      </c>
      <c r="J133" s="344">
        <f t="shared" si="107"/>
        <v>0</v>
      </c>
      <c r="K133" s="344">
        <f t="shared" si="107"/>
        <v>0</v>
      </c>
      <c r="L133" s="344">
        <f>(L54+L56+L58+L60+L79+L89+L91+L106+L108+L116+L123+N126)-L132</f>
        <v>0</v>
      </c>
      <c r="M133" s="344">
        <f>(M54+M56+M58+M60+M79+M89+M91+M106+M108+M116+M123+M126)-M132</f>
        <v>0</v>
      </c>
      <c r="N133" s="344">
        <f>(N54+N56+N58+N60+N79+N89+N91+N106+N108+N116+N123+N126)-N132</f>
        <v>0</v>
      </c>
      <c r="O133" s="344">
        <f>(O54+O56+O58+O60+O79+O89+O91+O106+O108+O116+O123+O126)-O132</f>
        <v>0</v>
      </c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345"/>
      <c r="AH133" s="136"/>
    </row>
    <row r="134" spans="1:34" s="42" customFormat="1" ht="27" thickBot="1" x14ac:dyDescent="0.3">
      <c r="A134" s="137" t="s">
        <v>106</v>
      </c>
      <c r="B134" s="138">
        <f>B38-B130</f>
        <v>-4100765111.8000031</v>
      </c>
      <c r="C134" s="138"/>
      <c r="D134" s="138">
        <f t="shared" ref="D134:I134" si="108">D38-D130</f>
        <v>-3034323954.5399933</v>
      </c>
      <c r="E134" s="138">
        <f t="shared" si="108"/>
        <v>-1066441157.260006</v>
      </c>
      <c r="F134" s="138">
        <f t="shared" si="108"/>
        <v>-519904932.16999817</v>
      </c>
      <c r="G134" s="138">
        <f t="shared" si="108"/>
        <v>-343359468.87000084</v>
      </c>
      <c r="H134" s="138">
        <f t="shared" si="108"/>
        <v>-203176756.21999979</v>
      </c>
      <c r="I134" s="138">
        <f t="shared" si="108"/>
        <v>-944842995.50999451</v>
      </c>
      <c r="J134" s="138"/>
      <c r="K134" s="138">
        <f>K38-K130</f>
        <v>-839287743.47999573</v>
      </c>
      <c r="L134" s="138">
        <f>L38-L130</f>
        <v>-105555252.02998734</v>
      </c>
      <c r="M134" s="138">
        <f>M38-M130</f>
        <v>37619198.610004425</v>
      </c>
      <c r="N134" s="138">
        <f>N38-N130</f>
        <v>-86924287.989997864</v>
      </c>
      <c r="O134" s="138">
        <f>O38-O130</f>
        <v>-56250162.650000095</v>
      </c>
      <c r="P134" s="139">
        <f t="shared" si="95"/>
        <v>-4100.7651118000031</v>
      </c>
      <c r="Q134" s="139">
        <f t="shared" si="96"/>
        <v>-3034.3239545399933</v>
      </c>
      <c r="R134" s="139">
        <f t="shared" si="96"/>
        <v>-1066.4411572600059</v>
      </c>
      <c r="S134" s="139">
        <f t="shared" si="96"/>
        <v>-519.90493216999812</v>
      </c>
      <c r="T134" s="139">
        <f t="shared" si="96"/>
        <v>-343.35946887000085</v>
      </c>
      <c r="U134" s="139">
        <f t="shared" si="96"/>
        <v>-203.17675621999979</v>
      </c>
      <c r="V134" s="139">
        <f t="shared" si="96"/>
        <v>-944.84299550999447</v>
      </c>
      <c r="W134" s="139">
        <f t="shared" si="103"/>
        <v>-839.2877434799957</v>
      </c>
      <c r="X134" s="139">
        <f t="shared" si="103"/>
        <v>-105.55525202998733</v>
      </c>
      <c r="Y134" s="139">
        <f t="shared" si="103"/>
        <v>37.619198610004425</v>
      </c>
      <c r="Z134" s="139">
        <f>N134/1000000</f>
        <v>-86.924287989997865</v>
      </c>
      <c r="AA134" s="139">
        <f>O134/1000000</f>
        <v>-56.250162650000092</v>
      </c>
      <c r="AB134" s="140" t="s">
        <v>107</v>
      </c>
      <c r="AC134" s="140" t="s">
        <v>107</v>
      </c>
      <c r="AD134" s="140" t="s">
        <v>107</v>
      </c>
      <c r="AE134" s="140" t="s">
        <v>107</v>
      </c>
      <c r="AF134" s="140" t="s">
        <v>107</v>
      </c>
      <c r="AG134" s="141" t="s">
        <v>107</v>
      </c>
      <c r="AH134" s="142"/>
    </row>
    <row r="135" spans="1:34" s="42" customFormat="1" ht="13.8" hidden="1" thickTop="1" x14ac:dyDescent="0.25">
      <c r="A135" s="143" t="s">
        <v>108</v>
      </c>
      <c r="B135" s="144">
        <v>-4100765111.8000002</v>
      </c>
      <c r="C135" s="144">
        <v>0</v>
      </c>
      <c r="D135" s="144">
        <v>-3034323954.54</v>
      </c>
      <c r="E135" s="145">
        <f>F135+G135+H135</f>
        <v>-1066441157.26</v>
      </c>
      <c r="F135" s="144">
        <v>-519904932.17000002</v>
      </c>
      <c r="G135" s="144">
        <v>-343359468.87</v>
      </c>
      <c r="H135" s="144">
        <v>-203176756.22</v>
      </c>
      <c r="I135" s="144">
        <v>-944842995.50999999</v>
      </c>
      <c r="J135" s="144">
        <v>0</v>
      </c>
      <c r="K135" s="144">
        <v>-839287743.48000002</v>
      </c>
      <c r="L135" s="145">
        <f>M135+N135+O135</f>
        <v>-105555252.03</v>
      </c>
      <c r="M135" s="144">
        <v>37619198.609999999</v>
      </c>
      <c r="N135" s="144">
        <v>-86924287.989999995</v>
      </c>
      <c r="O135" s="144">
        <v>-56250162.649999999</v>
      </c>
      <c r="P135" s="146">
        <f>B135/1000000</f>
        <v>-4100.7651118000003</v>
      </c>
      <c r="Q135" s="146">
        <f t="shared" ref="Q135:V135" si="109">D135/1000000</f>
        <v>-3034.3239545400002</v>
      </c>
      <c r="R135" s="146">
        <f t="shared" si="109"/>
        <v>-1066.44115726</v>
      </c>
      <c r="S135" s="146">
        <f t="shared" si="109"/>
        <v>-519.90493217000005</v>
      </c>
      <c r="T135" s="146">
        <f t="shared" si="109"/>
        <v>-343.35946887</v>
      </c>
      <c r="U135" s="146">
        <f t="shared" si="109"/>
        <v>-203.17675621999999</v>
      </c>
      <c r="V135" s="146">
        <f t="shared" si="109"/>
        <v>-944.84299551000004</v>
      </c>
      <c r="W135" s="146">
        <f t="shared" si="103"/>
        <v>-839.28774348000002</v>
      </c>
      <c r="X135" s="146">
        <f t="shared" si="103"/>
        <v>-105.55525203000001</v>
      </c>
      <c r="Y135" s="146">
        <f t="shared" si="103"/>
        <v>37.619198609999998</v>
      </c>
      <c r="Z135" s="146">
        <f>N135/1000000</f>
        <v>-86.924287989999996</v>
      </c>
      <c r="AA135" s="146">
        <f>O135/1000000</f>
        <v>-56.25016265</v>
      </c>
      <c r="AB135" s="146"/>
      <c r="AC135" s="146"/>
      <c r="AD135" s="146"/>
      <c r="AE135" s="146"/>
      <c r="AF135" s="146"/>
      <c r="AG135" s="147"/>
      <c r="AH135" s="148"/>
    </row>
    <row r="136" spans="1:34" s="42" customFormat="1" ht="13.8" hidden="1" thickBot="1" x14ac:dyDescent="0.3">
      <c r="A136" s="149" t="s">
        <v>109</v>
      </c>
      <c r="B136" s="150">
        <f>B134-B135</f>
        <v>0</v>
      </c>
      <c r="C136" s="150"/>
      <c r="D136" s="150">
        <f t="shared" ref="D136:AA136" si="110">D134-D135</f>
        <v>6.67572021484375E-6</v>
      </c>
      <c r="E136" s="150">
        <f t="shared" si="110"/>
        <v>-5.9604644775390625E-6</v>
      </c>
      <c r="F136" s="150">
        <f t="shared" si="110"/>
        <v>1.8477439880371094E-6</v>
      </c>
      <c r="G136" s="150">
        <f t="shared" si="110"/>
        <v>-8.3446502685546875E-7</v>
      </c>
      <c r="H136" s="150">
        <f t="shared" si="110"/>
        <v>0</v>
      </c>
      <c r="I136" s="150">
        <f t="shared" si="110"/>
        <v>5.4836273193359375E-6</v>
      </c>
      <c r="J136" s="150"/>
      <c r="K136" s="150">
        <f t="shared" si="110"/>
        <v>4.291534423828125E-6</v>
      </c>
      <c r="L136" s="150">
        <f t="shared" si="110"/>
        <v>1.2665987014770508E-5</v>
      </c>
      <c r="M136" s="150">
        <f t="shared" si="110"/>
        <v>4.4256448745727539E-6</v>
      </c>
      <c r="N136" s="150">
        <f t="shared" si="110"/>
        <v>2.1308660507202148E-6</v>
      </c>
      <c r="O136" s="150">
        <f t="shared" si="110"/>
        <v>-9.6857547760009766E-8</v>
      </c>
      <c r="P136" s="150">
        <f t="shared" si="110"/>
        <v>0</v>
      </c>
      <c r="Q136" s="150">
        <f t="shared" si="110"/>
        <v>6.8212102632969618E-12</v>
      </c>
      <c r="R136" s="150">
        <f t="shared" si="110"/>
        <v>-5.9117155615240335E-12</v>
      </c>
      <c r="S136" s="150">
        <f t="shared" si="110"/>
        <v>1.9326762412674725E-12</v>
      </c>
      <c r="T136" s="150">
        <f t="shared" si="110"/>
        <v>-8.5265128291212022E-13</v>
      </c>
      <c r="U136" s="150">
        <f t="shared" si="110"/>
        <v>0</v>
      </c>
      <c r="V136" s="150">
        <f t="shared" si="110"/>
        <v>5.5706550483591855E-12</v>
      </c>
      <c r="W136" s="150">
        <f t="shared" si="110"/>
        <v>4.3200998334214091E-12</v>
      </c>
      <c r="X136" s="150">
        <f t="shared" si="110"/>
        <v>1.2676082405960187E-11</v>
      </c>
      <c r="Y136" s="150">
        <f t="shared" si="110"/>
        <v>4.4266812437854242E-12</v>
      </c>
      <c r="Z136" s="150">
        <f t="shared" si="110"/>
        <v>2.1316282072803006E-12</v>
      </c>
      <c r="AA136" s="150">
        <f t="shared" si="110"/>
        <v>-9.2370555648813024E-14</v>
      </c>
      <c r="AB136" s="151"/>
      <c r="AC136" s="151"/>
      <c r="AD136" s="151"/>
      <c r="AE136" s="151"/>
      <c r="AF136" s="151"/>
      <c r="AG136" s="152"/>
      <c r="AH136" s="148"/>
    </row>
    <row r="137" spans="1:34" ht="13.5" customHeight="1" thickTop="1" x14ac:dyDescent="0.25">
      <c r="A137" s="448" t="s">
        <v>0</v>
      </c>
      <c r="B137" s="450" t="s">
        <v>129</v>
      </c>
      <c r="C137" s="450"/>
      <c r="D137" s="450"/>
      <c r="E137" s="450"/>
      <c r="F137" s="450"/>
      <c r="G137" s="450"/>
      <c r="H137" s="450"/>
      <c r="I137" s="450" t="s">
        <v>397</v>
      </c>
      <c r="J137" s="450"/>
      <c r="K137" s="450"/>
      <c r="L137" s="450"/>
      <c r="M137" s="450"/>
      <c r="N137" s="450"/>
      <c r="O137" s="450"/>
      <c r="P137" s="450" t="s">
        <v>130</v>
      </c>
      <c r="Q137" s="450"/>
      <c r="R137" s="450"/>
      <c r="S137" s="450"/>
      <c r="T137" s="450"/>
      <c r="U137" s="450"/>
      <c r="V137" s="450" t="s">
        <v>397</v>
      </c>
      <c r="W137" s="450"/>
      <c r="X137" s="450"/>
      <c r="Y137" s="450"/>
      <c r="Z137" s="450"/>
      <c r="AA137" s="450"/>
      <c r="AB137" s="450" t="s">
        <v>1</v>
      </c>
      <c r="AC137" s="450"/>
      <c r="AD137" s="450"/>
      <c r="AE137" s="450"/>
      <c r="AF137" s="450"/>
      <c r="AG137" s="451"/>
      <c r="AH137" s="10"/>
    </row>
    <row r="138" spans="1:34" x14ac:dyDescent="0.25">
      <c r="A138" s="449"/>
      <c r="B138" s="444" t="s">
        <v>2</v>
      </c>
      <c r="C138" s="458" t="s">
        <v>3</v>
      </c>
      <c r="D138" s="459"/>
      <c r="E138" s="459"/>
      <c r="F138" s="459"/>
      <c r="G138" s="459"/>
      <c r="H138" s="460"/>
      <c r="I138" s="444" t="s">
        <v>2</v>
      </c>
      <c r="J138" s="11"/>
      <c r="K138" s="443" t="s">
        <v>3</v>
      </c>
      <c r="L138" s="443"/>
      <c r="M138" s="443"/>
      <c r="N138" s="443"/>
      <c r="O138" s="443"/>
      <c r="P138" s="444" t="s">
        <v>2</v>
      </c>
      <c r="Q138" s="443" t="s">
        <v>4</v>
      </c>
      <c r="R138" s="443"/>
      <c r="S138" s="443"/>
      <c r="T138" s="443"/>
      <c r="U138" s="443"/>
      <c r="V138" s="444" t="s">
        <v>2</v>
      </c>
      <c r="W138" s="443" t="s">
        <v>4</v>
      </c>
      <c r="X138" s="443"/>
      <c r="Y138" s="443"/>
      <c r="Z138" s="443"/>
      <c r="AA138" s="443"/>
      <c r="AB138" s="444" t="s">
        <v>2</v>
      </c>
      <c r="AC138" s="443" t="s">
        <v>4</v>
      </c>
      <c r="AD138" s="443"/>
      <c r="AE138" s="443"/>
      <c r="AF138" s="443"/>
      <c r="AG138" s="445"/>
      <c r="AH138" s="10"/>
    </row>
    <row r="139" spans="1:34" x14ac:dyDescent="0.25">
      <c r="A139" s="449"/>
      <c r="B139" s="444"/>
      <c r="C139" s="456" t="s">
        <v>5</v>
      </c>
      <c r="D139" s="444" t="s">
        <v>6</v>
      </c>
      <c r="E139" s="444" t="s">
        <v>7</v>
      </c>
      <c r="F139" s="447" t="s">
        <v>8</v>
      </c>
      <c r="G139" s="447"/>
      <c r="H139" s="447"/>
      <c r="I139" s="444"/>
      <c r="J139" s="456" t="s">
        <v>5</v>
      </c>
      <c r="K139" s="444" t="s">
        <v>6</v>
      </c>
      <c r="L139" s="444" t="s">
        <v>7</v>
      </c>
      <c r="M139" s="447" t="s">
        <v>8</v>
      </c>
      <c r="N139" s="447"/>
      <c r="O139" s="447"/>
      <c r="P139" s="444"/>
      <c r="Q139" s="444" t="s">
        <v>6</v>
      </c>
      <c r="R139" s="446" t="s">
        <v>7</v>
      </c>
      <c r="S139" s="447" t="s">
        <v>8</v>
      </c>
      <c r="T139" s="447"/>
      <c r="U139" s="447"/>
      <c r="V139" s="444"/>
      <c r="W139" s="444" t="s">
        <v>6</v>
      </c>
      <c r="X139" s="446" t="s">
        <v>7</v>
      </c>
      <c r="Y139" s="447" t="s">
        <v>8</v>
      </c>
      <c r="Z139" s="447"/>
      <c r="AA139" s="447"/>
      <c r="AB139" s="444"/>
      <c r="AC139" s="446" t="s">
        <v>6</v>
      </c>
      <c r="AD139" s="446" t="s">
        <v>7</v>
      </c>
      <c r="AE139" s="452" t="s">
        <v>8</v>
      </c>
      <c r="AF139" s="452"/>
      <c r="AG139" s="453"/>
      <c r="AH139" s="12"/>
    </row>
    <row r="140" spans="1:34" ht="54.75" customHeight="1" x14ac:dyDescent="0.25">
      <c r="A140" s="449"/>
      <c r="B140" s="444"/>
      <c r="C140" s="457"/>
      <c r="D140" s="444"/>
      <c r="E140" s="444"/>
      <c r="F140" s="13" t="s">
        <v>9</v>
      </c>
      <c r="G140" s="13" t="s">
        <v>10</v>
      </c>
      <c r="H140" s="13" t="s">
        <v>11</v>
      </c>
      <c r="I140" s="444"/>
      <c r="J140" s="457"/>
      <c r="K140" s="444"/>
      <c r="L140" s="444"/>
      <c r="M140" s="13" t="s">
        <v>9</v>
      </c>
      <c r="N140" s="13" t="s">
        <v>10</v>
      </c>
      <c r="O140" s="13" t="s">
        <v>11</v>
      </c>
      <c r="P140" s="444"/>
      <c r="Q140" s="444"/>
      <c r="R140" s="446"/>
      <c r="S140" s="13" t="s">
        <v>9</v>
      </c>
      <c r="T140" s="13" t="s">
        <v>10</v>
      </c>
      <c r="U140" s="13" t="s">
        <v>11</v>
      </c>
      <c r="V140" s="444"/>
      <c r="W140" s="444"/>
      <c r="X140" s="446"/>
      <c r="Y140" s="13" t="s">
        <v>9</v>
      </c>
      <c r="Z140" s="13" t="s">
        <v>10</v>
      </c>
      <c r="AA140" s="13" t="s">
        <v>11</v>
      </c>
      <c r="AB140" s="444"/>
      <c r="AC140" s="446"/>
      <c r="AD140" s="446"/>
      <c r="AE140" s="14" t="s">
        <v>9</v>
      </c>
      <c r="AF140" s="14" t="s">
        <v>10</v>
      </c>
      <c r="AG140" s="15" t="s">
        <v>63</v>
      </c>
      <c r="AH140" s="16"/>
    </row>
    <row r="141" spans="1:34" x14ac:dyDescent="0.25">
      <c r="A141" s="17" t="s">
        <v>13</v>
      </c>
      <c r="B141" s="18"/>
      <c r="C141" s="18"/>
      <c r="D141" s="19"/>
      <c r="E141" s="18"/>
      <c r="F141" s="20"/>
      <c r="G141" s="20"/>
      <c r="H141" s="20"/>
      <c r="I141" s="18"/>
      <c r="J141" s="18"/>
      <c r="K141" s="18"/>
      <c r="L141" s="18"/>
      <c r="M141" s="20"/>
      <c r="N141" s="20"/>
      <c r="O141" s="20"/>
      <c r="P141" s="18" t="s">
        <v>14</v>
      </c>
      <c r="Q141" s="18" t="s">
        <v>15</v>
      </c>
      <c r="R141" s="18" t="s">
        <v>16</v>
      </c>
      <c r="S141" s="20">
        <v>4</v>
      </c>
      <c r="T141" s="20">
        <v>5</v>
      </c>
      <c r="U141" s="20">
        <v>6</v>
      </c>
      <c r="V141" s="18" t="s">
        <v>17</v>
      </c>
      <c r="W141" s="18" t="s">
        <v>18</v>
      </c>
      <c r="X141" s="18" t="s">
        <v>19</v>
      </c>
      <c r="Y141" s="20">
        <v>10</v>
      </c>
      <c r="Z141" s="20">
        <v>11</v>
      </c>
      <c r="AA141" s="20">
        <v>12</v>
      </c>
      <c r="AB141" s="18" t="s">
        <v>20</v>
      </c>
      <c r="AC141" s="18" t="s">
        <v>21</v>
      </c>
      <c r="AD141" s="18" t="s">
        <v>22</v>
      </c>
      <c r="AE141" s="20" t="s">
        <v>23</v>
      </c>
      <c r="AF141" s="20" t="s">
        <v>24</v>
      </c>
      <c r="AG141" s="21" t="s">
        <v>25</v>
      </c>
      <c r="AH141" s="22"/>
    </row>
    <row r="142" spans="1:34" s="42" customFormat="1" ht="26.4" x14ac:dyDescent="0.25">
      <c r="A142" s="35" t="s">
        <v>110</v>
      </c>
      <c r="B142" s="153">
        <v>4100765111.8000002</v>
      </c>
      <c r="C142" s="153">
        <v>0</v>
      </c>
      <c r="D142" s="153">
        <v>3034323954.54</v>
      </c>
      <c r="E142" s="154">
        <f>F142+G142+H142</f>
        <v>1066441157.26</v>
      </c>
      <c r="F142" s="153">
        <v>519904932.17000002</v>
      </c>
      <c r="G142" s="153">
        <v>343359468.87</v>
      </c>
      <c r="H142" s="153">
        <v>203176756.22</v>
      </c>
      <c r="I142" s="153">
        <v>944842995.50999999</v>
      </c>
      <c r="J142" s="153">
        <v>0</v>
      </c>
      <c r="K142" s="153">
        <v>839287743.48000002</v>
      </c>
      <c r="L142" s="154">
        <f>M142+N142+O142</f>
        <v>105555252.03</v>
      </c>
      <c r="M142" s="153">
        <v>-37619198.609999999</v>
      </c>
      <c r="N142" s="153">
        <v>86924287.989999995</v>
      </c>
      <c r="O142" s="153">
        <v>56250162.649999999</v>
      </c>
      <c r="P142" s="38">
        <f t="shared" ref="P142:P151" si="111">B142/1000000</f>
        <v>4100.7651118000003</v>
      </c>
      <c r="Q142" s="38">
        <f t="shared" ref="Q142:S150" si="112">D142/1000000</f>
        <v>3034.3239545400002</v>
      </c>
      <c r="R142" s="38">
        <f>E142/1000000</f>
        <v>1066.44115726</v>
      </c>
      <c r="S142" s="38">
        <f>F142/1000000</f>
        <v>519.90493217000005</v>
      </c>
      <c r="T142" s="38">
        <f t="shared" ref="T142:V150" si="113">G142/1000000</f>
        <v>343.35946887</v>
      </c>
      <c r="U142" s="38">
        <f t="shared" si="113"/>
        <v>203.17675621999999</v>
      </c>
      <c r="V142" s="38">
        <f t="shared" si="113"/>
        <v>944.84299551000004</v>
      </c>
      <c r="W142" s="38">
        <f t="shared" ref="W142:Y150" si="114">K142/1000000</f>
        <v>839.28774348000002</v>
      </c>
      <c r="X142" s="38">
        <f>L142/1000000</f>
        <v>105.55525203000001</v>
      </c>
      <c r="Y142" s="38">
        <f>M142/1000000</f>
        <v>-37.619198609999998</v>
      </c>
      <c r="Z142" s="38">
        <f t="shared" ref="Z142:AA150" si="115">N142/1000000</f>
        <v>86.924287989999996</v>
      </c>
      <c r="AA142" s="38">
        <f t="shared" si="115"/>
        <v>56.25016265</v>
      </c>
      <c r="AB142" s="38">
        <f t="shared" ref="AB142:AG150" si="116">V142/P142%</f>
        <v>23.040651433343573</v>
      </c>
      <c r="AC142" s="38">
        <f t="shared" si="116"/>
        <v>27.65979361644116</v>
      </c>
      <c r="AD142" s="38">
        <f t="shared" si="116"/>
        <v>9.8978974424807848</v>
      </c>
      <c r="AE142" s="38">
        <f t="shared" si="116"/>
        <v>-7.2357841371081975</v>
      </c>
      <c r="AF142" s="38">
        <f t="shared" si="116"/>
        <v>25.315826668787913</v>
      </c>
      <c r="AG142" s="39">
        <f t="shared" si="116"/>
        <v>27.68533354725492</v>
      </c>
      <c r="AH142" s="40"/>
    </row>
    <row r="143" spans="1:34" s="42" customFormat="1" x14ac:dyDescent="0.25">
      <c r="A143" s="43" t="s">
        <v>111</v>
      </c>
      <c r="B143" s="153">
        <v>5537669373.0100002</v>
      </c>
      <c r="C143" s="153">
        <v>0</v>
      </c>
      <c r="D143" s="153">
        <v>5045314818</v>
      </c>
      <c r="E143" s="154">
        <f t="shared" ref="E143:E149" si="117">F143+G143+H143</f>
        <v>492354555.00999999</v>
      </c>
      <c r="F143" s="153">
        <v>328289999</v>
      </c>
      <c r="G143" s="153">
        <v>145015686.30000001</v>
      </c>
      <c r="H143" s="153">
        <v>19048869.710000001</v>
      </c>
      <c r="I143" s="153">
        <v>5153492817</v>
      </c>
      <c r="J143" s="153">
        <v>0</v>
      </c>
      <c r="K143" s="153">
        <v>5045314818</v>
      </c>
      <c r="L143" s="155">
        <f t="shared" ref="L143:L149" si="118">M143+N143+O143</f>
        <v>108177999</v>
      </c>
      <c r="M143" s="153">
        <v>9699999</v>
      </c>
      <c r="N143" s="153">
        <v>94778000</v>
      </c>
      <c r="O143" s="153">
        <v>3700000</v>
      </c>
      <c r="P143" s="32">
        <f t="shared" si="111"/>
        <v>5537.6693730100005</v>
      </c>
      <c r="Q143" s="32">
        <f t="shared" si="112"/>
        <v>5045.3148179999998</v>
      </c>
      <c r="R143" s="32">
        <f t="shared" si="112"/>
        <v>492.35455501000001</v>
      </c>
      <c r="S143" s="32">
        <f t="shared" si="112"/>
        <v>328.28999900000002</v>
      </c>
      <c r="T143" s="32">
        <f t="shared" si="113"/>
        <v>145.0156863</v>
      </c>
      <c r="U143" s="32">
        <f t="shared" si="113"/>
        <v>19.048869710000002</v>
      </c>
      <c r="V143" s="32">
        <f t="shared" si="113"/>
        <v>5153.4928170000003</v>
      </c>
      <c r="W143" s="32">
        <f t="shared" si="114"/>
        <v>5045.3148179999998</v>
      </c>
      <c r="X143" s="32">
        <f t="shared" si="114"/>
        <v>108.177999</v>
      </c>
      <c r="Y143" s="32">
        <f t="shared" si="114"/>
        <v>9.699999</v>
      </c>
      <c r="Z143" s="32">
        <f t="shared" si="115"/>
        <v>94.778000000000006</v>
      </c>
      <c r="AA143" s="32">
        <f t="shared" si="115"/>
        <v>3.7</v>
      </c>
      <c r="AB143" s="32">
        <f t="shared" si="116"/>
        <v>93.06248657815442</v>
      </c>
      <c r="AC143" s="32">
        <f t="shared" si="116"/>
        <v>100</v>
      </c>
      <c r="AD143" s="32">
        <f t="shared" si="116"/>
        <v>21.97156457662971</v>
      </c>
      <c r="AE143" s="32">
        <f t="shared" si="116"/>
        <v>2.9547043862277387</v>
      </c>
      <c r="AF143" s="32">
        <f t="shared" si="116"/>
        <v>65.357067513323216</v>
      </c>
      <c r="AG143" s="34">
        <f t="shared" si="116"/>
        <v>19.423724642610303</v>
      </c>
      <c r="AH143" s="30"/>
    </row>
    <row r="144" spans="1:34" s="42" customFormat="1" x14ac:dyDescent="0.25">
      <c r="A144" s="43" t="s">
        <v>112</v>
      </c>
      <c r="B144" s="153">
        <v>-5144037000</v>
      </c>
      <c r="C144" s="153">
        <v>0</v>
      </c>
      <c r="D144" s="153">
        <v>-5144037000</v>
      </c>
      <c r="E144" s="154">
        <f t="shared" si="117"/>
        <v>0</v>
      </c>
      <c r="F144" s="153">
        <v>0</v>
      </c>
      <c r="G144" s="153">
        <v>0</v>
      </c>
      <c r="H144" s="153">
        <v>0</v>
      </c>
      <c r="I144" s="153">
        <v>-5144037000</v>
      </c>
      <c r="J144" s="153">
        <v>0</v>
      </c>
      <c r="K144" s="153">
        <v>-5144037000</v>
      </c>
      <c r="L144" s="155">
        <f t="shared" si="118"/>
        <v>0</v>
      </c>
      <c r="M144" s="153">
        <v>0</v>
      </c>
      <c r="N144" s="153">
        <v>0</v>
      </c>
      <c r="O144" s="153">
        <v>0</v>
      </c>
      <c r="P144" s="32">
        <f t="shared" si="111"/>
        <v>-5144.0370000000003</v>
      </c>
      <c r="Q144" s="32">
        <f t="shared" si="112"/>
        <v>-5144.0370000000003</v>
      </c>
      <c r="R144" s="32">
        <f t="shared" si="112"/>
        <v>0</v>
      </c>
      <c r="S144" s="32">
        <f t="shared" si="112"/>
        <v>0</v>
      </c>
      <c r="T144" s="32">
        <f t="shared" si="113"/>
        <v>0</v>
      </c>
      <c r="U144" s="32">
        <f t="shared" si="113"/>
        <v>0</v>
      </c>
      <c r="V144" s="32">
        <f t="shared" si="113"/>
        <v>-5144.0370000000003</v>
      </c>
      <c r="W144" s="32">
        <f t="shared" si="114"/>
        <v>-5144.0370000000003</v>
      </c>
      <c r="X144" s="32">
        <f t="shared" si="114"/>
        <v>0</v>
      </c>
      <c r="Y144" s="32">
        <f t="shared" si="114"/>
        <v>0</v>
      </c>
      <c r="Z144" s="32">
        <f t="shared" si="115"/>
        <v>0</v>
      </c>
      <c r="AA144" s="32">
        <f t="shared" si="115"/>
        <v>0</v>
      </c>
      <c r="AB144" s="32">
        <f t="shared" si="116"/>
        <v>100</v>
      </c>
      <c r="AC144" s="32">
        <f t="shared" si="116"/>
        <v>100</v>
      </c>
      <c r="AD144" s="54" t="s">
        <v>30</v>
      </c>
      <c r="AE144" s="54" t="s">
        <v>30</v>
      </c>
      <c r="AF144" s="54" t="s">
        <v>30</v>
      </c>
      <c r="AG144" s="50" t="s">
        <v>30</v>
      </c>
      <c r="AH144" s="30"/>
    </row>
    <row r="145" spans="1:34" s="42" customFormat="1" ht="26.4" x14ac:dyDescent="0.25">
      <c r="A145" s="43" t="s">
        <v>113</v>
      </c>
      <c r="B145" s="153">
        <v>82859650</v>
      </c>
      <c r="C145" s="153">
        <v>0</v>
      </c>
      <c r="D145" s="153">
        <v>78067650</v>
      </c>
      <c r="E145" s="154">
        <f t="shared" si="117"/>
        <v>4792000</v>
      </c>
      <c r="F145" s="153">
        <v>4792000</v>
      </c>
      <c r="G145" s="153">
        <v>0</v>
      </c>
      <c r="H145" s="153">
        <v>0</v>
      </c>
      <c r="I145" s="153">
        <v>78067650</v>
      </c>
      <c r="J145" s="153">
        <v>0</v>
      </c>
      <c r="K145" s="153">
        <v>78067650</v>
      </c>
      <c r="L145" s="155">
        <f t="shared" si="118"/>
        <v>0</v>
      </c>
      <c r="M145" s="153">
        <v>0</v>
      </c>
      <c r="N145" s="153">
        <v>0</v>
      </c>
      <c r="O145" s="153">
        <v>0</v>
      </c>
      <c r="P145" s="32">
        <f t="shared" si="111"/>
        <v>82.859650000000002</v>
      </c>
      <c r="Q145" s="32">
        <f t="shared" si="112"/>
        <v>78.06765</v>
      </c>
      <c r="R145" s="32">
        <f t="shared" si="112"/>
        <v>4.7919999999999998</v>
      </c>
      <c r="S145" s="32">
        <f t="shared" si="112"/>
        <v>4.7919999999999998</v>
      </c>
      <c r="T145" s="32">
        <f t="shared" si="113"/>
        <v>0</v>
      </c>
      <c r="U145" s="32">
        <f t="shared" si="113"/>
        <v>0</v>
      </c>
      <c r="V145" s="32">
        <f t="shared" si="113"/>
        <v>78.06765</v>
      </c>
      <c r="W145" s="32">
        <f t="shared" si="114"/>
        <v>78.06765</v>
      </c>
      <c r="X145" s="32">
        <f t="shared" si="114"/>
        <v>0</v>
      </c>
      <c r="Y145" s="32">
        <f t="shared" si="114"/>
        <v>0</v>
      </c>
      <c r="Z145" s="32">
        <f t="shared" si="115"/>
        <v>0</v>
      </c>
      <c r="AA145" s="32">
        <f t="shared" si="115"/>
        <v>0</v>
      </c>
      <c r="AB145" s="32">
        <f t="shared" si="116"/>
        <v>94.216726718010506</v>
      </c>
      <c r="AC145" s="32">
        <f t="shared" si="116"/>
        <v>100</v>
      </c>
      <c r="AD145" s="32">
        <f t="shared" si="116"/>
        <v>0</v>
      </c>
      <c r="AE145" s="32">
        <f t="shared" si="116"/>
        <v>0</v>
      </c>
      <c r="AF145" s="54" t="s">
        <v>30</v>
      </c>
      <c r="AG145" s="50" t="s">
        <v>30</v>
      </c>
      <c r="AH145" s="30"/>
    </row>
    <row r="146" spans="1:34" s="42" customFormat="1" ht="26.4" hidden="1" x14ac:dyDescent="0.25">
      <c r="A146" s="43" t="s">
        <v>114</v>
      </c>
      <c r="B146" s="153"/>
      <c r="C146" s="153"/>
      <c r="D146" s="153"/>
      <c r="E146" s="154">
        <f t="shared" si="117"/>
        <v>0</v>
      </c>
      <c r="F146" s="153"/>
      <c r="G146" s="153"/>
      <c r="H146" s="153"/>
      <c r="I146" s="153"/>
      <c r="J146" s="153"/>
      <c r="K146" s="153"/>
      <c r="L146" s="155">
        <f t="shared" si="118"/>
        <v>0</v>
      </c>
      <c r="M146" s="153"/>
      <c r="N146" s="153"/>
      <c r="O146" s="153"/>
      <c r="P146" s="32">
        <f t="shared" si="111"/>
        <v>0</v>
      </c>
      <c r="Q146" s="32">
        <f t="shared" si="112"/>
        <v>0</v>
      </c>
      <c r="R146" s="32">
        <f t="shared" si="112"/>
        <v>0</v>
      </c>
      <c r="S146" s="32">
        <f t="shared" si="112"/>
        <v>0</v>
      </c>
      <c r="T146" s="32">
        <f t="shared" si="113"/>
        <v>0</v>
      </c>
      <c r="U146" s="32">
        <f t="shared" si="113"/>
        <v>0</v>
      </c>
      <c r="V146" s="32">
        <f t="shared" si="113"/>
        <v>0</v>
      </c>
      <c r="W146" s="32">
        <f t="shared" si="114"/>
        <v>0</v>
      </c>
      <c r="X146" s="32">
        <f t="shared" si="114"/>
        <v>0</v>
      </c>
      <c r="Y146" s="32">
        <f t="shared" si="114"/>
        <v>0</v>
      </c>
      <c r="Z146" s="32">
        <f t="shared" si="115"/>
        <v>0</v>
      </c>
      <c r="AA146" s="32">
        <f t="shared" si="115"/>
        <v>0</v>
      </c>
      <c r="AB146" s="54" t="s">
        <v>30</v>
      </c>
      <c r="AC146" s="54" t="s">
        <v>30</v>
      </c>
      <c r="AD146" s="54" t="s">
        <v>30</v>
      </c>
      <c r="AE146" s="54" t="s">
        <v>30</v>
      </c>
      <c r="AF146" s="54" t="s">
        <v>30</v>
      </c>
      <c r="AG146" s="50" t="s">
        <v>30</v>
      </c>
      <c r="AH146" s="30"/>
    </row>
    <row r="147" spans="1:34" s="42" customFormat="1" x14ac:dyDescent="0.25">
      <c r="A147" s="43" t="s">
        <v>115</v>
      </c>
      <c r="B147" s="153">
        <v>71860597.129999995</v>
      </c>
      <c r="C147" s="153">
        <v>0</v>
      </c>
      <c r="D147" s="153">
        <v>71860597.129999995</v>
      </c>
      <c r="E147" s="154">
        <f t="shared" si="117"/>
        <v>0</v>
      </c>
      <c r="F147" s="153">
        <v>0</v>
      </c>
      <c r="G147" s="153">
        <v>0</v>
      </c>
      <c r="H147" s="153">
        <v>0</v>
      </c>
      <c r="I147" s="153">
        <v>80636551.540000007</v>
      </c>
      <c r="J147" s="153">
        <v>0</v>
      </c>
      <c r="K147" s="153">
        <v>80636551.540000007</v>
      </c>
      <c r="L147" s="155">
        <f t="shared" si="118"/>
        <v>0</v>
      </c>
      <c r="M147" s="153">
        <v>0</v>
      </c>
      <c r="N147" s="153">
        <v>0</v>
      </c>
      <c r="O147" s="153">
        <v>0</v>
      </c>
      <c r="P147" s="32">
        <f t="shared" si="111"/>
        <v>71.860597130000002</v>
      </c>
      <c r="Q147" s="32">
        <f t="shared" si="112"/>
        <v>71.860597130000002</v>
      </c>
      <c r="R147" s="32">
        <f t="shared" si="112"/>
        <v>0</v>
      </c>
      <c r="S147" s="32">
        <f t="shared" si="112"/>
        <v>0</v>
      </c>
      <c r="T147" s="32">
        <f t="shared" si="113"/>
        <v>0</v>
      </c>
      <c r="U147" s="32">
        <f t="shared" si="113"/>
        <v>0</v>
      </c>
      <c r="V147" s="32">
        <f t="shared" si="113"/>
        <v>80.636551540000013</v>
      </c>
      <c r="W147" s="32">
        <f t="shared" si="114"/>
        <v>80.636551540000013</v>
      </c>
      <c r="X147" s="32">
        <f t="shared" si="114"/>
        <v>0</v>
      </c>
      <c r="Y147" s="32">
        <f t="shared" si="114"/>
        <v>0</v>
      </c>
      <c r="Z147" s="32">
        <f t="shared" si="115"/>
        <v>0</v>
      </c>
      <c r="AA147" s="32">
        <f t="shared" si="115"/>
        <v>0</v>
      </c>
      <c r="AB147" s="32">
        <f t="shared" si="116"/>
        <v>112.21247075657303</v>
      </c>
      <c r="AC147" s="54" t="s">
        <v>30</v>
      </c>
      <c r="AD147" s="54" t="s">
        <v>30</v>
      </c>
      <c r="AE147" s="54" t="s">
        <v>30</v>
      </c>
      <c r="AF147" s="54" t="s">
        <v>30</v>
      </c>
      <c r="AG147" s="50" t="s">
        <v>30</v>
      </c>
      <c r="AH147" s="30"/>
    </row>
    <row r="148" spans="1:34" s="42" customFormat="1" ht="26.4" hidden="1" x14ac:dyDescent="0.25">
      <c r="A148" s="43" t="s">
        <v>116</v>
      </c>
      <c r="B148" s="153"/>
      <c r="C148" s="153"/>
      <c r="D148" s="153"/>
      <c r="E148" s="154">
        <f t="shared" si="117"/>
        <v>0</v>
      </c>
      <c r="F148" s="153"/>
      <c r="G148" s="153"/>
      <c r="H148" s="153"/>
      <c r="I148" s="153"/>
      <c r="J148" s="153"/>
      <c r="K148" s="153"/>
      <c r="L148" s="155">
        <f t="shared" si="118"/>
        <v>0</v>
      </c>
      <c r="M148" s="153"/>
      <c r="N148" s="153"/>
      <c r="O148" s="153"/>
      <c r="P148" s="32">
        <f t="shared" si="111"/>
        <v>0</v>
      </c>
      <c r="Q148" s="32">
        <f t="shared" si="112"/>
        <v>0</v>
      </c>
      <c r="R148" s="32">
        <f t="shared" si="112"/>
        <v>0</v>
      </c>
      <c r="S148" s="32">
        <f t="shared" si="112"/>
        <v>0</v>
      </c>
      <c r="T148" s="32">
        <f t="shared" si="113"/>
        <v>0</v>
      </c>
      <c r="U148" s="32">
        <f t="shared" si="113"/>
        <v>0</v>
      </c>
      <c r="V148" s="32">
        <f t="shared" si="113"/>
        <v>0</v>
      </c>
      <c r="W148" s="32">
        <f t="shared" si="114"/>
        <v>0</v>
      </c>
      <c r="X148" s="32">
        <f t="shared" si="114"/>
        <v>0</v>
      </c>
      <c r="Y148" s="32">
        <f t="shared" si="114"/>
        <v>0</v>
      </c>
      <c r="Z148" s="32">
        <f t="shared" si="115"/>
        <v>0</v>
      </c>
      <c r="AA148" s="32">
        <f t="shared" si="115"/>
        <v>0</v>
      </c>
      <c r="AB148" s="54" t="s">
        <v>30</v>
      </c>
      <c r="AC148" s="54" t="s">
        <v>30</v>
      </c>
      <c r="AD148" s="54" t="s">
        <v>30</v>
      </c>
      <c r="AE148" s="54" t="s">
        <v>30</v>
      </c>
      <c r="AF148" s="54" t="s">
        <v>30</v>
      </c>
      <c r="AG148" s="50" t="s">
        <v>30</v>
      </c>
      <c r="AH148" s="30"/>
    </row>
    <row r="149" spans="1:34" s="42" customFormat="1" ht="13.8" thickBot="1" x14ac:dyDescent="0.3">
      <c r="A149" s="156" t="s">
        <v>117</v>
      </c>
      <c r="B149" s="157">
        <v>3552412491.6599998</v>
      </c>
      <c r="C149" s="157">
        <v>0</v>
      </c>
      <c r="D149" s="157">
        <v>2983117889.4099998</v>
      </c>
      <c r="E149" s="154">
        <f t="shared" si="117"/>
        <v>569294602.25</v>
      </c>
      <c r="F149" s="157">
        <v>186822933.16999999</v>
      </c>
      <c r="G149" s="157">
        <v>198343782.56999999</v>
      </c>
      <c r="H149" s="157">
        <v>184127886.50999999</v>
      </c>
      <c r="I149" s="157">
        <v>776682976.97000003</v>
      </c>
      <c r="J149" s="157">
        <v>0</v>
      </c>
      <c r="K149" s="157">
        <v>779305723.94000006</v>
      </c>
      <c r="L149" s="158">
        <f t="shared" si="118"/>
        <v>-2622746.9699999988</v>
      </c>
      <c r="M149" s="157">
        <v>-47319197.609999999</v>
      </c>
      <c r="N149" s="157">
        <v>-7853712.0099999998</v>
      </c>
      <c r="O149" s="157">
        <v>52550162.649999999</v>
      </c>
      <c r="P149" s="159">
        <f t="shared" si="111"/>
        <v>3552.4124916599999</v>
      </c>
      <c r="Q149" s="159">
        <f t="shared" si="112"/>
        <v>2983.1178894099999</v>
      </c>
      <c r="R149" s="159">
        <f t="shared" si="112"/>
        <v>569.29460225000003</v>
      </c>
      <c r="S149" s="159">
        <f t="shared" si="112"/>
        <v>186.82293317</v>
      </c>
      <c r="T149" s="159">
        <f t="shared" si="113"/>
        <v>198.34378257</v>
      </c>
      <c r="U149" s="159">
        <f t="shared" si="113"/>
        <v>184.12788651</v>
      </c>
      <c r="V149" s="159">
        <f t="shared" si="113"/>
        <v>776.68297697000003</v>
      </c>
      <c r="W149" s="159">
        <f t="shared" si="114"/>
        <v>779.30572394000001</v>
      </c>
      <c r="X149" s="159">
        <f t="shared" si="114"/>
        <v>-2.6227469699999988</v>
      </c>
      <c r="Y149" s="159">
        <f t="shared" si="114"/>
        <v>-47.319197609999996</v>
      </c>
      <c r="Z149" s="159">
        <f t="shared" si="115"/>
        <v>-7.8537120099999997</v>
      </c>
      <c r="AA149" s="159">
        <f t="shared" si="115"/>
        <v>52.550162649999997</v>
      </c>
      <c r="AB149" s="159">
        <f t="shared" si="116"/>
        <v>21.863535802596655</v>
      </c>
      <c r="AC149" s="159">
        <f t="shared" si="116"/>
        <v>26.123866130350311</v>
      </c>
      <c r="AD149" s="159">
        <f t="shared" si="116"/>
        <v>-0.46070118347060063</v>
      </c>
      <c r="AE149" s="159">
        <f t="shared" si="116"/>
        <v>-25.328366709102983</v>
      </c>
      <c r="AF149" s="159">
        <f t="shared" si="116"/>
        <v>-3.9596461801005773</v>
      </c>
      <c r="AG149" s="160">
        <f t="shared" ref="AG149" si="119">AA149/U149%</f>
        <v>28.540034671579196</v>
      </c>
      <c r="AH149" s="30"/>
    </row>
    <row r="150" spans="1:34" s="42" customFormat="1" ht="13.8" hidden="1" thickTop="1" x14ac:dyDescent="0.25">
      <c r="A150" s="161" t="s">
        <v>104</v>
      </c>
      <c r="B150" s="153">
        <f>+B134+B142</f>
        <v>0</v>
      </c>
      <c r="C150" s="153">
        <f t="shared" ref="C150:O150" si="120">+C134+C142</f>
        <v>0</v>
      </c>
      <c r="D150" s="153">
        <f t="shared" si="120"/>
        <v>6.67572021484375E-6</v>
      </c>
      <c r="E150" s="153">
        <f t="shared" si="120"/>
        <v>-5.9604644775390625E-6</v>
      </c>
      <c r="F150" s="153">
        <f t="shared" si="120"/>
        <v>1.8477439880371094E-6</v>
      </c>
      <c r="G150" s="153">
        <f t="shared" si="120"/>
        <v>-8.3446502685546875E-7</v>
      </c>
      <c r="H150" s="153">
        <f t="shared" si="120"/>
        <v>0</v>
      </c>
      <c r="I150" s="153">
        <f t="shared" si="120"/>
        <v>5.4836273193359375E-6</v>
      </c>
      <c r="J150" s="153">
        <f t="shared" si="120"/>
        <v>0</v>
      </c>
      <c r="K150" s="153">
        <f t="shared" si="120"/>
        <v>4.291534423828125E-6</v>
      </c>
      <c r="L150" s="153">
        <f t="shared" si="120"/>
        <v>1.2665987014770508E-5</v>
      </c>
      <c r="M150" s="153">
        <f t="shared" si="120"/>
        <v>4.4256448745727539E-6</v>
      </c>
      <c r="N150" s="153">
        <f t="shared" si="120"/>
        <v>2.1308660507202148E-6</v>
      </c>
      <c r="O150" s="153">
        <f t="shared" si="120"/>
        <v>-9.6857547760009766E-8</v>
      </c>
      <c r="P150" s="162">
        <f t="shared" si="111"/>
        <v>0</v>
      </c>
      <c r="Q150" s="162">
        <f t="shared" si="112"/>
        <v>6.6757202148437499E-12</v>
      </c>
      <c r="R150" s="162">
        <f t="shared" si="112"/>
        <v>-5.9604644775390628E-12</v>
      </c>
      <c r="S150" s="162">
        <f t="shared" si="112"/>
        <v>1.8477439880371095E-12</v>
      </c>
      <c r="T150" s="162">
        <f t="shared" si="113"/>
        <v>-8.3446502685546874E-13</v>
      </c>
      <c r="U150" s="162">
        <f t="shared" si="113"/>
        <v>0</v>
      </c>
      <c r="V150" s="162">
        <f t="shared" si="113"/>
        <v>5.4836273193359375E-12</v>
      </c>
      <c r="W150" s="162">
        <f t="shared" si="114"/>
        <v>4.2915344238281251E-12</v>
      </c>
      <c r="X150" s="162">
        <f t="shared" si="114"/>
        <v>1.2665987014770507E-11</v>
      </c>
      <c r="Y150" s="162">
        <f t="shared" si="114"/>
        <v>4.425644874572754E-12</v>
      </c>
      <c r="Z150" s="162">
        <f t="shared" si="115"/>
        <v>2.1308660507202149E-12</v>
      </c>
      <c r="AA150" s="162">
        <f t="shared" si="115"/>
        <v>-9.685754776000976E-14</v>
      </c>
      <c r="AB150" s="162" t="e">
        <f t="shared" si="116"/>
        <v>#DIV/0!</v>
      </c>
      <c r="AC150" s="162">
        <f t="shared" si="116"/>
        <v>64.285714285714278</v>
      </c>
      <c r="AD150" s="162">
        <f t="shared" si="116"/>
        <v>-212.5</v>
      </c>
      <c r="AE150" s="162">
        <f t="shared" si="116"/>
        <v>239.51612903225808</v>
      </c>
      <c r="AF150" s="162">
        <f t="shared" si="116"/>
        <v>-255.35714285714286</v>
      </c>
      <c r="AG150" s="163" t="e">
        <f t="shared" si="116"/>
        <v>#DIV/0!</v>
      </c>
      <c r="AH150" s="30"/>
    </row>
    <row r="151" spans="1:34" s="42" customFormat="1" hidden="1" x14ac:dyDescent="0.25">
      <c r="A151" s="164"/>
      <c r="B151" s="153">
        <f>+B142+B135</f>
        <v>0</v>
      </c>
      <c r="C151" s="153">
        <f t="shared" ref="C151:O151" si="121">+C142+C135</f>
        <v>0</v>
      </c>
      <c r="D151" s="153">
        <f t="shared" si="121"/>
        <v>0</v>
      </c>
      <c r="E151" s="153">
        <f t="shared" si="121"/>
        <v>0</v>
      </c>
      <c r="F151" s="153">
        <f t="shared" si="121"/>
        <v>0</v>
      </c>
      <c r="G151" s="153">
        <f t="shared" si="121"/>
        <v>0</v>
      </c>
      <c r="H151" s="153">
        <f t="shared" si="121"/>
        <v>0</v>
      </c>
      <c r="I151" s="153">
        <f t="shared" si="121"/>
        <v>0</v>
      </c>
      <c r="J151" s="153">
        <f t="shared" si="121"/>
        <v>0</v>
      </c>
      <c r="K151" s="153">
        <f t="shared" si="121"/>
        <v>0</v>
      </c>
      <c r="L151" s="153">
        <f t="shared" si="121"/>
        <v>0</v>
      </c>
      <c r="M151" s="153">
        <f t="shared" si="121"/>
        <v>0</v>
      </c>
      <c r="N151" s="153">
        <f t="shared" si="121"/>
        <v>0</v>
      </c>
      <c r="O151" s="153">
        <f t="shared" si="121"/>
        <v>0</v>
      </c>
      <c r="P151" s="153">
        <f t="shared" si="111"/>
        <v>0</v>
      </c>
      <c r="Q151" s="153"/>
      <c r="R151" s="153"/>
      <c r="S151" s="153"/>
      <c r="T151" s="153"/>
      <c r="U151" s="153"/>
      <c r="V151" s="153"/>
      <c r="W151" s="153"/>
      <c r="X151" s="153"/>
      <c r="Y151" s="153"/>
      <c r="Z151" s="153"/>
      <c r="AA151" s="153"/>
      <c r="AB151" s="165"/>
      <c r="AC151" s="165"/>
      <c r="AD151" s="165"/>
      <c r="AE151" s="165"/>
      <c r="AF151" s="165"/>
      <c r="AG151" s="166"/>
      <c r="AH151" s="165"/>
    </row>
    <row r="152" spans="1:34" s="42" customFormat="1" ht="13.8" thickTop="1" x14ac:dyDescent="0.25">
      <c r="A152" s="164"/>
      <c r="B152" s="153"/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  <c r="Z152" s="153"/>
      <c r="AA152" s="153"/>
      <c r="AB152" s="165"/>
      <c r="AC152" s="165"/>
      <c r="AD152" s="165"/>
      <c r="AE152" s="165"/>
      <c r="AF152" s="165"/>
      <c r="AG152" s="165"/>
      <c r="AH152" s="165"/>
    </row>
    <row r="153" spans="1:34" s="42" customFormat="1" x14ac:dyDescent="0.25">
      <c r="A153" s="164"/>
      <c r="B153" s="153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65"/>
      <c r="AC153" s="165"/>
      <c r="AD153" s="165"/>
      <c r="AE153" s="165"/>
      <c r="AF153" s="165"/>
      <c r="AG153" s="165"/>
      <c r="AH153" s="165"/>
    </row>
    <row r="154" spans="1:34" s="42" customFormat="1" x14ac:dyDescent="0.25">
      <c r="A154" s="164"/>
      <c r="B154" s="153"/>
      <c r="C154" s="153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  <c r="O154" s="153"/>
      <c r="P154" s="153"/>
      <c r="Q154" s="153"/>
      <c r="R154" s="153"/>
      <c r="S154" s="153"/>
      <c r="T154" s="153"/>
      <c r="U154" s="153"/>
      <c r="V154" s="153"/>
      <c r="W154" s="153"/>
      <c r="X154" s="153"/>
      <c r="Y154" s="153"/>
      <c r="Z154" s="153"/>
      <c r="AA154" s="153"/>
      <c r="AB154" s="165"/>
      <c r="AC154" s="165"/>
      <c r="AD154" s="165"/>
      <c r="AE154" s="165"/>
      <c r="AF154" s="165"/>
      <c r="AG154" s="165"/>
      <c r="AH154" s="165"/>
    </row>
    <row r="155" spans="1:34" s="168" customFormat="1" ht="15.6" customHeight="1" thickBot="1" x14ac:dyDescent="0.3">
      <c r="A155" s="455" t="s">
        <v>118</v>
      </c>
      <c r="B155" s="455"/>
      <c r="C155" s="455"/>
      <c r="D155" s="455"/>
      <c r="E155" s="455"/>
      <c r="F155" s="455"/>
      <c r="G155" s="455"/>
      <c r="H155" s="455"/>
      <c r="I155" s="455"/>
      <c r="J155" s="455"/>
      <c r="K155" s="455"/>
      <c r="L155" s="455"/>
      <c r="M155" s="455"/>
      <c r="N155" s="455"/>
      <c r="O155" s="455"/>
      <c r="P155" s="455"/>
      <c r="Q155" s="455"/>
      <c r="R155" s="455"/>
      <c r="S155" s="455"/>
      <c r="T155" s="455"/>
      <c r="U155" s="455"/>
      <c r="V155" s="455"/>
      <c r="W155" s="455"/>
      <c r="X155" s="455"/>
      <c r="Y155" s="455"/>
      <c r="Z155" s="455"/>
      <c r="AA155" s="455"/>
      <c r="AB155" s="455"/>
      <c r="AC155" s="455"/>
      <c r="AD155" s="455"/>
      <c r="AE155" s="455"/>
      <c r="AF155" s="455"/>
      <c r="AG155" s="455"/>
      <c r="AH155" s="167"/>
    </row>
    <row r="156" spans="1:34" s="168" customFormat="1" ht="13.8" thickTop="1" x14ac:dyDescent="0.25">
      <c r="A156" s="448" t="s">
        <v>0</v>
      </c>
      <c r="B156" s="450" t="s">
        <v>119</v>
      </c>
      <c r="C156" s="450"/>
      <c r="D156" s="450"/>
      <c r="E156" s="450"/>
      <c r="F156" s="450"/>
      <c r="G156" s="450"/>
      <c r="H156" s="450"/>
      <c r="I156" s="450" t="s">
        <v>399</v>
      </c>
      <c r="J156" s="450"/>
      <c r="K156" s="450"/>
      <c r="L156" s="450"/>
      <c r="M156" s="450"/>
      <c r="N156" s="450"/>
      <c r="O156" s="450"/>
      <c r="P156" s="450" t="s">
        <v>120</v>
      </c>
      <c r="Q156" s="450"/>
      <c r="R156" s="450"/>
      <c r="S156" s="450"/>
      <c r="T156" s="450"/>
      <c r="U156" s="450"/>
      <c r="V156" s="450" t="s">
        <v>400</v>
      </c>
      <c r="W156" s="450"/>
      <c r="X156" s="450"/>
      <c r="Y156" s="450"/>
      <c r="Z156" s="450"/>
      <c r="AA156" s="450"/>
      <c r="AB156" s="450" t="s">
        <v>121</v>
      </c>
      <c r="AC156" s="450"/>
      <c r="AD156" s="450"/>
      <c r="AE156" s="450"/>
      <c r="AF156" s="450"/>
      <c r="AG156" s="451"/>
      <c r="AH156" s="10"/>
    </row>
    <row r="157" spans="1:34" s="168" customFormat="1" x14ac:dyDescent="0.25">
      <c r="A157" s="449"/>
      <c r="B157" s="444" t="s">
        <v>2</v>
      </c>
      <c r="C157" s="443" t="s">
        <v>3</v>
      </c>
      <c r="D157" s="443"/>
      <c r="E157" s="443"/>
      <c r="F157" s="443"/>
      <c r="G157" s="443"/>
      <c r="H157" s="443"/>
      <c r="I157" s="444" t="s">
        <v>2</v>
      </c>
      <c r="J157" s="11"/>
      <c r="K157" s="443" t="s">
        <v>3</v>
      </c>
      <c r="L157" s="443"/>
      <c r="M157" s="443"/>
      <c r="N157" s="443"/>
      <c r="O157" s="443"/>
      <c r="P157" s="444" t="s">
        <v>2</v>
      </c>
      <c r="Q157" s="443" t="s">
        <v>4</v>
      </c>
      <c r="R157" s="443"/>
      <c r="S157" s="443"/>
      <c r="T157" s="443"/>
      <c r="U157" s="443"/>
      <c r="V157" s="444" t="s">
        <v>2</v>
      </c>
      <c r="W157" s="443" t="s">
        <v>4</v>
      </c>
      <c r="X157" s="443"/>
      <c r="Y157" s="443"/>
      <c r="Z157" s="443"/>
      <c r="AA157" s="443"/>
      <c r="AB157" s="444" t="s">
        <v>2</v>
      </c>
      <c r="AC157" s="443" t="s">
        <v>4</v>
      </c>
      <c r="AD157" s="443"/>
      <c r="AE157" s="443"/>
      <c r="AF157" s="443"/>
      <c r="AG157" s="445"/>
      <c r="AH157" s="10"/>
    </row>
    <row r="158" spans="1:34" s="168" customFormat="1" x14ac:dyDescent="0.25">
      <c r="A158" s="449"/>
      <c r="B158" s="444"/>
      <c r="C158" s="454" t="s">
        <v>5</v>
      </c>
      <c r="D158" s="444" t="s">
        <v>6</v>
      </c>
      <c r="E158" s="444" t="s">
        <v>7</v>
      </c>
      <c r="F158" s="447" t="s">
        <v>8</v>
      </c>
      <c r="G158" s="447"/>
      <c r="H158" s="447"/>
      <c r="I158" s="444"/>
      <c r="J158" s="454" t="s">
        <v>5</v>
      </c>
      <c r="K158" s="444" t="s">
        <v>6</v>
      </c>
      <c r="L158" s="444" t="s">
        <v>7</v>
      </c>
      <c r="M158" s="447" t="s">
        <v>8</v>
      </c>
      <c r="N158" s="447"/>
      <c r="O158" s="447"/>
      <c r="P158" s="444"/>
      <c r="Q158" s="444" t="s">
        <v>6</v>
      </c>
      <c r="R158" s="446" t="s">
        <v>7</v>
      </c>
      <c r="S158" s="447" t="s">
        <v>8</v>
      </c>
      <c r="T158" s="447"/>
      <c r="U158" s="447"/>
      <c r="V158" s="444"/>
      <c r="W158" s="444" t="s">
        <v>6</v>
      </c>
      <c r="X158" s="446" t="s">
        <v>7</v>
      </c>
      <c r="Y158" s="447" t="s">
        <v>8</v>
      </c>
      <c r="Z158" s="447"/>
      <c r="AA158" s="447"/>
      <c r="AB158" s="444"/>
      <c r="AC158" s="446" t="s">
        <v>6</v>
      </c>
      <c r="AD158" s="446" t="s">
        <v>7</v>
      </c>
      <c r="AE158" s="452" t="s">
        <v>8</v>
      </c>
      <c r="AF158" s="452"/>
      <c r="AG158" s="453"/>
      <c r="AH158" s="12"/>
    </row>
    <row r="159" spans="1:34" s="168" customFormat="1" ht="48" customHeight="1" x14ac:dyDescent="0.25">
      <c r="A159" s="449"/>
      <c r="B159" s="444"/>
      <c r="C159" s="454"/>
      <c r="D159" s="444"/>
      <c r="E159" s="444"/>
      <c r="F159" s="13" t="s">
        <v>9</v>
      </c>
      <c r="G159" s="13" t="s">
        <v>10</v>
      </c>
      <c r="H159" s="13" t="s">
        <v>11</v>
      </c>
      <c r="I159" s="444"/>
      <c r="J159" s="454"/>
      <c r="K159" s="444"/>
      <c r="L159" s="444"/>
      <c r="M159" s="13" t="s">
        <v>9</v>
      </c>
      <c r="N159" s="13" t="s">
        <v>10</v>
      </c>
      <c r="O159" s="13" t="s">
        <v>11</v>
      </c>
      <c r="P159" s="444"/>
      <c r="Q159" s="444"/>
      <c r="R159" s="446"/>
      <c r="S159" s="13" t="s">
        <v>9</v>
      </c>
      <c r="T159" s="13" t="s">
        <v>10</v>
      </c>
      <c r="U159" s="13" t="s">
        <v>11</v>
      </c>
      <c r="V159" s="444"/>
      <c r="W159" s="444"/>
      <c r="X159" s="446"/>
      <c r="Y159" s="13" t="s">
        <v>9</v>
      </c>
      <c r="Z159" s="13" t="s">
        <v>10</v>
      </c>
      <c r="AA159" s="13" t="s">
        <v>11</v>
      </c>
      <c r="AB159" s="444"/>
      <c r="AC159" s="446"/>
      <c r="AD159" s="446"/>
      <c r="AE159" s="14" t="s">
        <v>9</v>
      </c>
      <c r="AF159" s="14" t="s">
        <v>10</v>
      </c>
      <c r="AG159" s="15" t="s">
        <v>12</v>
      </c>
      <c r="AH159" s="16"/>
    </row>
    <row r="160" spans="1:34" s="42" customFormat="1" ht="26.4" x14ac:dyDescent="0.25">
      <c r="A160" s="35" t="s">
        <v>131</v>
      </c>
      <c r="B160" s="170">
        <f>D160+E160</f>
        <v>3294839205.3000002</v>
      </c>
      <c r="C160" s="171"/>
      <c r="D160" s="171">
        <v>2513267862.5599999</v>
      </c>
      <c r="E160" s="170">
        <f>F160+G160+H160</f>
        <v>781571342.74000001</v>
      </c>
      <c r="F160" s="171">
        <v>260488923.30000001</v>
      </c>
      <c r="G160" s="171">
        <v>302247654.58999997</v>
      </c>
      <c r="H160" s="171">
        <v>218834764.85000002</v>
      </c>
      <c r="I160" s="170">
        <f>K160+L160</f>
        <v>2518156337.5300002</v>
      </c>
      <c r="J160" s="171"/>
      <c r="K160" s="171">
        <f>1733962.13862*1000</f>
        <v>1733962138.6200001</v>
      </c>
      <c r="L160" s="170">
        <f>M160+N160+O160</f>
        <v>784194198.90999997</v>
      </c>
      <c r="M160" s="171">
        <f>307808.12091*1000</f>
        <v>307808120.91000003</v>
      </c>
      <c r="N160" s="171">
        <f>310101.3666*1000</f>
        <v>310101366.60000002</v>
      </c>
      <c r="O160" s="171">
        <f>166284.7114*1000</f>
        <v>166284711.40000001</v>
      </c>
      <c r="P160" s="38">
        <f>B160/1000000</f>
        <v>3294.8392053000002</v>
      </c>
      <c r="Q160" s="38">
        <f t="shared" ref="Q160:V162" si="122">D160/1000000</f>
        <v>2513.2678625600001</v>
      </c>
      <c r="R160" s="38">
        <f t="shared" si="122"/>
        <v>781.57134273999998</v>
      </c>
      <c r="S160" s="38">
        <f t="shared" si="122"/>
        <v>260.48892330000001</v>
      </c>
      <c r="T160" s="38">
        <f t="shared" si="122"/>
        <v>302.24765458999997</v>
      </c>
      <c r="U160" s="38">
        <f t="shared" si="122"/>
        <v>218.83476485000003</v>
      </c>
      <c r="V160" s="38">
        <f t="shared" si="122"/>
        <v>2518.1563375300002</v>
      </c>
      <c r="W160" s="38">
        <f t="shared" ref="W160:AA163" si="123">K160/1000000</f>
        <v>1733.9621386200001</v>
      </c>
      <c r="X160" s="38">
        <f t="shared" si="123"/>
        <v>784.19419890999995</v>
      </c>
      <c r="Y160" s="38">
        <f t="shared" si="123"/>
        <v>307.80812091000001</v>
      </c>
      <c r="Z160" s="38">
        <f t="shared" si="123"/>
        <v>310.10136660000001</v>
      </c>
      <c r="AA160" s="38">
        <f t="shared" si="123"/>
        <v>166.28471139999999</v>
      </c>
      <c r="AB160" s="38">
        <f>V160-P160</f>
        <v>-776.68286777000003</v>
      </c>
      <c r="AC160" s="38">
        <f>W160-Q160</f>
        <v>-779.30572394000001</v>
      </c>
      <c r="AD160" s="38">
        <f>X160-R160</f>
        <v>2.6228561699999773</v>
      </c>
      <c r="AE160" s="38">
        <f t="shared" ref="AE160:AG163" si="124">Y160-S160</f>
        <v>47.319197610000003</v>
      </c>
      <c r="AF160" s="38">
        <f t="shared" si="124"/>
        <v>7.8537120100000379</v>
      </c>
      <c r="AG160" s="39">
        <f t="shared" si="124"/>
        <v>-52.550053450000036</v>
      </c>
      <c r="AH160" s="40"/>
    </row>
    <row r="161" spans="1:37" x14ac:dyDescent="0.25">
      <c r="A161" s="108" t="s">
        <v>122</v>
      </c>
      <c r="B161" s="172">
        <f>D161+E161</f>
        <v>212292841.52000001</v>
      </c>
      <c r="C161" s="25"/>
      <c r="D161" s="131">
        <v>137985.51999999999</v>
      </c>
      <c r="E161" s="172">
        <f t="shared" ref="E161:E168" si="125">F161+G161+H161</f>
        <v>212154856</v>
      </c>
      <c r="F161" s="25">
        <v>37540806.210000001</v>
      </c>
      <c r="G161" s="25">
        <v>59811440.700000003</v>
      </c>
      <c r="H161" s="25">
        <v>114802609.08999999</v>
      </c>
      <c r="I161" s="172">
        <f>K161+L161</f>
        <v>136345386.65000001</v>
      </c>
      <c r="J161" s="25"/>
      <c r="K161" s="131">
        <v>216902.13</v>
      </c>
      <c r="L161" s="172">
        <f t="shared" ref="L161:L168" si="126">M161+N161+O161</f>
        <v>136128484.52000001</v>
      </c>
      <c r="M161" s="25">
        <v>1832097.35</v>
      </c>
      <c r="N161" s="25">
        <v>111224888.26000001</v>
      </c>
      <c r="O161" s="25">
        <v>23071498.91</v>
      </c>
      <c r="P161" s="33">
        <f>B161/1000000</f>
        <v>212.29284152000002</v>
      </c>
      <c r="Q161" s="33">
        <f t="shared" si="122"/>
        <v>0.13798552</v>
      </c>
      <c r="R161" s="33">
        <f t="shared" si="122"/>
        <v>212.154856</v>
      </c>
      <c r="S161" s="33">
        <f t="shared" si="122"/>
        <v>37.54080621</v>
      </c>
      <c r="T161" s="33">
        <f t="shared" si="122"/>
        <v>59.811440700000006</v>
      </c>
      <c r="U161" s="33">
        <f t="shared" si="122"/>
        <v>114.80260908999999</v>
      </c>
      <c r="V161" s="32">
        <f t="shared" si="122"/>
        <v>136.34538664999999</v>
      </c>
      <c r="W161" s="32">
        <f t="shared" si="123"/>
        <v>0.21690213</v>
      </c>
      <c r="X161" s="32">
        <f t="shared" si="123"/>
        <v>136.12848452</v>
      </c>
      <c r="Y161" s="32">
        <f t="shared" si="123"/>
        <v>1.8320973500000002</v>
      </c>
      <c r="Z161" s="32">
        <f t="shared" si="123"/>
        <v>111.22488826</v>
      </c>
      <c r="AA161" s="32">
        <f t="shared" si="123"/>
        <v>23.071498909999999</v>
      </c>
      <c r="AB161" s="32">
        <f t="shared" ref="AB161:AG168" si="127">V161-P161</f>
        <v>-75.94745487000003</v>
      </c>
      <c r="AC161" s="32">
        <f t="shared" si="127"/>
        <v>7.8916609999999998E-2</v>
      </c>
      <c r="AD161" s="32">
        <f t="shared" si="127"/>
        <v>-76.026371479999995</v>
      </c>
      <c r="AE161" s="32">
        <f t="shared" si="124"/>
        <v>-35.708708860000002</v>
      </c>
      <c r="AF161" s="32">
        <f t="shared" si="124"/>
        <v>51.413447559999994</v>
      </c>
      <c r="AG161" s="34">
        <f t="shared" si="124"/>
        <v>-91.731110179999988</v>
      </c>
      <c r="AH161" s="30"/>
    </row>
    <row r="162" spans="1:37" x14ac:dyDescent="0.25">
      <c r="A162" s="108" t="s">
        <v>123</v>
      </c>
      <c r="B162" s="172">
        <f>D162+E162</f>
        <v>74274706.61999999</v>
      </c>
      <c r="C162" s="25"/>
      <c r="D162" s="173">
        <v>137985.51999999999</v>
      </c>
      <c r="E162" s="172">
        <f t="shared" si="125"/>
        <v>74136721.099999994</v>
      </c>
      <c r="F162" s="25">
        <v>29525567.52</v>
      </c>
      <c r="G162" s="25">
        <v>44605367</v>
      </c>
      <c r="H162" s="131">
        <v>5786.58</v>
      </c>
      <c r="I162" s="172">
        <f>K162+L162</f>
        <v>31175532.649999999</v>
      </c>
      <c r="J162" s="25"/>
      <c r="K162" s="173">
        <v>216902.13</v>
      </c>
      <c r="L162" s="172">
        <f t="shared" si="126"/>
        <v>30958630.52</v>
      </c>
      <c r="M162" s="25">
        <v>240158.07</v>
      </c>
      <c r="N162" s="25">
        <v>29381265.579999998</v>
      </c>
      <c r="O162" s="131">
        <v>1337206.8700000001</v>
      </c>
      <c r="P162" s="33">
        <f>B162/1000000</f>
        <v>74.274706619999989</v>
      </c>
      <c r="Q162" s="33">
        <f t="shared" si="122"/>
        <v>0.13798552</v>
      </c>
      <c r="R162" s="33">
        <f t="shared" si="122"/>
        <v>74.136721099999988</v>
      </c>
      <c r="S162" s="33">
        <f t="shared" si="122"/>
        <v>29.525567519999999</v>
      </c>
      <c r="T162" s="33">
        <f t="shared" si="122"/>
        <v>44.605367000000001</v>
      </c>
      <c r="U162" s="33">
        <f t="shared" si="122"/>
        <v>5.7865799999999995E-3</v>
      </c>
      <c r="V162" s="32">
        <f t="shared" si="122"/>
        <v>31.175532649999997</v>
      </c>
      <c r="W162" s="32">
        <f t="shared" si="123"/>
        <v>0.21690213</v>
      </c>
      <c r="X162" s="32">
        <f t="shared" si="123"/>
        <v>30.95863052</v>
      </c>
      <c r="Y162" s="32">
        <f t="shared" si="123"/>
        <v>0.24015807</v>
      </c>
      <c r="Z162" s="32">
        <f t="shared" si="123"/>
        <v>29.381265579999997</v>
      </c>
      <c r="AA162" s="32">
        <f t="shared" si="123"/>
        <v>1.3372068700000002</v>
      </c>
      <c r="AB162" s="32">
        <f t="shared" si="127"/>
        <v>-43.099173969999995</v>
      </c>
      <c r="AC162" s="32">
        <f t="shared" si="127"/>
        <v>7.8916609999999998E-2</v>
      </c>
      <c r="AD162" s="32">
        <f t="shared" si="127"/>
        <v>-43.178090579999989</v>
      </c>
      <c r="AE162" s="32">
        <f t="shared" si="124"/>
        <v>-29.28540945</v>
      </c>
      <c r="AF162" s="32">
        <f t="shared" si="124"/>
        <v>-15.224101420000004</v>
      </c>
      <c r="AG162" s="34">
        <f t="shared" si="124"/>
        <v>1.3314202900000001</v>
      </c>
      <c r="AH162" s="30"/>
    </row>
    <row r="163" spans="1:37" x14ac:dyDescent="0.25">
      <c r="A163" s="108" t="s">
        <v>124</v>
      </c>
      <c r="B163" s="172">
        <f>E163</f>
        <v>138018134.90000001</v>
      </c>
      <c r="C163" s="25"/>
      <c r="D163" s="25"/>
      <c r="E163" s="172">
        <f t="shared" si="125"/>
        <v>138018134.90000001</v>
      </c>
      <c r="F163" s="174">
        <f>F161-F162</f>
        <v>8015238.6900000013</v>
      </c>
      <c r="G163" s="174">
        <f>G161-G162</f>
        <v>15206073.700000003</v>
      </c>
      <c r="H163" s="174">
        <f>H161-H162</f>
        <v>114796822.50999999</v>
      </c>
      <c r="I163" s="172">
        <f>L163</f>
        <v>105169854</v>
      </c>
      <c r="J163" s="25"/>
      <c r="K163" s="25"/>
      <c r="L163" s="172">
        <f t="shared" si="126"/>
        <v>105169854</v>
      </c>
      <c r="M163" s="174">
        <f>M161-M162</f>
        <v>1591939.28</v>
      </c>
      <c r="N163" s="174">
        <f>N161-N162</f>
        <v>81843622.680000007</v>
      </c>
      <c r="O163" s="174">
        <f>O161-O162</f>
        <v>21734292.039999999</v>
      </c>
      <c r="P163" s="33">
        <f>B163/1000000</f>
        <v>138.01813490000001</v>
      </c>
      <c r="Q163" s="33"/>
      <c r="R163" s="33">
        <f>E163/1000000</f>
        <v>138.01813490000001</v>
      </c>
      <c r="S163" s="33">
        <f>F163/1000000</f>
        <v>8.0152386900000021</v>
      </c>
      <c r="T163" s="33">
        <f>G163/1000000</f>
        <v>15.206073700000003</v>
      </c>
      <c r="U163" s="33">
        <f>H163/1000000</f>
        <v>114.79682250999998</v>
      </c>
      <c r="V163" s="32">
        <f>I163/1000000</f>
        <v>105.169854</v>
      </c>
      <c r="W163" s="32"/>
      <c r="X163" s="32">
        <f>L163/1000000</f>
        <v>105.169854</v>
      </c>
      <c r="Y163" s="32">
        <f>M163/1000000</f>
        <v>1.5919392800000001</v>
      </c>
      <c r="Z163" s="32">
        <f t="shared" si="123"/>
        <v>81.84362268000001</v>
      </c>
      <c r="AA163" s="32">
        <f t="shared" si="123"/>
        <v>21.73429204</v>
      </c>
      <c r="AB163" s="32">
        <f t="shared" si="127"/>
        <v>-32.848280900000006</v>
      </c>
      <c r="AC163" s="54" t="s">
        <v>30</v>
      </c>
      <c r="AD163" s="32">
        <f t="shared" si="127"/>
        <v>-32.848280900000006</v>
      </c>
      <c r="AE163" s="32">
        <f t="shared" si="124"/>
        <v>-6.423299410000002</v>
      </c>
      <c r="AF163" s="32">
        <f t="shared" si="124"/>
        <v>66.637548980000005</v>
      </c>
      <c r="AG163" s="34">
        <f t="shared" si="124"/>
        <v>-93.062530469999984</v>
      </c>
      <c r="AH163" s="30"/>
    </row>
    <row r="164" spans="1:37" s="42" customFormat="1" ht="26.4" x14ac:dyDescent="0.25">
      <c r="A164" s="35" t="s">
        <v>230</v>
      </c>
      <c r="B164" s="170">
        <f>D164+E164</f>
        <v>366441024.36000001</v>
      </c>
      <c r="C164" s="175"/>
      <c r="D164" s="175"/>
      <c r="E164" s="170">
        <f t="shared" si="125"/>
        <v>366441024.36000001</v>
      </c>
      <c r="F164" s="171">
        <f>57944.2187*1000</f>
        <v>57944218.699999996</v>
      </c>
      <c r="G164" s="171">
        <f>192493.45262*1000</f>
        <v>192493452.62</v>
      </c>
      <c r="H164" s="171">
        <f>116003.35304*1000</f>
        <v>116003353.04000001</v>
      </c>
      <c r="I164" s="170">
        <f>K164+L164</f>
        <v>264996853.89999998</v>
      </c>
      <c r="J164" s="175"/>
      <c r="K164" s="175"/>
      <c r="L164" s="170">
        <f>M164+N164+O164-1709254</f>
        <v>264996853.89999998</v>
      </c>
      <c r="M164" s="171">
        <f>48884.86441*1000</f>
        <v>48884864.410000004</v>
      </c>
      <c r="N164" s="171">
        <f>127598.16713*1000</f>
        <v>127598167.13</v>
      </c>
      <c r="O164" s="171">
        <f>90223.07636*1000</f>
        <v>90223076.359999999</v>
      </c>
      <c r="P164" s="38">
        <f t="shared" ref="P164" si="128">B164/1000000</f>
        <v>366.44102436000003</v>
      </c>
      <c r="Q164" s="38">
        <f t="shared" ref="Q164:V164" si="129">D164/1000000</f>
        <v>0</v>
      </c>
      <c r="R164" s="38">
        <f t="shared" si="129"/>
        <v>366.44102436000003</v>
      </c>
      <c r="S164" s="38">
        <f t="shared" si="129"/>
        <v>57.944218699999993</v>
      </c>
      <c r="T164" s="38">
        <f t="shared" si="129"/>
        <v>192.49345262</v>
      </c>
      <c r="U164" s="38">
        <f t="shared" si="129"/>
        <v>116.00335304000001</v>
      </c>
      <c r="V164" s="38">
        <f t="shared" si="129"/>
        <v>264.99685389999996</v>
      </c>
      <c r="W164" s="38">
        <f t="shared" ref="W164:AA164" si="130">K164/1000000</f>
        <v>0</v>
      </c>
      <c r="X164" s="38">
        <f t="shared" si="130"/>
        <v>264.99685389999996</v>
      </c>
      <c r="Y164" s="38">
        <f t="shared" si="130"/>
        <v>48.884864410000006</v>
      </c>
      <c r="Z164" s="38">
        <f t="shared" si="130"/>
        <v>127.59816712999999</v>
      </c>
      <c r="AA164" s="38">
        <f t="shared" si="130"/>
        <v>90.223076359999993</v>
      </c>
      <c r="AB164" s="38">
        <f t="shared" si="127"/>
        <v>-101.44417046000007</v>
      </c>
      <c r="AC164" s="38">
        <f t="shared" si="127"/>
        <v>0</v>
      </c>
      <c r="AD164" s="38">
        <f t="shared" si="127"/>
        <v>-101.44417046000007</v>
      </c>
      <c r="AE164" s="38">
        <f t="shared" si="127"/>
        <v>-9.0593542899999875</v>
      </c>
      <c r="AF164" s="38">
        <f t="shared" si="127"/>
        <v>-64.895285490000006</v>
      </c>
      <c r="AG164" s="39">
        <f t="shared" si="127"/>
        <v>-25.780276680000014</v>
      </c>
      <c r="AH164" s="40"/>
      <c r="AI164" s="3">
        <f t="shared" ref="AI164" si="131">AD164*1000</f>
        <v>-101444.17046000007</v>
      </c>
      <c r="AJ164" s="68">
        <f>V164/P164%-100</f>
        <v>-27.683628119197436</v>
      </c>
      <c r="AK164" s="68">
        <f>X164/R164%-100</f>
        <v>-27.683628119197436</v>
      </c>
    </row>
    <row r="165" spans="1:37" s="42" customFormat="1" x14ac:dyDescent="0.25">
      <c r="A165" s="35" t="s">
        <v>125</v>
      </c>
      <c r="B165" s="170">
        <f>D165+E165-C165</f>
        <v>44335578640.080002</v>
      </c>
      <c r="C165" s="176">
        <f>C166</f>
        <v>711466665</v>
      </c>
      <c r="D165" s="176">
        <f>D166+D167+D168</f>
        <v>41015372215.080002</v>
      </c>
      <c r="E165" s="170">
        <f t="shared" si="125"/>
        <v>4031673090</v>
      </c>
      <c r="F165" s="176">
        <f>F166+F167+F168</f>
        <v>3675514090</v>
      </c>
      <c r="G165" s="176">
        <f>G166+G167+G168</f>
        <v>331559000</v>
      </c>
      <c r="H165" s="176">
        <f>H166+H167+H168</f>
        <v>24600000</v>
      </c>
      <c r="I165" s="170">
        <f>K165+L165-J165</f>
        <v>44345034457.080002</v>
      </c>
      <c r="J165" s="176">
        <f>J166</f>
        <v>711466665</v>
      </c>
      <c r="K165" s="176">
        <f>K166+K167+K168</f>
        <v>40916650033.080002</v>
      </c>
      <c r="L165" s="170">
        <f t="shared" si="126"/>
        <v>4139851089</v>
      </c>
      <c r="M165" s="176">
        <f>M166+M167+M168</f>
        <v>3685214089</v>
      </c>
      <c r="N165" s="176">
        <f>N166+N167+N168</f>
        <v>426337000</v>
      </c>
      <c r="O165" s="176">
        <f>O166+O167+O168</f>
        <v>28300000</v>
      </c>
      <c r="P165" s="38">
        <f t="shared" ref="P165:P168" si="132">B165/1000000</f>
        <v>44335.578640079999</v>
      </c>
      <c r="Q165" s="38">
        <f t="shared" ref="Q165:V168" si="133">D165/1000000</f>
        <v>41015.372215080002</v>
      </c>
      <c r="R165" s="38">
        <f t="shared" si="133"/>
        <v>4031.6730899999998</v>
      </c>
      <c r="S165" s="38">
        <f t="shared" si="133"/>
        <v>3675.5140900000001</v>
      </c>
      <c r="T165" s="38">
        <f t="shared" si="133"/>
        <v>331.55900000000003</v>
      </c>
      <c r="U165" s="38">
        <f t="shared" si="133"/>
        <v>24.6</v>
      </c>
      <c r="V165" s="38">
        <f t="shared" si="133"/>
        <v>44345.034457080001</v>
      </c>
      <c r="W165" s="38">
        <f t="shared" ref="W165:AA168" si="134">K165/1000000</f>
        <v>40916.650033080005</v>
      </c>
      <c r="X165" s="38">
        <f t="shared" si="134"/>
        <v>4139.8510889999998</v>
      </c>
      <c r="Y165" s="38">
        <f t="shared" si="134"/>
        <v>3685.2140890000001</v>
      </c>
      <c r="Z165" s="38">
        <f t="shared" si="134"/>
        <v>426.33699999999999</v>
      </c>
      <c r="AA165" s="38">
        <f t="shared" si="134"/>
        <v>28.3</v>
      </c>
      <c r="AB165" s="38">
        <f t="shared" si="127"/>
        <v>9.4558170000018436</v>
      </c>
      <c r="AC165" s="38">
        <f t="shared" si="127"/>
        <v>-98.722181999997701</v>
      </c>
      <c r="AD165" s="38">
        <f t="shared" si="127"/>
        <v>108.177999</v>
      </c>
      <c r="AE165" s="38">
        <f t="shared" si="127"/>
        <v>9.6999989999999343</v>
      </c>
      <c r="AF165" s="38">
        <f t="shared" si="127"/>
        <v>94.777999999999963</v>
      </c>
      <c r="AG165" s="39">
        <f t="shared" si="127"/>
        <v>3.6999999999999993</v>
      </c>
      <c r="AH165" s="40"/>
      <c r="AI165" s="3">
        <f t="shared" ref="AI165:AI168" si="135">AD165*1000</f>
        <v>108177.999</v>
      </c>
      <c r="AJ165" s="68"/>
    </row>
    <row r="166" spans="1:37" x14ac:dyDescent="0.25">
      <c r="A166" s="43" t="s">
        <v>126</v>
      </c>
      <c r="B166" s="172">
        <f>D166+E166-C166</f>
        <v>19970648015.080002</v>
      </c>
      <c r="C166" s="191">
        <v>711466665</v>
      </c>
      <c r="D166" s="131">
        <v>19970648015.080002</v>
      </c>
      <c r="E166" s="172">
        <f t="shared" si="125"/>
        <v>711466665</v>
      </c>
      <c r="F166" s="131">
        <v>711466665</v>
      </c>
      <c r="G166" s="131"/>
      <c r="H166" s="131"/>
      <c r="I166" s="172">
        <f>K166+L166-J166</f>
        <v>14826611015.08</v>
      </c>
      <c r="J166" s="25">
        <v>711466665</v>
      </c>
      <c r="K166" s="131">
        <f>14826.61101508*1000000</f>
        <v>14826611015.08</v>
      </c>
      <c r="L166" s="172">
        <f t="shared" si="126"/>
        <v>711466665</v>
      </c>
      <c r="M166" s="131">
        <v>711466665</v>
      </c>
      <c r="N166" s="131">
        <v>0</v>
      </c>
      <c r="O166" s="131">
        <v>0</v>
      </c>
      <c r="P166" s="32">
        <f t="shared" si="132"/>
        <v>19970.648015080002</v>
      </c>
      <c r="Q166" s="32">
        <f t="shared" si="133"/>
        <v>19970.648015080002</v>
      </c>
      <c r="R166" s="32">
        <f t="shared" si="133"/>
        <v>711.46666500000003</v>
      </c>
      <c r="S166" s="32">
        <f t="shared" si="133"/>
        <v>711.46666500000003</v>
      </c>
      <c r="T166" s="32">
        <f t="shared" si="133"/>
        <v>0</v>
      </c>
      <c r="U166" s="32">
        <f t="shared" si="133"/>
        <v>0</v>
      </c>
      <c r="V166" s="32">
        <f t="shared" si="133"/>
        <v>14826.61101508</v>
      </c>
      <c r="W166" s="32">
        <f>K166/1000000</f>
        <v>14826.61101508</v>
      </c>
      <c r="X166" s="32">
        <f t="shared" si="134"/>
        <v>711.46666500000003</v>
      </c>
      <c r="Y166" s="32">
        <f t="shared" si="134"/>
        <v>711.46666500000003</v>
      </c>
      <c r="Z166" s="32">
        <f t="shared" si="134"/>
        <v>0</v>
      </c>
      <c r="AA166" s="32">
        <f t="shared" si="134"/>
        <v>0</v>
      </c>
      <c r="AB166" s="32">
        <f t="shared" si="127"/>
        <v>-5144.0370000000021</v>
      </c>
      <c r="AC166" s="32">
        <f t="shared" si="127"/>
        <v>-5144.0370000000021</v>
      </c>
      <c r="AD166" s="32">
        <f t="shared" si="127"/>
        <v>0</v>
      </c>
      <c r="AE166" s="32">
        <f t="shared" si="127"/>
        <v>0</v>
      </c>
      <c r="AF166" s="32">
        <f t="shared" si="127"/>
        <v>0</v>
      </c>
      <c r="AG166" s="34">
        <f t="shared" si="127"/>
        <v>0</v>
      </c>
      <c r="AH166" s="30"/>
      <c r="AI166" s="3">
        <f t="shared" si="135"/>
        <v>0</v>
      </c>
    </row>
    <row r="167" spans="1:37" x14ac:dyDescent="0.25">
      <c r="A167" s="43" t="s">
        <v>127</v>
      </c>
      <c r="B167" s="172">
        <f>D167+E167</f>
        <v>23924930625</v>
      </c>
      <c r="C167" s="25"/>
      <c r="D167" s="131">
        <v>20604724200</v>
      </c>
      <c r="E167" s="172">
        <f t="shared" si="125"/>
        <v>3320206425</v>
      </c>
      <c r="F167" s="25">
        <v>2964047425</v>
      </c>
      <c r="G167" s="25">
        <v>331559000</v>
      </c>
      <c r="H167" s="25">
        <v>24600000</v>
      </c>
      <c r="I167" s="172">
        <f>K167+L167</f>
        <v>29078423442</v>
      </c>
      <c r="J167" s="25"/>
      <c r="K167" s="131">
        <f>25650.039018*1000000</f>
        <v>25650039018</v>
      </c>
      <c r="L167" s="172">
        <f t="shared" si="126"/>
        <v>3428384424</v>
      </c>
      <c r="M167" s="25">
        <v>2973747424</v>
      </c>
      <c r="N167" s="25">
        <v>426337000</v>
      </c>
      <c r="O167" s="25">
        <v>28300000</v>
      </c>
      <c r="P167" s="32">
        <f t="shared" si="132"/>
        <v>23924.930625000001</v>
      </c>
      <c r="Q167" s="32">
        <f t="shared" si="133"/>
        <v>20604.724200000001</v>
      </c>
      <c r="R167" s="32">
        <f t="shared" si="133"/>
        <v>3320.2064249999999</v>
      </c>
      <c r="S167" s="32">
        <f t="shared" si="133"/>
        <v>2964.0474250000002</v>
      </c>
      <c r="T167" s="32">
        <f t="shared" si="133"/>
        <v>331.55900000000003</v>
      </c>
      <c r="U167" s="32">
        <f t="shared" si="133"/>
        <v>24.6</v>
      </c>
      <c r="V167" s="32">
        <f t="shared" si="133"/>
        <v>29078.423441999999</v>
      </c>
      <c r="W167" s="32">
        <f t="shared" si="134"/>
        <v>25650.039017999999</v>
      </c>
      <c r="X167" s="32">
        <f t="shared" si="134"/>
        <v>3428.3844239999999</v>
      </c>
      <c r="Y167" s="32">
        <f t="shared" si="134"/>
        <v>2973.7474240000001</v>
      </c>
      <c r="Z167" s="32">
        <f t="shared" si="134"/>
        <v>426.33699999999999</v>
      </c>
      <c r="AA167" s="32">
        <f t="shared" si="134"/>
        <v>28.3</v>
      </c>
      <c r="AB167" s="32">
        <f t="shared" si="127"/>
        <v>5153.4928169999985</v>
      </c>
      <c r="AC167" s="32">
        <f t="shared" si="127"/>
        <v>5045.3148179999989</v>
      </c>
      <c r="AD167" s="32">
        <f t="shared" si="127"/>
        <v>108.177999</v>
      </c>
      <c r="AE167" s="32">
        <f t="shared" si="127"/>
        <v>9.6999989999999343</v>
      </c>
      <c r="AF167" s="32">
        <f t="shared" si="127"/>
        <v>94.777999999999963</v>
      </c>
      <c r="AG167" s="34">
        <f t="shared" si="127"/>
        <v>3.6999999999999993</v>
      </c>
      <c r="AH167" s="30"/>
      <c r="AI167" s="3">
        <f t="shared" si="135"/>
        <v>108177.999</v>
      </c>
    </row>
    <row r="168" spans="1:37" ht="13.8" thickBot="1" x14ac:dyDescent="0.3">
      <c r="A168" s="156" t="s">
        <v>128</v>
      </c>
      <c r="B168" s="177">
        <f>D168+E168</f>
        <v>440000000</v>
      </c>
      <c r="C168" s="178"/>
      <c r="D168" s="179">
        <v>440000000</v>
      </c>
      <c r="E168" s="177">
        <f t="shared" si="125"/>
        <v>0</v>
      </c>
      <c r="F168" s="178"/>
      <c r="G168" s="178"/>
      <c r="H168" s="178"/>
      <c r="I168" s="177">
        <f>K168+L168</f>
        <v>440000000</v>
      </c>
      <c r="J168" s="178"/>
      <c r="K168" s="179">
        <f>440*1000000</f>
        <v>440000000</v>
      </c>
      <c r="L168" s="177">
        <f t="shared" si="126"/>
        <v>0</v>
      </c>
      <c r="M168" s="178"/>
      <c r="N168" s="178"/>
      <c r="O168" s="178"/>
      <c r="P168" s="159">
        <f t="shared" si="132"/>
        <v>440</v>
      </c>
      <c r="Q168" s="159">
        <f t="shared" si="133"/>
        <v>440</v>
      </c>
      <c r="R168" s="159">
        <f t="shared" si="133"/>
        <v>0</v>
      </c>
      <c r="S168" s="159">
        <f t="shared" si="133"/>
        <v>0</v>
      </c>
      <c r="T168" s="159">
        <f t="shared" si="133"/>
        <v>0</v>
      </c>
      <c r="U168" s="159">
        <f t="shared" si="133"/>
        <v>0</v>
      </c>
      <c r="V168" s="159">
        <f t="shared" si="133"/>
        <v>440</v>
      </c>
      <c r="W168" s="159">
        <f t="shared" si="134"/>
        <v>440</v>
      </c>
      <c r="X168" s="159">
        <f t="shared" si="134"/>
        <v>0</v>
      </c>
      <c r="Y168" s="159">
        <f t="shared" si="134"/>
        <v>0</v>
      </c>
      <c r="Z168" s="159">
        <f t="shared" si="134"/>
        <v>0</v>
      </c>
      <c r="AA168" s="159">
        <f t="shared" si="134"/>
        <v>0</v>
      </c>
      <c r="AB168" s="159">
        <f t="shared" si="127"/>
        <v>0</v>
      </c>
      <c r="AC168" s="159">
        <f t="shared" si="127"/>
        <v>0</v>
      </c>
      <c r="AD168" s="159">
        <f t="shared" si="127"/>
        <v>0</v>
      </c>
      <c r="AE168" s="159">
        <f t="shared" si="127"/>
        <v>0</v>
      </c>
      <c r="AF168" s="159">
        <f t="shared" si="127"/>
        <v>0</v>
      </c>
      <c r="AG168" s="160">
        <f t="shared" si="127"/>
        <v>0</v>
      </c>
      <c r="AH168" s="30"/>
      <c r="AI168" s="3">
        <f t="shared" si="135"/>
        <v>0</v>
      </c>
    </row>
    <row r="169" spans="1:37" ht="13.8" thickTop="1" x14ac:dyDescent="0.25"/>
    <row r="170" spans="1:37" x14ac:dyDescent="0.25">
      <c r="V170" s="7"/>
      <c r="W170" s="7"/>
      <c r="X170" s="7"/>
    </row>
    <row r="171" spans="1:37" x14ac:dyDescent="0.25">
      <c r="X171" s="7"/>
    </row>
    <row r="172" spans="1:37" x14ac:dyDescent="0.25">
      <c r="X172" s="7"/>
    </row>
    <row r="173" spans="1:37" x14ac:dyDescent="0.25">
      <c r="R173" s="7"/>
      <c r="X173" s="7"/>
      <c r="Y173" s="7"/>
    </row>
    <row r="174" spans="1:37" x14ac:dyDescent="0.25">
      <c r="R174" s="7"/>
      <c r="T174" s="253"/>
      <c r="X174" s="7"/>
      <c r="Y174" s="7"/>
      <c r="Z174" s="253"/>
    </row>
  </sheetData>
  <mergeCells count="135">
    <mergeCell ref="V5:V7"/>
    <mergeCell ref="W5:AA5"/>
    <mergeCell ref="Q6:Q7"/>
    <mergeCell ref="R6:R7"/>
    <mergeCell ref="S6:U6"/>
    <mergeCell ref="W6:W7"/>
    <mergeCell ref="AD1:AG1"/>
    <mergeCell ref="A2:AG2"/>
    <mergeCell ref="A4:A7"/>
    <mergeCell ref="B4:H4"/>
    <mergeCell ref="I4:O4"/>
    <mergeCell ref="P4:U4"/>
    <mergeCell ref="V4:AA4"/>
    <mergeCell ref="AB4:AG4"/>
    <mergeCell ref="B5:B7"/>
    <mergeCell ref="C5:H5"/>
    <mergeCell ref="X6:X7"/>
    <mergeCell ref="Y6:AA6"/>
    <mergeCell ref="AC6:AC7"/>
    <mergeCell ref="AD6:AD7"/>
    <mergeCell ref="AE6:AG6"/>
    <mergeCell ref="A46:A49"/>
    <mergeCell ref="B46:H46"/>
    <mergeCell ref="I46:O46"/>
    <mergeCell ref="P46:U46"/>
    <mergeCell ref="V46:AA46"/>
    <mergeCell ref="AB5:AB7"/>
    <mergeCell ref="AC5:AG5"/>
    <mergeCell ref="C6:C7"/>
    <mergeCell ref="D6:D7"/>
    <mergeCell ref="E6:E7"/>
    <mergeCell ref="F6:H6"/>
    <mergeCell ref="J6:J7"/>
    <mergeCell ref="K6:K7"/>
    <mergeCell ref="L6:L7"/>
    <mergeCell ref="M6:O6"/>
    <mergeCell ref="I5:I7"/>
    <mergeCell ref="K5:O5"/>
    <mergeCell ref="P5:P7"/>
    <mergeCell ref="Q5:U5"/>
    <mergeCell ref="AB46:AG46"/>
    <mergeCell ref="B47:B49"/>
    <mergeCell ref="C47:H47"/>
    <mergeCell ref="I47:I49"/>
    <mergeCell ref="K47:O47"/>
    <mergeCell ref="E48:E49"/>
    <mergeCell ref="F48:H48"/>
    <mergeCell ref="J48:J49"/>
    <mergeCell ref="K48:K49"/>
    <mergeCell ref="L48:L49"/>
    <mergeCell ref="M48:O48"/>
    <mergeCell ref="Q48:Q49"/>
    <mergeCell ref="AD48:AD49"/>
    <mergeCell ref="AE48:AG48"/>
    <mergeCell ref="P137:U137"/>
    <mergeCell ref="V137:AA137"/>
    <mergeCell ref="AB137:AG137"/>
    <mergeCell ref="B138:B140"/>
    <mergeCell ref="C138:H138"/>
    <mergeCell ref="R48:R49"/>
    <mergeCell ref="S48:U48"/>
    <mergeCell ref="W48:W49"/>
    <mergeCell ref="X48:X49"/>
    <mergeCell ref="Y48:AA48"/>
    <mergeCell ref="AC48:AC49"/>
    <mergeCell ref="X139:X140"/>
    <mergeCell ref="Y139:AA139"/>
    <mergeCell ref="AC139:AC140"/>
    <mergeCell ref="AD139:AD140"/>
    <mergeCell ref="AE139:AG139"/>
    <mergeCell ref="P47:P49"/>
    <mergeCell ref="Q47:U47"/>
    <mergeCell ref="V47:V49"/>
    <mergeCell ref="W47:AA47"/>
    <mergeCell ref="AB47:AB49"/>
    <mergeCell ref="AC47:AG47"/>
    <mergeCell ref="C48:C49"/>
    <mergeCell ref="D48:D49"/>
    <mergeCell ref="A155:AG155"/>
    <mergeCell ref="AB138:AB140"/>
    <mergeCell ref="AC138:AG138"/>
    <mergeCell ref="C139:C140"/>
    <mergeCell ref="D139:D140"/>
    <mergeCell ref="E139:E140"/>
    <mergeCell ref="F139:H139"/>
    <mergeCell ref="J139:J140"/>
    <mergeCell ref="K139:K140"/>
    <mergeCell ref="L139:L140"/>
    <mergeCell ref="M139:O139"/>
    <mergeCell ref="I138:I140"/>
    <mergeCell ref="K138:O138"/>
    <mergeCell ref="P138:P140"/>
    <mergeCell ref="Q138:U138"/>
    <mergeCell ref="V138:V140"/>
    <mergeCell ref="W138:AA138"/>
    <mergeCell ref="Q139:Q140"/>
    <mergeCell ref="R139:R140"/>
    <mergeCell ref="S139:U139"/>
    <mergeCell ref="W139:W140"/>
    <mergeCell ref="A137:A140"/>
    <mergeCell ref="B137:H137"/>
    <mergeCell ref="I137:O137"/>
    <mergeCell ref="A156:A159"/>
    <mergeCell ref="B156:H156"/>
    <mergeCell ref="I156:O156"/>
    <mergeCell ref="P156:U156"/>
    <mergeCell ref="V156:AA156"/>
    <mergeCell ref="AB156:AG156"/>
    <mergeCell ref="B157:B159"/>
    <mergeCell ref="C157:H157"/>
    <mergeCell ref="I157:I159"/>
    <mergeCell ref="K157:O157"/>
    <mergeCell ref="AE158:AG158"/>
    <mergeCell ref="L158:L159"/>
    <mergeCell ref="M158:O158"/>
    <mergeCell ref="Q158:Q159"/>
    <mergeCell ref="R158:R159"/>
    <mergeCell ref="S158:U158"/>
    <mergeCell ref="W158:W159"/>
    <mergeCell ref="C158:C159"/>
    <mergeCell ref="D158:D159"/>
    <mergeCell ref="E158:E159"/>
    <mergeCell ref="F158:H158"/>
    <mergeCell ref="J158:J159"/>
    <mergeCell ref="K158:K159"/>
    <mergeCell ref="P157:P159"/>
    <mergeCell ref="Q157:U157"/>
    <mergeCell ref="V157:V159"/>
    <mergeCell ref="W157:AA157"/>
    <mergeCell ref="AB157:AB159"/>
    <mergeCell ref="AC157:AG157"/>
    <mergeCell ref="X158:X159"/>
    <mergeCell ref="Y158:AA158"/>
    <mergeCell ref="AC158:AC159"/>
    <mergeCell ref="AD158:AD159"/>
  </mergeCells>
  <pageMargins left="0" right="0" top="0.55118110236220474" bottom="0.35433070866141736" header="0.31496062992125984" footer="0.11811023622047245"/>
  <pageSetup paperSize="9" scale="69" fitToHeight="100" orientation="landscape" r:id="rId1"/>
  <headerFooter>
    <oddFooter>&amp;C&amp;8Страница  &amp;P из &amp;N</oddFooter>
  </headerFooter>
  <rowBreaks count="2" manualBreakCount="2">
    <brk id="40" max="32" man="1"/>
    <brk id="136" max="32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Y49"/>
  <sheetViews>
    <sheetView zoomScale="115" zoomScaleNormal="11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8" sqref="D8:D9"/>
    </sheetView>
  </sheetViews>
  <sheetFormatPr defaultColWidth="9.109375" defaultRowHeight="13.2" x14ac:dyDescent="0.25"/>
  <cols>
    <col min="1" max="1" width="21.88671875" style="293" bestFit="1" customWidth="1"/>
    <col min="2" max="2" width="12.33203125" style="280" bestFit="1" customWidth="1"/>
    <col min="3" max="3" width="9.109375" style="280"/>
    <col min="4" max="4" width="9.88671875" style="280" customWidth="1"/>
    <col min="5" max="5" width="9.109375" style="280"/>
    <col min="6" max="6" width="12.109375" style="280" customWidth="1"/>
    <col min="7" max="7" width="9.109375" style="280"/>
    <col min="8" max="8" width="11.88671875" style="280" bestFit="1" customWidth="1"/>
    <col min="9" max="9" width="9.109375" style="280"/>
    <col min="10" max="10" width="9.88671875" style="280" customWidth="1"/>
    <col min="11" max="11" width="9.109375" style="280"/>
    <col min="12" max="12" width="11.109375" style="280" customWidth="1"/>
    <col min="13" max="13" width="9.109375" style="280"/>
    <col min="14" max="14" width="11.33203125" style="280" bestFit="1" customWidth="1"/>
    <col min="15" max="15" width="9.6640625" style="280" bestFit="1" customWidth="1"/>
    <col min="16" max="16" width="11.6640625" style="280" customWidth="1"/>
    <col min="17" max="17" width="9.6640625" style="280" customWidth="1"/>
    <col min="18" max="18" width="11.33203125" style="280" customWidth="1"/>
    <col min="19" max="19" width="9.6640625" style="280" bestFit="1" customWidth="1"/>
    <col min="20" max="20" width="11.33203125" style="280" bestFit="1" customWidth="1"/>
    <col min="21" max="21" width="9.6640625" style="280" bestFit="1" customWidth="1"/>
    <col min="22" max="23" width="9.6640625" style="280" customWidth="1"/>
    <col min="24" max="24" width="11" style="280" customWidth="1"/>
    <col min="25" max="25" width="9.6640625" style="280" bestFit="1" customWidth="1"/>
    <col min="26" max="16384" width="9.109375" style="280"/>
  </cols>
  <sheetData>
    <row r="1" spans="1:25" s="279" customFormat="1" ht="12.75" customHeight="1" x14ac:dyDescent="0.25">
      <c r="K1" s="516" t="s">
        <v>390</v>
      </c>
      <c r="L1" s="516"/>
      <c r="V1" s="289"/>
      <c r="W1" s="289"/>
      <c r="X1" s="517" t="s">
        <v>390</v>
      </c>
      <c r="Y1" s="517"/>
    </row>
    <row r="2" spans="1:25" s="289" customFormat="1" x14ac:dyDescent="0.25">
      <c r="U2" s="297"/>
      <c r="V2" s="297"/>
      <c r="W2" s="297"/>
      <c r="X2" s="297"/>
      <c r="Y2" s="297"/>
    </row>
    <row r="3" spans="1:25" s="279" customFormat="1" ht="36" customHeight="1" x14ac:dyDescent="0.25">
      <c r="B3" s="477" t="s">
        <v>471</v>
      </c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</row>
    <row r="4" spans="1:25" s="279" customFormat="1" ht="13.8" thickBot="1" x14ac:dyDescent="0.3">
      <c r="M4" s="394" t="s">
        <v>192</v>
      </c>
      <c r="X4" s="381"/>
      <c r="Y4" s="394" t="s">
        <v>192</v>
      </c>
    </row>
    <row r="5" spans="1:25" s="287" customFormat="1" ht="13.5" customHeight="1" thickTop="1" x14ac:dyDescent="0.25">
      <c r="A5" s="498" t="s">
        <v>328</v>
      </c>
      <c r="B5" s="478" t="s">
        <v>336</v>
      </c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 t="s">
        <v>337</v>
      </c>
      <c r="O5" s="478"/>
      <c r="P5" s="478"/>
      <c r="Q5" s="478"/>
      <c r="R5" s="478"/>
      <c r="S5" s="478"/>
      <c r="T5" s="478"/>
      <c r="U5" s="478"/>
      <c r="V5" s="478"/>
      <c r="W5" s="478"/>
      <c r="X5" s="478"/>
      <c r="Y5" s="479"/>
    </row>
    <row r="6" spans="1:25" s="287" customFormat="1" ht="12.75" customHeight="1" x14ac:dyDescent="0.25">
      <c r="A6" s="499"/>
      <c r="B6" s="474" t="s">
        <v>422</v>
      </c>
      <c r="C6" s="474"/>
      <c r="D6" s="474"/>
      <c r="E6" s="474"/>
      <c r="F6" s="474"/>
      <c r="G6" s="474"/>
      <c r="H6" s="474" t="s">
        <v>437</v>
      </c>
      <c r="I6" s="474"/>
      <c r="J6" s="474"/>
      <c r="K6" s="474"/>
      <c r="L6" s="474"/>
      <c r="M6" s="474"/>
      <c r="N6" s="502" t="s">
        <v>422</v>
      </c>
      <c r="O6" s="513"/>
      <c r="P6" s="513"/>
      <c r="Q6" s="513"/>
      <c r="R6" s="513"/>
      <c r="S6" s="513"/>
      <c r="T6" s="474" t="s">
        <v>437</v>
      </c>
      <c r="U6" s="474"/>
      <c r="V6" s="474"/>
      <c r="W6" s="474"/>
      <c r="X6" s="474"/>
      <c r="Y6" s="475"/>
    </row>
    <row r="7" spans="1:25" s="287" customFormat="1" ht="12.75" customHeight="1" x14ac:dyDescent="0.25">
      <c r="A7" s="499"/>
      <c r="B7" s="474" t="s">
        <v>338</v>
      </c>
      <c r="C7" s="500" t="s">
        <v>472</v>
      </c>
      <c r="D7" s="502" t="s">
        <v>339</v>
      </c>
      <c r="E7" s="513"/>
      <c r="F7" s="513"/>
      <c r="G7" s="503"/>
      <c r="H7" s="474" t="s">
        <v>338</v>
      </c>
      <c r="I7" s="500" t="s">
        <v>472</v>
      </c>
      <c r="J7" s="502" t="s">
        <v>339</v>
      </c>
      <c r="K7" s="513"/>
      <c r="L7" s="513"/>
      <c r="M7" s="503"/>
      <c r="N7" s="474" t="s">
        <v>338</v>
      </c>
      <c r="O7" s="500" t="s">
        <v>472</v>
      </c>
      <c r="P7" s="502" t="s">
        <v>339</v>
      </c>
      <c r="Q7" s="513"/>
      <c r="R7" s="513"/>
      <c r="S7" s="503"/>
      <c r="T7" s="474" t="s">
        <v>338</v>
      </c>
      <c r="U7" s="500" t="s">
        <v>472</v>
      </c>
      <c r="V7" s="502" t="s">
        <v>339</v>
      </c>
      <c r="W7" s="513"/>
      <c r="X7" s="513"/>
      <c r="Y7" s="519"/>
    </row>
    <row r="8" spans="1:25" s="287" customFormat="1" ht="12.75" customHeight="1" x14ac:dyDescent="0.25">
      <c r="A8" s="499"/>
      <c r="B8" s="474"/>
      <c r="C8" s="518"/>
      <c r="D8" s="474" t="s">
        <v>464</v>
      </c>
      <c r="E8" s="367" t="s">
        <v>143</v>
      </c>
      <c r="F8" s="474" t="s">
        <v>463</v>
      </c>
      <c r="G8" s="367" t="s">
        <v>143</v>
      </c>
      <c r="H8" s="474"/>
      <c r="I8" s="518"/>
      <c r="J8" s="474" t="s">
        <v>464</v>
      </c>
      <c r="K8" s="393" t="s">
        <v>143</v>
      </c>
      <c r="L8" s="474" t="s">
        <v>463</v>
      </c>
      <c r="M8" s="393" t="s">
        <v>143</v>
      </c>
      <c r="N8" s="474"/>
      <c r="O8" s="518"/>
      <c r="P8" s="474" t="s">
        <v>464</v>
      </c>
      <c r="Q8" s="393" t="s">
        <v>143</v>
      </c>
      <c r="R8" s="474" t="s">
        <v>463</v>
      </c>
      <c r="S8" s="393" t="s">
        <v>143</v>
      </c>
      <c r="T8" s="474"/>
      <c r="U8" s="518"/>
      <c r="V8" s="474" t="s">
        <v>464</v>
      </c>
      <c r="W8" s="438" t="s">
        <v>143</v>
      </c>
      <c r="X8" s="474" t="s">
        <v>463</v>
      </c>
      <c r="Y8" s="439" t="s">
        <v>143</v>
      </c>
    </row>
    <row r="9" spans="1:25" s="287" customFormat="1" ht="26.4" x14ac:dyDescent="0.25">
      <c r="A9" s="499"/>
      <c r="B9" s="474"/>
      <c r="C9" s="501"/>
      <c r="D9" s="474"/>
      <c r="E9" s="367" t="s">
        <v>341</v>
      </c>
      <c r="F9" s="474"/>
      <c r="G9" s="367" t="s">
        <v>341</v>
      </c>
      <c r="H9" s="474"/>
      <c r="I9" s="501"/>
      <c r="J9" s="474"/>
      <c r="K9" s="393" t="s">
        <v>341</v>
      </c>
      <c r="L9" s="474"/>
      <c r="M9" s="393" t="s">
        <v>341</v>
      </c>
      <c r="N9" s="474"/>
      <c r="O9" s="501"/>
      <c r="P9" s="474"/>
      <c r="Q9" s="393" t="s">
        <v>341</v>
      </c>
      <c r="R9" s="474"/>
      <c r="S9" s="393" t="s">
        <v>341</v>
      </c>
      <c r="T9" s="474"/>
      <c r="U9" s="501"/>
      <c r="V9" s="474"/>
      <c r="W9" s="438" t="s">
        <v>341</v>
      </c>
      <c r="X9" s="474"/>
      <c r="Y9" s="439" t="s">
        <v>341</v>
      </c>
    </row>
    <row r="10" spans="1:25" s="249" customFormat="1" ht="10.199999999999999" x14ac:dyDescent="0.25">
      <c r="A10" s="248">
        <v>1</v>
      </c>
      <c r="B10" s="246">
        <v>2</v>
      </c>
      <c r="C10" s="246">
        <v>3</v>
      </c>
      <c r="D10" s="246">
        <v>4</v>
      </c>
      <c r="E10" s="246">
        <v>5</v>
      </c>
      <c r="F10" s="246">
        <v>6</v>
      </c>
      <c r="G10" s="246">
        <v>7</v>
      </c>
      <c r="H10" s="246">
        <v>8</v>
      </c>
      <c r="I10" s="246">
        <v>9</v>
      </c>
      <c r="J10" s="246">
        <v>10</v>
      </c>
      <c r="K10" s="246">
        <v>11</v>
      </c>
      <c r="L10" s="246">
        <v>12</v>
      </c>
      <c r="M10" s="246">
        <v>13</v>
      </c>
      <c r="N10" s="246">
        <v>14</v>
      </c>
      <c r="O10" s="246">
        <v>15</v>
      </c>
      <c r="P10" s="246">
        <v>16</v>
      </c>
      <c r="Q10" s="246">
        <v>17</v>
      </c>
      <c r="R10" s="246">
        <v>18</v>
      </c>
      <c r="S10" s="246">
        <v>19</v>
      </c>
      <c r="T10" s="246">
        <v>20</v>
      </c>
      <c r="U10" s="246">
        <v>21</v>
      </c>
      <c r="V10" s="246">
        <v>22</v>
      </c>
      <c r="W10" s="246">
        <v>23</v>
      </c>
      <c r="X10" s="246">
        <v>24</v>
      </c>
      <c r="Y10" s="247">
        <v>25</v>
      </c>
    </row>
    <row r="11" spans="1:25" x14ac:dyDescent="0.25">
      <c r="A11" s="281" t="s">
        <v>163</v>
      </c>
      <c r="B11" s="282">
        <v>7401.4664000000002</v>
      </c>
      <c r="C11" s="282">
        <v>0</v>
      </c>
      <c r="D11" s="282">
        <v>1246.19794</v>
      </c>
      <c r="E11" s="282">
        <v>0</v>
      </c>
      <c r="F11" s="282">
        <v>6155.2684600000002</v>
      </c>
      <c r="G11" s="282">
        <v>0</v>
      </c>
      <c r="H11" s="282">
        <v>415.27847999999994</v>
      </c>
      <c r="I11" s="282">
        <v>0</v>
      </c>
      <c r="J11" s="282">
        <v>-987.41831000000002</v>
      </c>
      <c r="K11" s="282">
        <v>0</v>
      </c>
      <c r="L11" s="282">
        <v>1402.69679</v>
      </c>
      <c r="M11" s="282">
        <v>0</v>
      </c>
      <c r="N11" s="282">
        <v>92034.611950000006</v>
      </c>
      <c r="O11" s="282">
        <v>51377.227080000004</v>
      </c>
      <c r="P11" s="282">
        <v>10362.78189</v>
      </c>
      <c r="Q11" s="282">
        <v>2240.8859000000002</v>
      </c>
      <c r="R11" s="282">
        <v>81671.830059999993</v>
      </c>
      <c r="S11" s="282">
        <v>49136.341180000003</v>
      </c>
      <c r="T11" s="282">
        <v>-1160.3961699999927</v>
      </c>
      <c r="U11" s="282">
        <v>-5977.4967199999955</v>
      </c>
      <c r="V11" s="282">
        <v>1591.8845799999999</v>
      </c>
      <c r="W11" s="282">
        <v>-333.44198999999981</v>
      </c>
      <c r="X11" s="282">
        <v>-2752.2807499999899</v>
      </c>
      <c r="Y11" s="283">
        <v>-5644.0547299999962</v>
      </c>
    </row>
    <row r="12" spans="1:25" x14ac:dyDescent="0.25">
      <c r="A12" s="281" t="s">
        <v>164</v>
      </c>
      <c r="B12" s="282">
        <v>2710.2884000000004</v>
      </c>
      <c r="C12" s="282">
        <v>0</v>
      </c>
      <c r="D12" s="282">
        <v>1601.1539</v>
      </c>
      <c r="E12" s="282">
        <v>0</v>
      </c>
      <c r="F12" s="282">
        <v>1109.1345000000001</v>
      </c>
      <c r="G12" s="282">
        <v>0</v>
      </c>
      <c r="H12" s="282">
        <v>10.49080000000049</v>
      </c>
      <c r="I12" s="282">
        <v>0</v>
      </c>
      <c r="J12" s="282">
        <v>62.99664000000007</v>
      </c>
      <c r="K12" s="282">
        <v>0</v>
      </c>
      <c r="L12" s="282">
        <v>-52.505839999999807</v>
      </c>
      <c r="M12" s="282">
        <v>0</v>
      </c>
      <c r="N12" s="282">
        <v>6078.3019700000004</v>
      </c>
      <c r="O12" s="282">
        <v>0</v>
      </c>
      <c r="P12" s="282">
        <v>854.39774</v>
      </c>
      <c r="Q12" s="282">
        <v>0</v>
      </c>
      <c r="R12" s="282">
        <v>5223.9042300000001</v>
      </c>
      <c r="S12" s="282">
        <v>0</v>
      </c>
      <c r="T12" s="282">
        <v>-319.76034999999865</v>
      </c>
      <c r="U12" s="282">
        <v>-242.54552000000001</v>
      </c>
      <c r="V12" s="282">
        <v>-651.96960999999999</v>
      </c>
      <c r="W12" s="282">
        <v>-242.54552000000001</v>
      </c>
      <c r="X12" s="282">
        <v>332.20926000000054</v>
      </c>
      <c r="Y12" s="283">
        <v>0</v>
      </c>
    </row>
    <row r="13" spans="1:25" x14ac:dyDescent="0.25">
      <c r="A13" s="281" t="s">
        <v>165</v>
      </c>
      <c r="B13" s="282">
        <v>5328.3583900000003</v>
      </c>
      <c r="C13" s="282">
        <v>0</v>
      </c>
      <c r="D13" s="282">
        <v>1829.34194</v>
      </c>
      <c r="E13" s="282">
        <v>0</v>
      </c>
      <c r="F13" s="282">
        <v>3499.0164500000001</v>
      </c>
      <c r="G13" s="282">
        <v>0</v>
      </c>
      <c r="H13" s="282">
        <v>2670.3295000000003</v>
      </c>
      <c r="I13" s="282">
        <v>0</v>
      </c>
      <c r="J13" s="282">
        <v>-71.688629999999876</v>
      </c>
      <c r="K13" s="282">
        <v>0</v>
      </c>
      <c r="L13" s="282">
        <v>2742.0181299999999</v>
      </c>
      <c r="M13" s="282">
        <v>0</v>
      </c>
      <c r="N13" s="282">
        <v>6747.5096199999998</v>
      </c>
      <c r="O13" s="282">
        <v>0</v>
      </c>
      <c r="P13" s="282">
        <v>981.77683000000002</v>
      </c>
      <c r="Q13" s="282">
        <v>0</v>
      </c>
      <c r="R13" s="282">
        <v>5765.73279</v>
      </c>
      <c r="S13" s="282">
        <v>0</v>
      </c>
      <c r="T13" s="282">
        <v>3633.9034099999999</v>
      </c>
      <c r="U13" s="282">
        <v>-240.62869999999998</v>
      </c>
      <c r="V13" s="282">
        <v>-140.0148099999999</v>
      </c>
      <c r="W13" s="282">
        <v>-20.402000000000001</v>
      </c>
      <c r="X13" s="282">
        <v>3773.91822</v>
      </c>
      <c r="Y13" s="283">
        <v>-220.22669999999999</v>
      </c>
    </row>
    <row r="14" spans="1:25" x14ac:dyDescent="0.25">
      <c r="A14" s="281" t="s">
        <v>166</v>
      </c>
      <c r="B14" s="282">
        <v>4309.6470499999996</v>
      </c>
      <c r="C14" s="282">
        <v>0</v>
      </c>
      <c r="D14" s="282">
        <v>591.56709999999998</v>
      </c>
      <c r="E14" s="282">
        <v>0</v>
      </c>
      <c r="F14" s="282">
        <v>3718.0799499999998</v>
      </c>
      <c r="G14" s="282">
        <v>0</v>
      </c>
      <c r="H14" s="282">
        <v>192.09134999999969</v>
      </c>
      <c r="I14" s="282">
        <v>0</v>
      </c>
      <c r="J14" s="282">
        <v>68.87202000000002</v>
      </c>
      <c r="K14" s="282">
        <v>0</v>
      </c>
      <c r="L14" s="282">
        <v>123.2193299999999</v>
      </c>
      <c r="M14" s="282">
        <v>0</v>
      </c>
      <c r="N14" s="282">
        <v>19431.0272</v>
      </c>
      <c r="O14" s="282">
        <v>3836.5165000000002</v>
      </c>
      <c r="P14" s="282">
        <v>1282.2708399999999</v>
      </c>
      <c r="Q14" s="282">
        <v>0</v>
      </c>
      <c r="R14" s="282">
        <v>18148.756359999999</v>
      </c>
      <c r="S14" s="282">
        <v>3836.5165000000002</v>
      </c>
      <c r="T14" s="282">
        <v>7391.4315000000006</v>
      </c>
      <c r="U14" s="282">
        <v>-223.55107999999973</v>
      </c>
      <c r="V14" s="282">
        <v>178.7530999999999</v>
      </c>
      <c r="W14" s="282">
        <v>0</v>
      </c>
      <c r="X14" s="282">
        <v>7212.6783999999989</v>
      </c>
      <c r="Y14" s="283">
        <v>-223.55107999999973</v>
      </c>
    </row>
    <row r="15" spans="1:25" x14ac:dyDescent="0.25">
      <c r="A15" s="281" t="s">
        <v>167</v>
      </c>
      <c r="B15" s="282">
        <v>4563.3993700000001</v>
      </c>
      <c r="C15" s="282">
        <v>359.03823999999997</v>
      </c>
      <c r="D15" s="282">
        <v>2154.8447700000002</v>
      </c>
      <c r="E15" s="282">
        <v>0</v>
      </c>
      <c r="F15" s="282">
        <v>2408.5545999999999</v>
      </c>
      <c r="G15" s="282">
        <v>359.03823999999997</v>
      </c>
      <c r="H15" s="282">
        <v>1459.7498999999998</v>
      </c>
      <c r="I15" s="282">
        <v>311.53381999999999</v>
      </c>
      <c r="J15" s="282">
        <v>592.43555000000015</v>
      </c>
      <c r="K15" s="282">
        <v>0</v>
      </c>
      <c r="L15" s="282">
        <v>867.31434999999988</v>
      </c>
      <c r="M15" s="282">
        <v>311.53381999999999</v>
      </c>
      <c r="N15" s="282">
        <v>23137.80012</v>
      </c>
      <c r="O15" s="282">
        <v>10969.680279999999</v>
      </c>
      <c r="P15" s="282">
        <v>1368.0908899999999</v>
      </c>
      <c r="Q15" s="282">
        <v>65.404049999999998</v>
      </c>
      <c r="R15" s="282">
        <v>21769.70923</v>
      </c>
      <c r="S15" s="282">
        <v>10904.276229999999</v>
      </c>
      <c r="T15" s="282">
        <v>-6053.1132900000011</v>
      </c>
      <c r="U15" s="282">
        <v>-744.79643000000215</v>
      </c>
      <c r="V15" s="282">
        <v>122.10518999999999</v>
      </c>
      <c r="W15" s="282">
        <v>-17.812439999999995</v>
      </c>
      <c r="X15" s="282">
        <v>-6175.2184799999995</v>
      </c>
      <c r="Y15" s="283">
        <v>-726.98399000000063</v>
      </c>
    </row>
    <row r="16" spans="1:25" x14ac:dyDescent="0.25">
      <c r="A16" s="281" t="s">
        <v>168</v>
      </c>
      <c r="B16" s="282">
        <v>3468.0673100000004</v>
      </c>
      <c r="C16" s="282">
        <v>8.4</v>
      </c>
      <c r="D16" s="282">
        <v>2131.0158200000001</v>
      </c>
      <c r="E16" s="282">
        <v>0</v>
      </c>
      <c r="F16" s="282">
        <v>1337.0514900000001</v>
      </c>
      <c r="G16" s="282">
        <v>8.4</v>
      </c>
      <c r="H16" s="282">
        <v>1229.1922700000005</v>
      </c>
      <c r="I16" s="282">
        <v>0</v>
      </c>
      <c r="J16" s="282">
        <v>640.41755000000012</v>
      </c>
      <c r="K16" s="282">
        <v>0</v>
      </c>
      <c r="L16" s="282">
        <v>588.77472</v>
      </c>
      <c r="M16" s="282">
        <v>0</v>
      </c>
      <c r="N16" s="282">
        <v>7616.5131300000003</v>
      </c>
      <c r="O16" s="282">
        <v>2777.42652</v>
      </c>
      <c r="P16" s="282">
        <v>2069.56142</v>
      </c>
      <c r="Q16" s="282">
        <v>74.900000000000006</v>
      </c>
      <c r="R16" s="282">
        <v>5546.9517100000003</v>
      </c>
      <c r="S16" s="282">
        <v>2702.5265199999999</v>
      </c>
      <c r="T16" s="282">
        <v>-4318.7658199999996</v>
      </c>
      <c r="U16" s="282">
        <v>-5086.6025799999998</v>
      </c>
      <c r="V16" s="282">
        <v>597.34372000000008</v>
      </c>
      <c r="W16" s="282">
        <v>28.795880000000004</v>
      </c>
      <c r="X16" s="282">
        <v>-4916.1095400000004</v>
      </c>
      <c r="Y16" s="283">
        <v>-5115.3984600000003</v>
      </c>
    </row>
    <row r="17" spans="1:25" x14ac:dyDescent="0.25">
      <c r="A17" s="281" t="s">
        <v>169</v>
      </c>
      <c r="B17" s="282">
        <v>15131.583210000001</v>
      </c>
      <c r="C17" s="282">
        <v>134.04992999999999</v>
      </c>
      <c r="D17" s="282">
        <v>14598.3346</v>
      </c>
      <c r="E17" s="282">
        <v>134.04825</v>
      </c>
      <c r="F17" s="282">
        <v>533.24860999999999</v>
      </c>
      <c r="G17" s="282">
        <v>1.6800000000000001E-3</v>
      </c>
      <c r="H17" s="282">
        <v>-2070.5373</v>
      </c>
      <c r="I17" s="282">
        <v>-85.075620000000015</v>
      </c>
      <c r="J17" s="282">
        <v>-869.89055999999982</v>
      </c>
      <c r="K17" s="282">
        <v>-85.075620000000015</v>
      </c>
      <c r="L17" s="282">
        <v>-1200.6467400000001</v>
      </c>
      <c r="M17" s="282">
        <v>0</v>
      </c>
      <c r="N17" s="282">
        <v>32443.872880000003</v>
      </c>
      <c r="O17" s="282">
        <v>18900.22697</v>
      </c>
      <c r="P17" s="282">
        <v>19920.394960000001</v>
      </c>
      <c r="Q17" s="282">
        <v>18900.22697</v>
      </c>
      <c r="R17" s="282">
        <v>12523.477919999999</v>
      </c>
      <c r="S17" s="282">
        <v>0</v>
      </c>
      <c r="T17" s="282">
        <v>-18199.340329999999</v>
      </c>
      <c r="U17" s="282">
        <v>-13656.027230000003</v>
      </c>
      <c r="V17" s="282">
        <v>-3840.6220299999986</v>
      </c>
      <c r="W17" s="282">
        <v>941.43894999999975</v>
      </c>
      <c r="X17" s="282">
        <v>-14358.718299999999</v>
      </c>
      <c r="Y17" s="283">
        <v>-14597.466180000001</v>
      </c>
    </row>
    <row r="18" spans="1:25" x14ac:dyDescent="0.25">
      <c r="A18" s="281" t="s">
        <v>170</v>
      </c>
      <c r="B18" s="282">
        <v>1526.90121</v>
      </c>
      <c r="C18" s="282">
        <v>0</v>
      </c>
      <c r="D18" s="282">
        <v>490.80599999999998</v>
      </c>
      <c r="E18" s="282">
        <v>0</v>
      </c>
      <c r="F18" s="282">
        <v>1036.09521</v>
      </c>
      <c r="G18" s="282">
        <v>0</v>
      </c>
      <c r="H18" s="282">
        <v>1178.77619</v>
      </c>
      <c r="I18" s="282">
        <v>0</v>
      </c>
      <c r="J18" s="282">
        <v>297.08304999999996</v>
      </c>
      <c r="K18" s="282">
        <v>0</v>
      </c>
      <c r="L18" s="282">
        <v>881.69313999999997</v>
      </c>
      <c r="M18" s="282">
        <v>0</v>
      </c>
      <c r="N18" s="282">
        <v>6262.1259</v>
      </c>
      <c r="O18" s="282">
        <v>1743.25234</v>
      </c>
      <c r="P18" s="282">
        <v>438.89469000000003</v>
      </c>
      <c r="Q18" s="282">
        <v>0</v>
      </c>
      <c r="R18" s="282">
        <v>5823.2312099999999</v>
      </c>
      <c r="S18" s="282">
        <v>1743.25234</v>
      </c>
      <c r="T18" s="282">
        <v>825.80955999999969</v>
      </c>
      <c r="U18" s="282">
        <v>-1276.7965099999997</v>
      </c>
      <c r="V18" s="282">
        <v>-43.698669999999993</v>
      </c>
      <c r="W18" s="282">
        <v>0</v>
      </c>
      <c r="X18" s="282">
        <v>869.50822999999946</v>
      </c>
      <c r="Y18" s="283">
        <v>-1276.7965099999997</v>
      </c>
    </row>
    <row r="19" spans="1:25" x14ac:dyDescent="0.25">
      <c r="A19" s="281" t="s">
        <v>171</v>
      </c>
      <c r="B19" s="282">
        <v>1484.6351100000002</v>
      </c>
      <c r="C19" s="282">
        <v>0.12548999999999999</v>
      </c>
      <c r="D19" s="282">
        <v>609.86333999999999</v>
      </c>
      <c r="E19" s="282">
        <v>0.12548999999999999</v>
      </c>
      <c r="F19" s="282">
        <v>874.77177000000006</v>
      </c>
      <c r="G19" s="282">
        <v>0</v>
      </c>
      <c r="H19" s="282">
        <v>-44.88292999999976</v>
      </c>
      <c r="I19" s="282">
        <v>-534.64561000000003</v>
      </c>
      <c r="J19" s="282">
        <v>171.72258999999997</v>
      </c>
      <c r="K19" s="282">
        <v>0</v>
      </c>
      <c r="L19" s="282">
        <v>-216.60551999999984</v>
      </c>
      <c r="M19" s="282">
        <v>-534.64561000000003</v>
      </c>
      <c r="N19" s="282">
        <v>13078.828450000001</v>
      </c>
      <c r="O19" s="282">
        <v>5922.19794</v>
      </c>
      <c r="P19" s="282">
        <v>852.57636000000002</v>
      </c>
      <c r="Q19" s="282">
        <v>0</v>
      </c>
      <c r="R19" s="282">
        <v>12226.25209</v>
      </c>
      <c r="S19" s="282">
        <v>5922.19794</v>
      </c>
      <c r="T19" s="282">
        <v>2379.6350300000013</v>
      </c>
      <c r="U19" s="282">
        <v>2174.6305499999999</v>
      </c>
      <c r="V19" s="282">
        <v>256.49499000000003</v>
      </c>
      <c r="W19" s="282">
        <v>0</v>
      </c>
      <c r="X19" s="282">
        <v>2123.1400400000002</v>
      </c>
      <c r="Y19" s="283">
        <v>2174.6305499999999</v>
      </c>
    </row>
    <row r="20" spans="1:25" x14ac:dyDescent="0.25">
      <c r="A20" s="281" t="s">
        <v>172</v>
      </c>
      <c r="B20" s="282">
        <v>2283.5501599999998</v>
      </c>
      <c r="C20" s="282">
        <v>0</v>
      </c>
      <c r="D20" s="282">
        <v>743.81781000000001</v>
      </c>
      <c r="E20" s="282">
        <v>0</v>
      </c>
      <c r="F20" s="282">
        <v>1539.73235</v>
      </c>
      <c r="G20" s="282">
        <v>0</v>
      </c>
      <c r="H20" s="282">
        <v>244.72519999999986</v>
      </c>
      <c r="I20" s="282">
        <v>0</v>
      </c>
      <c r="J20" s="282">
        <v>37.109630000000038</v>
      </c>
      <c r="K20" s="282">
        <v>0</v>
      </c>
      <c r="L20" s="282">
        <v>207.61556999999993</v>
      </c>
      <c r="M20" s="282">
        <v>0</v>
      </c>
      <c r="N20" s="282">
        <v>18503.509579999998</v>
      </c>
      <c r="O20" s="282">
        <v>6718.8207499999999</v>
      </c>
      <c r="P20" s="282">
        <v>920.67013999999995</v>
      </c>
      <c r="Q20" s="282">
        <v>0</v>
      </c>
      <c r="R20" s="282">
        <v>17582.83944</v>
      </c>
      <c r="S20" s="282">
        <v>6718.8207499999999</v>
      </c>
      <c r="T20" s="282">
        <v>-740.56703000000198</v>
      </c>
      <c r="U20" s="282">
        <v>-3949.9548100000002</v>
      </c>
      <c r="V20" s="282">
        <v>-323.69858999999997</v>
      </c>
      <c r="W20" s="282">
        <v>0</v>
      </c>
      <c r="X20" s="282">
        <v>-416.86844000000201</v>
      </c>
      <c r="Y20" s="283">
        <v>-3949.9548100000002</v>
      </c>
    </row>
    <row r="21" spans="1:25" x14ac:dyDescent="0.25">
      <c r="A21" s="281" t="s">
        <v>173</v>
      </c>
      <c r="B21" s="282">
        <v>1805.4831800000002</v>
      </c>
      <c r="C21" s="282">
        <v>0</v>
      </c>
      <c r="D21" s="282">
        <v>776.64745000000005</v>
      </c>
      <c r="E21" s="282">
        <v>0</v>
      </c>
      <c r="F21" s="282">
        <v>1028.83573</v>
      </c>
      <c r="G21" s="282">
        <v>0</v>
      </c>
      <c r="H21" s="282">
        <v>106.76089000000024</v>
      </c>
      <c r="I21" s="282">
        <v>-105.468</v>
      </c>
      <c r="J21" s="282">
        <v>13.262180000000058</v>
      </c>
      <c r="K21" s="282">
        <v>0</v>
      </c>
      <c r="L21" s="282">
        <v>93.498710000000074</v>
      </c>
      <c r="M21" s="282">
        <v>-105.468</v>
      </c>
      <c r="N21" s="282">
        <v>25465.049210000001</v>
      </c>
      <c r="O21" s="282">
        <v>12038.940190000001</v>
      </c>
      <c r="P21" s="282">
        <v>1189.43164</v>
      </c>
      <c r="Q21" s="282">
        <v>7.4320000000000004</v>
      </c>
      <c r="R21" s="282">
        <v>24275.617570000002</v>
      </c>
      <c r="S21" s="282">
        <v>12031.50819</v>
      </c>
      <c r="T21" s="282">
        <v>9053.6294200000011</v>
      </c>
      <c r="U21" s="282">
        <v>7681.6905600000018</v>
      </c>
      <c r="V21" s="282">
        <v>14.592759999999998</v>
      </c>
      <c r="W21" s="282">
        <v>-247.37886</v>
      </c>
      <c r="X21" s="282">
        <v>9039.0366600000016</v>
      </c>
      <c r="Y21" s="283">
        <v>7929.0694200000007</v>
      </c>
    </row>
    <row r="22" spans="1:25" x14ac:dyDescent="0.25">
      <c r="A22" s="281" t="s">
        <v>174</v>
      </c>
      <c r="B22" s="282">
        <v>2124.0300999999999</v>
      </c>
      <c r="C22" s="282">
        <v>0</v>
      </c>
      <c r="D22" s="282">
        <v>1125.9267400000001</v>
      </c>
      <c r="E22" s="282">
        <v>0</v>
      </c>
      <c r="F22" s="282">
        <v>998.10336000000007</v>
      </c>
      <c r="G22" s="282">
        <v>0</v>
      </c>
      <c r="H22" s="282">
        <v>-688.36421000000018</v>
      </c>
      <c r="I22" s="282">
        <v>-2.5857000000000001</v>
      </c>
      <c r="J22" s="282">
        <v>-792.44646999999986</v>
      </c>
      <c r="K22" s="282">
        <v>0</v>
      </c>
      <c r="L22" s="282">
        <v>104.08226000000002</v>
      </c>
      <c r="M22" s="282">
        <v>-2.5857000000000001</v>
      </c>
      <c r="N22" s="282">
        <v>16681.156900000002</v>
      </c>
      <c r="O22" s="282">
        <v>0</v>
      </c>
      <c r="P22" s="282">
        <v>2697.2194500000001</v>
      </c>
      <c r="Q22" s="282">
        <v>0</v>
      </c>
      <c r="R22" s="282">
        <v>13983.937450000001</v>
      </c>
      <c r="S22" s="282">
        <v>0</v>
      </c>
      <c r="T22" s="282">
        <v>-353.40806999999768</v>
      </c>
      <c r="U22" s="282">
        <v>-83.452550000000002</v>
      </c>
      <c r="V22" s="282">
        <v>-161.49415999999974</v>
      </c>
      <c r="W22" s="282">
        <v>0</v>
      </c>
      <c r="X22" s="282">
        <v>-191.91390999999931</v>
      </c>
      <c r="Y22" s="283">
        <v>-83.452550000000002</v>
      </c>
    </row>
    <row r="23" spans="1:25" x14ac:dyDescent="0.25">
      <c r="A23" s="281" t="s">
        <v>175</v>
      </c>
      <c r="B23" s="282">
        <v>6224.64588</v>
      </c>
      <c r="C23" s="282">
        <v>15.03227</v>
      </c>
      <c r="D23" s="282">
        <v>3497.5673700000002</v>
      </c>
      <c r="E23" s="282">
        <v>0</v>
      </c>
      <c r="F23" s="282">
        <v>2727.0785100000003</v>
      </c>
      <c r="G23" s="282">
        <v>15.03227</v>
      </c>
      <c r="H23" s="282">
        <v>163.48782000000028</v>
      </c>
      <c r="I23" s="282">
        <v>15.03227</v>
      </c>
      <c r="J23" s="282">
        <v>12.209520000000339</v>
      </c>
      <c r="K23" s="282">
        <v>0</v>
      </c>
      <c r="L23" s="282">
        <v>151.27829999999994</v>
      </c>
      <c r="M23" s="282">
        <v>15.03227</v>
      </c>
      <c r="N23" s="282">
        <v>72330.680919999999</v>
      </c>
      <c r="O23" s="282">
        <v>19251.899460000001</v>
      </c>
      <c r="P23" s="282">
        <v>7856.1597599999996</v>
      </c>
      <c r="Q23" s="282">
        <v>0</v>
      </c>
      <c r="R23" s="282">
        <v>64474.521160000004</v>
      </c>
      <c r="S23" s="282">
        <v>19251.899460000001</v>
      </c>
      <c r="T23" s="282">
        <v>3479.9022200000036</v>
      </c>
      <c r="U23" s="282">
        <v>11607.61737</v>
      </c>
      <c r="V23" s="282">
        <v>2143.8834399999996</v>
      </c>
      <c r="W23" s="282">
        <v>0</v>
      </c>
      <c r="X23" s="282">
        <v>1336.0187800000058</v>
      </c>
      <c r="Y23" s="283">
        <v>11607.61737</v>
      </c>
    </row>
    <row r="24" spans="1:25" x14ac:dyDescent="0.25">
      <c r="A24" s="281" t="s">
        <v>176</v>
      </c>
      <c r="B24" s="282">
        <v>6930.0704299999998</v>
      </c>
      <c r="C24" s="282">
        <v>534.62069999999994</v>
      </c>
      <c r="D24" s="282">
        <v>2070.0527699999998</v>
      </c>
      <c r="E24" s="282">
        <v>31.491129999999998</v>
      </c>
      <c r="F24" s="282">
        <v>4860.0176600000004</v>
      </c>
      <c r="G24" s="282">
        <v>503.12957</v>
      </c>
      <c r="H24" s="282">
        <v>2370.9569199999996</v>
      </c>
      <c r="I24" s="282">
        <v>31.491129999999941</v>
      </c>
      <c r="J24" s="282">
        <v>629.42336999999975</v>
      </c>
      <c r="K24" s="282">
        <v>31.491129999999998</v>
      </c>
      <c r="L24" s="282">
        <v>1741.5335500000006</v>
      </c>
      <c r="M24" s="282">
        <v>0</v>
      </c>
      <c r="N24" s="282">
        <v>6719.3489900000004</v>
      </c>
      <c r="O24" s="282">
        <v>0</v>
      </c>
      <c r="P24" s="282">
        <v>1935.14904</v>
      </c>
      <c r="Q24" s="282">
        <v>0</v>
      </c>
      <c r="R24" s="282">
        <v>4784.1999500000002</v>
      </c>
      <c r="S24" s="282">
        <v>0</v>
      </c>
      <c r="T24" s="282">
        <v>-3180.1728699999985</v>
      </c>
      <c r="U24" s="282">
        <v>-700.27695000000006</v>
      </c>
      <c r="V24" s="282">
        <v>132.58687000000009</v>
      </c>
      <c r="W24" s="282">
        <v>0</v>
      </c>
      <c r="X24" s="282">
        <v>-3312.7597399999995</v>
      </c>
      <c r="Y24" s="283">
        <v>-700.27695000000006</v>
      </c>
    </row>
    <row r="25" spans="1:25" x14ac:dyDescent="0.25">
      <c r="A25" s="281" t="s">
        <v>177</v>
      </c>
      <c r="B25" s="282">
        <v>11950.180059999999</v>
      </c>
      <c r="C25" s="282">
        <v>1843.7460000000001</v>
      </c>
      <c r="D25" s="282">
        <v>2059.4362999999998</v>
      </c>
      <c r="E25" s="282">
        <v>0</v>
      </c>
      <c r="F25" s="282">
        <v>9890.7437599999994</v>
      </c>
      <c r="G25" s="282">
        <v>1843.7460000000001</v>
      </c>
      <c r="H25" s="282">
        <v>4892.7501399999983</v>
      </c>
      <c r="I25" s="282">
        <v>1843.7460000000001</v>
      </c>
      <c r="J25" s="282">
        <v>-294.59581000000026</v>
      </c>
      <c r="K25" s="282">
        <v>0</v>
      </c>
      <c r="L25" s="282">
        <v>5187.345949999999</v>
      </c>
      <c r="M25" s="282">
        <v>1843.7460000000001</v>
      </c>
      <c r="N25" s="282">
        <v>26977.303939999998</v>
      </c>
      <c r="O25" s="282">
        <v>9696.2275100000006</v>
      </c>
      <c r="P25" s="282">
        <v>5194.1177200000002</v>
      </c>
      <c r="Q25" s="282">
        <v>0</v>
      </c>
      <c r="R25" s="282">
        <v>21783.18622</v>
      </c>
      <c r="S25" s="282">
        <v>9696.2275100000006</v>
      </c>
      <c r="T25" s="282">
        <v>-20069.590980000008</v>
      </c>
      <c r="U25" s="282">
        <v>-6595.8531999999996</v>
      </c>
      <c r="V25" s="282">
        <v>1137.12311</v>
      </c>
      <c r="W25" s="282">
        <v>-0.2</v>
      </c>
      <c r="X25" s="282">
        <v>-21206.714090000005</v>
      </c>
      <c r="Y25" s="283">
        <v>-6595.6531999999988</v>
      </c>
    </row>
    <row r="26" spans="1:25" x14ac:dyDescent="0.25">
      <c r="A26" s="281" t="s">
        <v>178</v>
      </c>
      <c r="B26" s="282">
        <v>11493.7124</v>
      </c>
      <c r="C26" s="282">
        <v>5.2527200000000001</v>
      </c>
      <c r="D26" s="282">
        <v>5908.8968400000003</v>
      </c>
      <c r="E26" s="282">
        <v>0</v>
      </c>
      <c r="F26" s="282">
        <v>5584.81556</v>
      </c>
      <c r="G26" s="282">
        <v>5.2527200000000001</v>
      </c>
      <c r="H26" s="282">
        <v>-2272.4289499999977</v>
      </c>
      <c r="I26" s="282">
        <v>5.2527200000000001</v>
      </c>
      <c r="J26" s="282">
        <v>935.15680000000066</v>
      </c>
      <c r="K26" s="282">
        <v>0</v>
      </c>
      <c r="L26" s="282">
        <v>-3207.5857499999993</v>
      </c>
      <c r="M26" s="282">
        <v>5.2527200000000001</v>
      </c>
      <c r="N26" s="282">
        <v>23224.737139999997</v>
      </c>
      <c r="O26" s="282">
        <v>1017.8677</v>
      </c>
      <c r="P26" s="282">
        <v>10138.162329999999</v>
      </c>
      <c r="Q26" s="282">
        <v>0</v>
      </c>
      <c r="R26" s="282">
        <v>13086.57481</v>
      </c>
      <c r="S26" s="282">
        <v>1017.8677</v>
      </c>
      <c r="T26" s="282">
        <v>7934.9549999999981</v>
      </c>
      <c r="U26" s="282">
        <v>-517.91441000000009</v>
      </c>
      <c r="V26" s="282">
        <v>1675.1686399999999</v>
      </c>
      <c r="W26" s="282">
        <v>0</v>
      </c>
      <c r="X26" s="282">
        <v>6259.7863600000001</v>
      </c>
      <c r="Y26" s="283">
        <v>-517.91441000000009</v>
      </c>
    </row>
    <row r="27" spans="1:25" x14ac:dyDescent="0.25">
      <c r="A27" s="281" t="s">
        <v>179</v>
      </c>
      <c r="B27" s="282">
        <v>7642.7688099999996</v>
      </c>
      <c r="C27" s="282">
        <v>132.6</v>
      </c>
      <c r="D27" s="282">
        <v>5162.2221099999997</v>
      </c>
      <c r="E27" s="282">
        <v>132.6</v>
      </c>
      <c r="F27" s="282">
        <v>2480.5467000000003</v>
      </c>
      <c r="G27" s="282">
        <v>0</v>
      </c>
      <c r="H27" s="282">
        <v>228.06476999999904</v>
      </c>
      <c r="I27" s="282">
        <v>132.6</v>
      </c>
      <c r="J27" s="282">
        <v>-102.59653000000071</v>
      </c>
      <c r="K27" s="282">
        <v>132.6</v>
      </c>
      <c r="L27" s="282">
        <v>330.66130000000021</v>
      </c>
      <c r="M27" s="282">
        <v>0</v>
      </c>
      <c r="N27" s="282">
        <v>67289.270959999994</v>
      </c>
      <c r="O27" s="282">
        <v>39090.756349999996</v>
      </c>
      <c r="P27" s="282">
        <v>4979.5356599999996</v>
      </c>
      <c r="Q27" s="282">
        <v>216.88848999999999</v>
      </c>
      <c r="R27" s="282">
        <v>62309.7353</v>
      </c>
      <c r="S27" s="282">
        <v>38873.867859999998</v>
      </c>
      <c r="T27" s="282">
        <v>884.11837999999989</v>
      </c>
      <c r="U27" s="282">
        <v>7930.7415899999978</v>
      </c>
      <c r="V27" s="282">
        <v>-1445.5278500000004</v>
      </c>
      <c r="W27" s="282">
        <v>-101.72210000000001</v>
      </c>
      <c r="X27" s="282">
        <v>2329.6462299999985</v>
      </c>
      <c r="Y27" s="283">
        <v>8032.4636900000005</v>
      </c>
    </row>
    <row r="28" spans="1:25" x14ac:dyDescent="0.25">
      <c r="A28" s="281" t="s">
        <v>180</v>
      </c>
      <c r="B28" s="282">
        <v>9209.0000099999997</v>
      </c>
      <c r="C28" s="282">
        <v>0</v>
      </c>
      <c r="D28" s="282">
        <v>6437.5849799999996</v>
      </c>
      <c r="E28" s="282">
        <v>0</v>
      </c>
      <c r="F28" s="282">
        <v>2771.4150300000001</v>
      </c>
      <c r="G28" s="282">
        <v>0</v>
      </c>
      <c r="H28" s="282">
        <v>2175.565129999999</v>
      </c>
      <c r="I28" s="282">
        <v>0</v>
      </c>
      <c r="J28" s="282">
        <v>2719.7202599999996</v>
      </c>
      <c r="K28" s="282">
        <v>0</v>
      </c>
      <c r="L28" s="282">
        <v>-544.1551300000001</v>
      </c>
      <c r="M28" s="282">
        <v>0</v>
      </c>
      <c r="N28" s="282">
        <v>11565.59079</v>
      </c>
      <c r="O28" s="282">
        <v>0</v>
      </c>
      <c r="P28" s="282">
        <v>9263.1158300000006</v>
      </c>
      <c r="Q28" s="282">
        <v>0</v>
      </c>
      <c r="R28" s="282">
        <v>2302.47496</v>
      </c>
      <c r="S28" s="282">
        <v>0</v>
      </c>
      <c r="T28" s="282">
        <v>6562.9059200000002</v>
      </c>
      <c r="U28" s="282">
        <v>0</v>
      </c>
      <c r="V28" s="282">
        <v>4260.4309600000006</v>
      </c>
      <c r="W28" s="282">
        <v>0</v>
      </c>
      <c r="X28" s="282">
        <v>2302.47496</v>
      </c>
      <c r="Y28" s="283">
        <v>0</v>
      </c>
    </row>
    <row r="29" spans="1:25" x14ac:dyDescent="0.25">
      <c r="A29" s="281" t="s">
        <v>181</v>
      </c>
      <c r="B29" s="282">
        <v>1327.0933500000001</v>
      </c>
      <c r="C29" s="282">
        <v>0</v>
      </c>
      <c r="D29" s="282">
        <v>732.43771000000004</v>
      </c>
      <c r="E29" s="282">
        <v>0</v>
      </c>
      <c r="F29" s="282">
        <v>594.65563999999995</v>
      </c>
      <c r="G29" s="282">
        <v>0</v>
      </c>
      <c r="H29" s="282">
        <v>143.44147000000021</v>
      </c>
      <c r="I29" s="282">
        <v>0</v>
      </c>
      <c r="J29" s="282">
        <v>137.16032000000007</v>
      </c>
      <c r="K29" s="282">
        <v>0</v>
      </c>
      <c r="L29" s="282">
        <v>6.2811499999999114</v>
      </c>
      <c r="M29" s="282">
        <v>0</v>
      </c>
      <c r="N29" s="282">
        <v>5516.6693800000003</v>
      </c>
      <c r="O29" s="282">
        <v>194.1746</v>
      </c>
      <c r="P29" s="282">
        <v>730.27356999999995</v>
      </c>
      <c r="Q29" s="282">
        <v>0</v>
      </c>
      <c r="R29" s="282">
        <v>4786.39581</v>
      </c>
      <c r="S29" s="282">
        <v>194.1746</v>
      </c>
      <c r="T29" s="282">
        <v>683.40445</v>
      </c>
      <c r="U29" s="282">
        <v>-206.38299000000001</v>
      </c>
      <c r="V29" s="282">
        <v>76.858279999999922</v>
      </c>
      <c r="W29" s="282">
        <v>0</v>
      </c>
      <c r="X29" s="282">
        <v>606.54616999999962</v>
      </c>
      <c r="Y29" s="283">
        <v>-206.38299000000001</v>
      </c>
    </row>
    <row r="30" spans="1:25" x14ac:dyDescent="0.25">
      <c r="A30" s="281" t="s">
        <v>182</v>
      </c>
      <c r="B30" s="282">
        <v>64441.775590000005</v>
      </c>
      <c r="C30" s="282">
        <v>1054.57653</v>
      </c>
      <c r="D30" s="282">
        <v>35722.306120000001</v>
      </c>
      <c r="E30" s="282">
        <v>0</v>
      </c>
      <c r="F30" s="282">
        <v>28719.46947</v>
      </c>
      <c r="G30" s="282">
        <v>1054.57653</v>
      </c>
      <c r="H30" s="282">
        <v>10915.843150000001</v>
      </c>
      <c r="I30" s="282">
        <v>-2185.8425299999999</v>
      </c>
      <c r="J30" s="282">
        <v>10600.438120000003</v>
      </c>
      <c r="K30" s="282">
        <v>0</v>
      </c>
      <c r="L30" s="282">
        <v>315.40502999999808</v>
      </c>
      <c r="M30" s="282">
        <v>-2185.8425299999999</v>
      </c>
      <c r="N30" s="282">
        <v>276473.29134</v>
      </c>
      <c r="O30" s="282">
        <v>12178.38176</v>
      </c>
      <c r="P30" s="282">
        <v>113134.78273000001</v>
      </c>
      <c r="Q30" s="282">
        <v>7322.7654300000004</v>
      </c>
      <c r="R30" s="282">
        <v>163338.50860999999</v>
      </c>
      <c r="S30" s="282">
        <v>4855.6163299999998</v>
      </c>
      <c r="T30" s="282">
        <v>111338.04278000002</v>
      </c>
      <c r="U30" s="282">
        <v>11869.419540000001</v>
      </c>
      <c r="V30" s="282">
        <v>35865.663320000007</v>
      </c>
      <c r="W30" s="282">
        <v>7322.7654300000004</v>
      </c>
      <c r="X30" s="282">
        <v>75472.379459999996</v>
      </c>
      <c r="Y30" s="283">
        <v>4546.6541099999995</v>
      </c>
    </row>
    <row r="31" spans="1:25" x14ac:dyDescent="0.25">
      <c r="A31" s="281" t="s">
        <v>183</v>
      </c>
      <c r="B31" s="282">
        <v>21585.205029999997</v>
      </c>
      <c r="C31" s="282">
        <v>1616.8004599999999</v>
      </c>
      <c r="D31" s="282">
        <v>13103.43924</v>
      </c>
      <c r="E31" s="282">
        <v>1616.8004599999999</v>
      </c>
      <c r="F31" s="282">
        <v>8481.7657899999995</v>
      </c>
      <c r="G31" s="282">
        <v>0</v>
      </c>
      <c r="H31" s="282">
        <v>5814.6187599999976</v>
      </c>
      <c r="I31" s="282">
        <v>-25</v>
      </c>
      <c r="J31" s="282">
        <v>756.95531999999912</v>
      </c>
      <c r="K31" s="282">
        <v>-25</v>
      </c>
      <c r="L31" s="282">
        <v>5057.6634399999994</v>
      </c>
      <c r="M31" s="282">
        <v>0</v>
      </c>
      <c r="N31" s="282">
        <v>24713.088660000001</v>
      </c>
      <c r="O31" s="282">
        <v>0</v>
      </c>
      <c r="P31" s="282">
        <v>22238.223959999999</v>
      </c>
      <c r="Q31" s="282">
        <v>0</v>
      </c>
      <c r="R31" s="282">
        <v>2474.8647000000001</v>
      </c>
      <c r="S31" s="282">
        <v>0</v>
      </c>
      <c r="T31" s="282">
        <v>1959.6611300000004</v>
      </c>
      <c r="U31" s="282">
        <v>0</v>
      </c>
      <c r="V31" s="282">
        <v>2097.6778799999993</v>
      </c>
      <c r="W31" s="282">
        <v>0</v>
      </c>
      <c r="X31" s="282">
        <v>-138.01674999999977</v>
      </c>
      <c r="Y31" s="283">
        <v>0</v>
      </c>
    </row>
    <row r="32" spans="1:25" x14ac:dyDescent="0.25">
      <c r="A32" s="281" t="s">
        <v>184</v>
      </c>
      <c r="B32" s="282">
        <v>18211.667030000001</v>
      </c>
      <c r="C32" s="282">
        <v>0</v>
      </c>
      <c r="D32" s="282">
        <v>9353.3105699999996</v>
      </c>
      <c r="E32" s="282">
        <v>0</v>
      </c>
      <c r="F32" s="282">
        <v>8858.3564600000009</v>
      </c>
      <c r="G32" s="282">
        <v>0</v>
      </c>
      <c r="H32" s="282">
        <v>2455.8359</v>
      </c>
      <c r="I32" s="282">
        <v>0</v>
      </c>
      <c r="J32" s="282">
        <v>1179.2538099999992</v>
      </c>
      <c r="K32" s="282">
        <v>0</v>
      </c>
      <c r="L32" s="282">
        <v>1276.5820900000008</v>
      </c>
      <c r="M32" s="282">
        <v>0</v>
      </c>
      <c r="N32" s="282">
        <v>53250.812270000002</v>
      </c>
      <c r="O32" s="282">
        <v>1700.4446400000002</v>
      </c>
      <c r="P32" s="282">
        <v>13773.2888</v>
      </c>
      <c r="Q32" s="282">
        <v>1100.06304</v>
      </c>
      <c r="R32" s="282">
        <v>39477.52347</v>
      </c>
      <c r="S32" s="282">
        <v>600.38160000000005</v>
      </c>
      <c r="T32" s="282">
        <v>-11508.438840000003</v>
      </c>
      <c r="U32" s="282">
        <v>-2021.7824399999995</v>
      </c>
      <c r="V32" s="282">
        <v>1877.9761899999994</v>
      </c>
      <c r="W32" s="282">
        <v>582.03070000000002</v>
      </c>
      <c r="X32" s="282">
        <v>-13386.415030000004</v>
      </c>
      <c r="Y32" s="283">
        <v>-2603.8131399999997</v>
      </c>
    </row>
    <row r="33" spans="1:25" x14ac:dyDescent="0.25">
      <c r="A33" s="281" t="s">
        <v>185</v>
      </c>
      <c r="B33" s="282">
        <v>7417.5186400000002</v>
      </c>
      <c r="C33" s="282">
        <v>0</v>
      </c>
      <c r="D33" s="282">
        <v>4546.2594099999997</v>
      </c>
      <c r="E33" s="282">
        <v>0</v>
      </c>
      <c r="F33" s="282">
        <v>2871.2592300000001</v>
      </c>
      <c r="G33" s="282">
        <v>0</v>
      </c>
      <c r="H33" s="282">
        <v>-1102.4157899999991</v>
      </c>
      <c r="I33" s="282">
        <v>0</v>
      </c>
      <c r="J33" s="282">
        <v>-1296.5636500000001</v>
      </c>
      <c r="K33" s="282">
        <v>0</v>
      </c>
      <c r="L33" s="282">
        <v>194.14786000000004</v>
      </c>
      <c r="M33" s="282">
        <v>0</v>
      </c>
      <c r="N33" s="282">
        <v>11890.681430000001</v>
      </c>
      <c r="O33" s="282">
        <v>0</v>
      </c>
      <c r="P33" s="282">
        <v>4266.07798</v>
      </c>
      <c r="Q33" s="282">
        <v>0</v>
      </c>
      <c r="R33" s="282">
        <v>7624.6034499999996</v>
      </c>
      <c r="S33" s="282">
        <v>0</v>
      </c>
      <c r="T33" s="282">
        <v>4812.9514400000007</v>
      </c>
      <c r="U33" s="282">
        <v>0</v>
      </c>
      <c r="V33" s="282">
        <v>-450.96774000000005</v>
      </c>
      <c r="W33" s="282">
        <v>0</v>
      </c>
      <c r="X33" s="282">
        <v>5263.919179999999</v>
      </c>
      <c r="Y33" s="283">
        <v>0</v>
      </c>
    </row>
    <row r="34" spans="1:25" x14ac:dyDescent="0.25">
      <c r="A34" s="281" t="s">
        <v>186</v>
      </c>
      <c r="B34" s="282">
        <v>4545.3363599999993</v>
      </c>
      <c r="C34" s="282">
        <v>0</v>
      </c>
      <c r="D34" s="282">
        <v>2264.5674100000001</v>
      </c>
      <c r="E34" s="282">
        <v>0</v>
      </c>
      <c r="F34" s="282">
        <v>2280.7689499999997</v>
      </c>
      <c r="G34" s="282">
        <v>0</v>
      </c>
      <c r="H34" s="282">
        <v>-2374.9200500000006</v>
      </c>
      <c r="I34" s="282">
        <v>-164.65631999999999</v>
      </c>
      <c r="J34" s="282">
        <v>-3457.5107400000002</v>
      </c>
      <c r="K34" s="282">
        <v>-164.65631999999999</v>
      </c>
      <c r="L34" s="282">
        <v>1082.5906899999998</v>
      </c>
      <c r="M34" s="282">
        <v>0</v>
      </c>
      <c r="N34" s="282">
        <v>8176.3215099999998</v>
      </c>
      <c r="O34" s="282">
        <v>222.727</v>
      </c>
      <c r="P34" s="282">
        <v>4853.43696</v>
      </c>
      <c r="Q34" s="282">
        <v>222.727</v>
      </c>
      <c r="R34" s="282">
        <v>3322.8845499999998</v>
      </c>
      <c r="S34" s="282">
        <v>0</v>
      </c>
      <c r="T34" s="282">
        <v>-5917.3202900000015</v>
      </c>
      <c r="U34" s="282">
        <v>-4050.8159800000003</v>
      </c>
      <c r="V34" s="282">
        <v>-186.51318999999967</v>
      </c>
      <c r="W34" s="282">
        <v>-318.69000000000005</v>
      </c>
      <c r="X34" s="282">
        <v>-5730.8071000000009</v>
      </c>
      <c r="Y34" s="283">
        <v>-3732.1259800000003</v>
      </c>
    </row>
    <row r="35" spans="1:25" x14ac:dyDescent="0.25">
      <c r="A35" s="281" t="s">
        <v>187</v>
      </c>
      <c r="B35" s="282">
        <v>583.82596999999998</v>
      </c>
      <c r="C35" s="282">
        <v>80.891310000000004</v>
      </c>
      <c r="D35" s="282">
        <v>174.04485</v>
      </c>
      <c r="E35" s="282">
        <v>47.369199999999999</v>
      </c>
      <c r="F35" s="282">
        <v>409.78111999999999</v>
      </c>
      <c r="G35" s="282">
        <v>33.522109999999998</v>
      </c>
      <c r="H35" s="282">
        <v>30.254410000000007</v>
      </c>
      <c r="I35" s="282">
        <v>0</v>
      </c>
      <c r="J35" s="282">
        <v>-28.203000000000003</v>
      </c>
      <c r="K35" s="282">
        <v>0</v>
      </c>
      <c r="L35" s="282">
        <v>58.457409999999982</v>
      </c>
      <c r="M35" s="282">
        <v>0</v>
      </c>
      <c r="N35" s="282">
        <v>840.65505000000007</v>
      </c>
      <c r="O35" s="282">
        <v>0</v>
      </c>
      <c r="P35" s="282">
        <v>555.83820000000003</v>
      </c>
      <c r="Q35" s="282">
        <v>0</v>
      </c>
      <c r="R35" s="282">
        <v>284.81684999999999</v>
      </c>
      <c r="S35" s="282">
        <v>0</v>
      </c>
      <c r="T35" s="282">
        <v>410.32745000000006</v>
      </c>
      <c r="U35" s="282">
        <v>0</v>
      </c>
      <c r="V35" s="282">
        <v>125.51060000000001</v>
      </c>
      <c r="W35" s="282">
        <v>0</v>
      </c>
      <c r="X35" s="282">
        <v>284.81684999999999</v>
      </c>
      <c r="Y35" s="283">
        <v>0</v>
      </c>
    </row>
    <row r="36" spans="1:25" x14ac:dyDescent="0.25">
      <c r="A36" s="281" t="s">
        <v>188</v>
      </c>
      <c r="B36" s="282">
        <v>3181.9762700000001</v>
      </c>
      <c r="C36" s="282">
        <v>1.3740000000000001</v>
      </c>
      <c r="D36" s="282">
        <v>685.52299000000005</v>
      </c>
      <c r="E36" s="282">
        <v>0</v>
      </c>
      <c r="F36" s="282">
        <v>2496.4532800000002</v>
      </c>
      <c r="G36" s="282">
        <v>1.3740000000000001</v>
      </c>
      <c r="H36" s="282">
        <v>795.69189999999981</v>
      </c>
      <c r="I36" s="282">
        <v>-104.55083</v>
      </c>
      <c r="J36" s="282">
        <v>-348.95700999999997</v>
      </c>
      <c r="K36" s="282">
        <v>0</v>
      </c>
      <c r="L36" s="282">
        <v>1144.6489100000001</v>
      </c>
      <c r="M36" s="282">
        <v>-104.55083</v>
      </c>
      <c r="N36" s="282">
        <v>288.24482</v>
      </c>
      <c r="O36" s="282">
        <v>0</v>
      </c>
      <c r="P36" s="282">
        <v>117.02003999999999</v>
      </c>
      <c r="Q36" s="282">
        <v>0</v>
      </c>
      <c r="R36" s="282">
        <v>171.22478000000001</v>
      </c>
      <c r="S36" s="282">
        <v>0</v>
      </c>
      <c r="T36" s="282">
        <v>-305.07524000000001</v>
      </c>
      <c r="U36" s="282">
        <v>0</v>
      </c>
      <c r="V36" s="282">
        <v>-452.43331999999998</v>
      </c>
      <c r="W36" s="282">
        <v>0</v>
      </c>
      <c r="X36" s="282">
        <v>147.35808</v>
      </c>
      <c r="Y36" s="283">
        <v>0</v>
      </c>
    </row>
    <row r="37" spans="1:25" x14ac:dyDescent="0.25">
      <c r="A37" s="298" t="s">
        <v>189</v>
      </c>
      <c r="B37" s="299">
        <v>226882.18571999998</v>
      </c>
      <c r="C37" s="299">
        <v>5786.5076500000005</v>
      </c>
      <c r="D37" s="299">
        <v>119617.16608000001</v>
      </c>
      <c r="E37" s="299">
        <v>1962.43453</v>
      </c>
      <c r="F37" s="299">
        <v>107265.01963999998</v>
      </c>
      <c r="G37" s="299">
        <v>3824.07312</v>
      </c>
      <c r="H37" s="299">
        <v>28940.35572</v>
      </c>
      <c r="I37" s="299">
        <v>-868.16867000000013</v>
      </c>
      <c r="J37" s="299">
        <v>10604.346020000003</v>
      </c>
      <c r="K37" s="299">
        <v>-110.64081000000002</v>
      </c>
      <c r="L37" s="299">
        <v>18336.009699999999</v>
      </c>
      <c r="M37" s="299">
        <v>-757.52786000000003</v>
      </c>
      <c r="N37" s="299">
        <v>856737.00410999998</v>
      </c>
      <c r="O37" s="299">
        <v>197636.76759</v>
      </c>
      <c r="P37" s="299">
        <v>241973.24943000003</v>
      </c>
      <c r="Q37" s="299">
        <v>30151.292880000001</v>
      </c>
      <c r="R37" s="299">
        <v>614763.75468000001</v>
      </c>
      <c r="S37" s="299">
        <v>167485.47471000001</v>
      </c>
      <c r="T37" s="299">
        <v>89224.728410000011</v>
      </c>
      <c r="U37" s="299">
        <v>-4310.7784900000024</v>
      </c>
      <c r="V37" s="299">
        <v>44457.113660000017</v>
      </c>
      <c r="W37" s="299">
        <v>7592.8380500000003</v>
      </c>
      <c r="X37" s="299">
        <v>44767.614750000001</v>
      </c>
      <c r="Y37" s="300">
        <v>-11903.616539999999</v>
      </c>
    </row>
    <row r="38" spans="1:25" x14ac:dyDescent="0.25">
      <c r="A38" s="281" t="s">
        <v>332</v>
      </c>
      <c r="B38" s="282">
        <v>10623994.144379998</v>
      </c>
      <c r="C38" s="282">
        <v>56801.122969999989</v>
      </c>
      <c r="D38" s="282">
        <v>512761.64773999999</v>
      </c>
      <c r="E38" s="282">
        <v>55455.322</v>
      </c>
      <c r="F38" s="282">
        <v>10111232.496639999</v>
      </c>
      <c r="G38" s="282">
        <v>1345.80097</v>
      </c>
      <c r="H38" s="282">
        <v>1680829.5287500001</v>
      </c>
      <c r="I38" s="282">
        <v>41325.40294</v>
      </c>
      <c r="J38" s="282">
        <v>-81715.012009999977</v>
      </c>
      <c r="K38" s="282">
        <v>41207.709289999999</v>
      </c>
      <c r="L38" s="282">
        <v>1762544.5407599988</v>
      </c>
      <c r="M38" s="282">
        <v>117.69365000000005</v>
      </c>
      <c r="N38" s="282">
        <v>2669542.01241</v>
      </c>
      <c r="O38" s="282">
        <v>317412.67443000001</v>
      </c>
      <c r="P38" s="282">
        <v>2003192.8426900001</v>
      </c>
      <c r="Q38" s="282">
        <v>315363.22836000001</v>
      </c>
      <c r="R38" s="282">
        <v>666349.16972000001</v>
      </c>
      <c r="S38" s="282">
        <v>2049.44607</v>
      </c>
      <c r="T38" s="282">
        <v>527051.93285999959</v>
      </c>
      <c r="U38" s="282">
        <v>-67714.991129999995</v>
      </c>
      <c r="V38" s="282">
        <v>168196.53298999998</v>
      </c>
      <c r="W38" s="282">
        <v>-68959.559580000016</v>
      </c>
      <c r="X38" s="282">
        <v>358855.39987000002</v>
      </c>
      <c r="Y38" s="283">
        <v>1244.5684500000002</v>
      </c>
    </row>
    <row r="39" spans="1:25" ht="13.8" thickBot="1" x14ac:dyDescent="0.3">
      <c r="A39" s="301" t="s">
        <v>333</v>
      </c>
      <c r="B39" s="302">
        <v>10850876.330099998</v>
      </c>
      <c r="C39" s="302">
        <v>62587.630619999989</v>
      </c>
      <c r="D39" s="302">
        <v>632378.81382000004</v>
      </c>
      <c r="E39" s="302">
        <v>57417.756529999999</v>
      </c>
      <c r="F39" s="302">
        <v>10218497.516279999</v>
      </c>
      <c r="G39" s="302">
        <v>5169.8740900000003</v>
      </c>
      <c r="H39" s="302">
        <v>1709769.8844700002</v>
      </c>
      <c r="I39" s="302">
        <v>40457.234270000001</v>
      </c>
      <c r="J39" s="302">
        <v>-71110.66598999998</v>
      </c>
      <c r="K39" s="302">
        <v>41097.068480000002</v>
      </c>
      <c r="L39" s="302">
        <v>1780880.5504599989</v>
      </c>
      <c r="M39" s="302">
        <v>-639.83420999999998</v>
      </c>
      <c r="N39" s="302">
        <v>3526279.0165200001</v>
      </c>
      <c r="O39" s="302">
        <v>515049.44202000002</v>
      </c>
      <c r="P39" s="302">
        <v>2245166.0921200002</v>
      </c>
      <c r="Q39" s="302">
        <v>345514.52124000003</v>
      </c>
      <c r="R39" s="302">
        <v>1281112.9243999999</v>
      </c>
      <c r="S39" s="302">
        <v>169534.92077999999</v>
      </c>
      <c r="T39" s="302">
        <v>616276.66126999957</v>
      </c>
      <c r="U39" s="302">
        <v>-72025.769619999992</v>
      </c>
      <c r="V39" s="302">
        <v>212653.64665000001</v>
      </c>
      <c r="W39" s="302">
        <v>-61366.721530000017</v>
      </c>
      <c r="X39" s="302">
        <v>403623.01462000003</v>
      </c>
      <c r="Y39" s="303">
        <v>-10659.048089999998</v>
      </c>
    </row>
    <row r="40" spans="1:25" ht="13.8" thickTop="1" x14ac:dyDescent="0.25"/>
    <row r="41" spans="1:25" hidden="1" x14ac:dyDescent="0.25">
      <c r="B41" s="280">
        <f t="shared" ref="B41:C41" si="0">B37/1000</f>
        <v>226.88218571999997</v>
      </c>
      <c r="C41" s="280">
        <f t="shared" si="0"/>
        <v>5.7865076500000008</v>
      </c>
      <c r="D41" s="280">
        <f t="shared" ref="D41:Y41" si="1">D37/1000</f>
        <v>119.61716608</v>
      </c>
      <c r="E41" s="280">
        <f t="shared" si="1"/>
        <v>1.9624345299999999</v>
      </c>
      <c r="F41" s="280">
        <f t="shared" si="1"/>
        <v>107.26501963999998</v>
      </c>
      <c r="G41" s="280">
        <f t="shared" si="1"/>
        <v>3.82407312</v>
      </c>
      <c r="H41" s="280">
        <f t="shared" si="1"/>
        <v>28.940355719999999</v>
      </c>
      <c r="I41" s="280">
        <f t="shared" si="1"/>
        <v>-0.86816867000000009</v>
      </c>
      <c r="J41" s="280">
        <f t="shared" si="1"/>
        <v>10.604346020000003</v>
      </c>
      <c r="K41" s="280">
        <f t="shared" si="1"/>
        <v>-0.11064081000000002</v>
      </c>
      <c r="L41" s="280">
        <f t="shared" si="1"/>
        <v>18.336009699999998</v>
      </c>
      <c r="M41" s="280">
        <f t="shared" si="1"/>
        <v>-0.75752786000000005</v>
      </c>
      <c r="N41" s="280">
        <f t="shared" si="1"/>
        <v>856.73700410999993</v>
      </c>
      <c r="O41" s="280">
        <f t="shared" si="1"/>
        <v>197.63676759000001</v>
      </c>
      <c r="P41" s="280">
        <f t="shared" si="1"/>
        <v>241.97324943000004</v>
      </c>
      <c r="Q41" s="280">
        <f t="shared" si="1"/>
        <v>30.15129288</v>
      </c>
      <c r="R41" s="280">
        <f t="shared" si="1"/>
        <v>614.76375468000003</v>
      </c>
      <c r="S41" s="280">
        <f t="shared" si="1"/>
        <v>167.48547471000001</v>
      </c>
      <c r="T41" s="280">
        <f t="shared" si="1"/>
        <v>89.224728410000012</v>
      </c>
      <c r="U41" s="280">
        <f t="shared" si="1"/>
        <v>-4.3107784900000023</v>
      </c>
      <c r="V41" s="280">
        <f t="shared" si="1"/>
        <v>44.457113660000019</v>
      </c>
      <c r="W41" s="280">
        <f t="shared" si="1"/>
        <v>7.5928380500000001</v>
      </c>
      <c r="X41" s="280">
        <f t="shared" si="1"/>
        <v>44.76761475</v>
      </c>
      <c r="Y41" s="280">
        <f t="shared" si="1"/>
        <v>-11.90361654</v>
      </c>
    </row>
    <row r="42" spans="1:25" hidden="1" x14ac:dyDescent="0.25">
      <c r="B42" s="280">
        <f t="shared" ref="B42:C42" si="2">B38/1000</f>
        <v>10623.994144379998</v>
      </c>
      <c r="C42" s="280">
        <f t="shared" si="2"/>
        <v>56.801122969999987</v>
      </c>
      <c r="D42" s="280">
        <f t="shared" ref="D42:Y42" si="3">D38/1000</f>
        <v>512.76164773999994</v>
      </c>
      <c r="E42" s="280">
        <f t="shared" si="3"/>
        <v>55.455322000000002</v>
      </c>
      <c r="F42" s="280">
        <f t="shared" si="3"/>
        <v>10111.232496639999</v>
      </c>
      <c r="G42" s="280">
        <f t="shared" si="3"/>
        <v>1.34580097</v>
      </c>
      <c r="H42" s="280">
        <f t="shared" si="3"/>
        <v>1680.82952875</v>
      </c>
      <c r="I42" s="280">
        <f t="shared" si="3"/>
        <v>41.325402939999996</v>
      </c>
      <c r="J42" s="280">
        <f t="shared" si="3"/>
        <v>-81.715012009999981</v>
      </c>
      <c r="K42" s="280">
        <f t="shared" si="3"/>
        <v>41.207709289999997</v>
      </c>
      <c r="L42" s="280">
        <f t="shared" si="3"/>
        <v>1762.5445407599989</v>
      </c>
      <c r="M42" s="280">
        <f t="shared" si="3"/>
        <v>0.11769365000000005</v>
      </c>
      <c r="N42" s="280">
        <f t="shared" si="3"/>
        <v>2669.5420124100001</v>
      </c>
      <c r="O42" s="280">
        <f t="shared" si="3"/>
        <v>317.41267443000004</v>
      </c>
      <c r="P42" s="280">
        <f t="shared" si="3"/>
        <v>2003.1928426900001</v>
      </c>
      <c r="Q42" s="280">
        <f t="shared" si="3"/>
        <v>315.36322835999999</v>
      </c>
      <c r="R42" s="280">
        <f t="shared" si="3"/>
        <v>666.34916971999996</v>
      </c>
      <c r="S42" s="280">
        <f t="shared" si="3"/>
        <v>2.0494460700000001</v>
      </c>
      <c r="T42" s="280">
        <f t="shared" si="3"/>
        <v>527.05193285999962</v>
      </c>
      <c r="U42" s="280">
        <f t="shared" si="3"/>
        <v>-67.714991130000001</v>
      </c>
      <c r="V42" s="280">
        <f t="shared" si="3"/>
        <v>168.19653298999998</v>
      </c>
      <c r="W42" s="280">
        <f t="shared" si="3"/>
        <v>-68.959559580000018</v>
      </c>
      <c r="X42" s="280">
        <f t="shared" si="3"/>
        <v>358.85539987000004</v>
      </c>
      <c r="Y42" s="280">
        <f t="shared" si="3"/>
        <v>1.2445684500000003</v>
      </c>
    </row>
    <row r="43" spans="1:25" hidden="1" x14ac:dyDescent="0.25">
      <c r="B43" s="280">
        <f t="shared" ref="B43:C43" si="4">B39/1000</f>
        <v>10850.876330099998</v>
      </c>
      <c r="C43" s="280">
        <f t="shared" si="4"/>
        <v>62.587630619999992</v>
      </c>
      <c r="D43" s="280">
        <f t="shared" ref="D43:Y43" si="5">D39/1000</f>
        <v>632.37881382</v>
      </c>
      <c r="E43" s="280">
        <f t="shared" si="5"/>
        <v>57.417756529999998</v>
      </c>
      <c r="F43" s="280">
        <f t="shared" si="5"/>
        <v>10218.497516279998</v>
      </c>
      <c r="G43" s="280">
        <f t="shared" si="5"/>
        <v>5.1698740900000004</v>
      </c>
      <c r="H43" s="280">
        <f t="shared" si="5"/>
        <v>1709.7698844700001</v>
      </c>
      <c r="I43" s="280">
        <f t="shared" si="5"/>
        <v>40.457234270000001</v>
      </c>
      <c r="J43" s="280">
        <f t="shared" si="5"/>
        <v>-71.110665989999973</v>
      </c>
      <c r="K43" s="280">
        <f t="shared" si="5"/>
        <v>41.097068480000004</v>
      </c>
      <c r="L43" s="280">
        <f t="shared" si="5"/>
        <v>1780.8805504599989</v>
      </c>
      <c r="M43" s="280">
        <f t="shared" si="5"/>
        <v>-0.63983420999999996</v>
      </c>
      <c r="N43" s="280">
        <f t="shared" si="5"/>
        <v>3526.2790165199999</v>
      </c>
      <c r="O43" s="280">
        <f t="shared" si="5"/>
        <v>515.04944202000001</v>
      </c>
      <c r="P43" s="280">
        <f t="shared" si="5"/>
        <v>2245.16609212</v>
      </c>
      <c r="Q43" s="280">
        <f t="shared" si="5"/>
        <v>345.51452124000002</v>
      </c>
      <c r="R43" s="280">
        <f t="shared" si="5"/>
        <v>1281.1129243999999</v>
      </c>
      <c r="S43" s="280">
        <f t="shared" si="5"/>
        <v>169.53492077999999</v>
      </c>
      <c r="T43" s="280">
        <f t="shared" si="5"/>
        <v>616.27666126999952</v>
      </c>
      <c r="U43" s="280">
        <f t="shared" si="5"/>
        <v>-72.025769619999991</v>
      </c>
      <c r="V43" s="280">
        <f t="shared" si="5"/>
        <v>212.65364665000001</v>
      </c>
      <c r="W43" s="280">
        <f t="shared" si="5"/>
        <v>-61.366721530000014</v>
      </c>
      <c r="X43" s="280">
        <f t="shared" si="5"/>
        <v>403.62301462000005</v>
      </c>
      <c r="Y43" s="280">
        <f t="shared" si="5"/>
        <v>-10.659048089999999</v>
      </c>
    </row>
    <row r="46" spans="1:25" s="288" customFormat="1" x14ac:dyDescent="0.25">
      <c r="A46" s="389"/>
      <c r="B46" s="515"/>
      <c r="C46" s="515"/>
      <c r="D46" s="515"/>
      <c r="E46" s="515"/>
      <c r="F46" s="515"/>
      <c r="G46" s="515"/>
      <c r="H46" s="514"/>
      <c r="I46" s="514"/>
      <c r="J46" s="514"/>
      <c r="K46" s="514"/>
      <c r="L46" s="514"/>
      <c r="M46" s="514"/>
      <c r="N46" s="515"/>
      <c r="O46" s="515"/>
      <c r="P46" s="515"/>
      <c r="Q46" s="515"/>
      <c r="R46" s="515"/>
      <c r="S46" s="515"/>
      <c r="T46" s="514"/>
      <c r="U46" s="514"/>
      <c r="V46" s="514"/>
      <c r="W46" s="514"/>
      <c r="X46" s="514"/>
      <c r="Y46" s="514"/>
    </row>
    <row r="47" spans="1:25" s="288" customFormat="1" x14ac:dyDescent="0.25">
      <c r="A47" s="389"/>
    </row>
    <row r="48" spans="1:25" s="288" customFormat="1" x14ac:dyDescent="0.25">
      <c r="A48" s="389"/>
    </row>
    <row r="49" spans="1:1" s="288" customFormat="1" x14ac:dyDescent="0.25">
      <c r="A49" s="389"/>
    </row>
  </sheetData>
  <mergeCells count="34">
    <mergeCell ref="B3:M3"/>
    <mergeCell ref="K1:L1"/>
    <mergeCell ref="P8:P9"/>
    <mergeCell ref="V8:V9"/>
    <mergeCell ref="X1:Y1"/>
    <mergeCell ref="D7:G7"/>
    <mergeCell ref="C7:C9"/>
    <mergeCell ref="I7:I9"/>
    <mergeCell ref="J7:M7"/>
    <mergeCell ref="O7:O9"/>
    <mergeCell ref="P7:S7"/>
    <mergeCell ref="U7:U9"/>
    <mergeCell ref="V7:Y7"/>
    <mergeCell ref="H46:M46"/>
    <mergeCell ref="T46:Y46"/>
    <mergeCell ref="B46:G46"/>
    <mergeCell ref="N46:S46"/>
    <mergeCell ref="X8:X9"/>
    <mergeCell ref="F8:F9"/>
    <mergeCell ref="L8:L9"/>
    <mergeCell ref="R8:R9"/>
    <mergeCell ref="D8:D9"/>
    <mergeCell ref="J8:J9"/>
    <mergeCell ref="A5:A9"/>
    <mergeCell ref="B5:M5"/>
    <mergeCell ref="N5:Y5"/>
    <mergeCell ref="B6:G6"/>
    <mergeCell ref="H6:M6"/>
    <mergeCell ref="N6:S6"/>
    <mergeCell ref="T6:Y6"/>
    <mergeCell ref="T7:T9"/>
    <mergeCell ref="H7:H9"/>
    <mergeCell ref="B7:B9"/>
    <mergeCell ref="N7:N9"/>
  </mergeCells>
  <conditionalFormatting sqref="B11:XFD39">
    <cfRule type="cellIs" dxfId="1" priority="1" operator="equal">
      <formula>0</formula>
    </cfRule>
  </conditionalFormatting>
  <printOptions horizontalCentered="1"/>
  <pageMargins left="0" right="0" top="0.55118110236220474" bottom="0.35433070866141736" header="0.31496062992125984" footer="0.11811023622047245"/>
  <pageSetup paperSize="9" fitToWidth="100" orientation="landscape" r:id="rId1"/>
  <headerFooter>
    <oddFooter>&amp;C&amp;9Страница 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29"/>
  <sheetViews>
    <sheetView tabSelected="1" zoomScaleNormal="100" workbookViewId="0">
      <pane xSplit="1" ySplit="9" topLeftCell="B19" activePane="bottomRight" state="frozen"/>
      <selection pane="topRight" activeCell="B1" sqref="B1"/>
      <selection pane="bottomLeft" activeCell="A10" sqref="A10"/>
      <selection pane="bottomRight" activeCell="A24" sqref="A24"/>
    </sheetView>
  </sheetViews>
  <sheetFormatPr defaultColWidth="9.109375" defaultRowHeight="13.2" x14ac:dyDescent="0.25"/>
  <cols>
    <col min="1" max="1" width="20.5546875" style="293" bestFit="1" customWidth="1"/>
    <col min="2" max="2" width="12.33203125" style="280" bestFit="1" customWidth="1"/>
    <col min="3" max="3" width="9.109375" style="280"/>
    <col min="4" max="4" width="11.109375" style="280" customWidth="1"/>
    <col min="5" max="5" width="9.109375" style="280"/>
    <col min="6" max="6" width="12.33203125" style="280" bestFit="1" customWidth="1"/>
    <col min="7" max="7" width="9.109375" style="280"/>
    <col min="8" max="8" width="12" style="280" customWidth="1"/>
    <col min="9" max="9" width="9.109375" style="280"/>
    <col min="10" max="10" width="11.33203125" style="280" bestFit="1" customWidth="1"/>
    <col min="11" max="11" width="9.6640625" style="280" bestFit="1" customWidth="1"/>
    <col min="12" max="12" width="12.44140625" style="280" customWidth="1"/>
    <col min="13" max="13" width="9.109375" style="280"/>
    <col min="14" max="14" width="11.33203125" style="280" bestFit="1" customWidth="1"/>
    <col min="15" max="15" width="9.6640625" style="280" bestFit="1" customWidth="1"/>
    <col min="16" max="16" width="12.5546875" style="280" customWidth="1"/>
    <col min="17" max="17" width="10.33203125" style="280" customWidth="1"/>
    <col min="18" max="18" width="9.88671875" style="280" customWidth="1"/>
    <col min="19" max="19" width="9.109375" style="280"/>
    <col min="20" max="20" width="10.33203125" style="280" bestFit="1" customWidth="1"/>
    <col min="21" max="21" width="9.109375" style="280"/>
    <col min="22" max="22" width="10.109375" style="280" customWidth="1"/>
    <col min="23" max="23" width="9.109375" style="280"/>
    <col min="24" max="24" width="10.88671875" style="280" customWidth="1"/>
    <col min="25" max="16384" width="9.109375" style="280"/>
  </cols>
  <sheetData>
    <row r="1" spans="1:25" s="383" customFormat="1" ht="21.75" customHeight="1" x14ac:dyDescent="0.25">
      <c r="L1" s="520" t="s">
        <v>391</v>
      </c>
      <c r="M1" s="520"/>
      <c r="P1" s="391"/>
      <c r="Q1" s="391"/>
      <c r="X1" s="520" t="s">
        <v>391</v>
      </c>
      <c r="Y1" s="520"/>
    </row>
    <row r="2" spans="1:25" s="279" customFormat="1" ht="33.75" customHeight="1" x14ac:dyDescent="0.25">
      <c r="A2" s="374"/>
      <c r="B2" s="477" t="s">
        <v>465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374"/>
      <c r="O2" s="374"/>
      <c r="P2" s="374"/>
      <c r="Q2" s="374"/>
    </row>
    <row r="3" spans="1:25" s="279" customFormat="1" ht="13.8" thickBot="1" x14ac:dyDescent="0.3">
      <c r="M3" s="394" t="s">
        <v>192</v>
      </c>
      <c r="P3" s="390"/>
      <c r="Q3" s="390"/>
      <c r="Y3" s="394" t="s">
        <v>192</v>
      </c>
    </row>
    <row r="4" spans="1:25" s="370" customFormat="1" ht="13.5" customHeight="1" thickTop="1" x14ac:dyDescent="0.25">
      <c r="A4" s="498" t="s">
        <v>328</v>
      </c>
      <c r="B4" s="478" t="s">
        <v>336</v>
      </c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 t="s">
        <v>337</v>
      </c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9"/>
    </row>
    <row r="5" spans="1:25" s="370" customFormat="1" ht="12.75" customHeight="1" x14ac:dyDescent="0.25">
      <c r="A5" s="499"/>
      <c r="B5" s="474" t="s">
        <v>422</v>
      </c>
      <c r="C5" s="474"/>
      <c r="D5" s="474"/>
      <c r="E5" s="474"/>
      <c r="F5" s="474"/>
      <c r="G5" s="474"/>
      <c r="H5" s="474" t="s">
        <v>437</v>
      </c>
      <c r="I5" s="474"/>
      <c r="J5" s="474"/>
      <c r="K5" s="474"/>
      <c r="L5" s="474"/>
      <c r="M5" s="474"/>
      <c r="N5" s="474" t="s">
        <v>422</v>
      </c>
      <c r="O5" s="474"/>
      <c r="P5" s="474"/>
      <c r="Q5" s="474"/>
      <c r="R5" s="474"/>
      <c r="S5" s="474"/>
      <c r="T5" s="474" t="s">
        <v>437</v>
      </c>
      <c r="U5" s="474"/>
      <c r="V5" s="474"/>
      <c r="W5" s="474"/>
      <c r="X5" s="474"/>
      <c r="Y5" s="475"/>
    </row>
    <row r="6" spans="1:25" s="370" customFormat="1" ht="12.75" customHeight="1" x14ac:dyDescent="0.25">
      <c r="A6" s="499"/>
      <c r="B6" s="474" t="s">
        <v>338</v>
      </c>
      <c r="C6" s="474" t="s">
        <v>339</v>
      </c>
      <c r="D6" s="474"/>
      <c r="E6" s="474"/>
      <c r="F6" s="474"/>
      <c r="G6" s="474"/>
      <c r="H6" s="474" t="s">
        <v>338</v>
      </c>
      <c r="I6" s="474" t="s">
        <v>339</v>
      </c>
      <c r="J6" s="474"/>
      <c r="K6" s="474"/>
      <c r="L6" s="474"/>
      <c r="M6" s="474"/>
      <c r="N6" s="474" t="s">
        <v>338</v>
      </c>
      <c r="O6" s="474" t="s">
        <v>339</v>
      </c>
      <c r="P6" s="474"/>
      <c r="Q6" s="474"/>
      <c r="R6" s="474"/>
      <c r="S6" s="474"/>
      <c r="T6" s="474" t="s">
        <v>338</v>
      </c>
      <c r="U6" s="474" t="s">
        <v>339</v>
      </c>
      <c r="V6" s="474"/>
      <c r="W6" s="474"/>
      <c r="X6" s="474"/>
      <c r="Y6" s="475"/>
    </row>
    <row r="7" spans="1:25" s="370" customFormat="1" ht="12.75" customHeight="1" x14ac:dyDescent="0.25">
      <c r="A7" s="499"/>
      <c r="B7" s="474"/>
      <c r="C7" s="367" t="s">
        <v>143</v>
      </c>
      <c r="D7" s="474" t="s">
        <v>464</v>
      </c>
      <c r="E7" s="367" t="s">
        <v>143</v>
      </c>
      <c r="F7" s="474" t="s">
        <v>463</v>
      </c>
      <c r="G7" s="367" t="s">
        <v>143</v>
      </c>
      <c r="H7" s="474"/>
      <c r="I7" s="367" t="s">
        <v>143</v>
      </c>
      <c r="J7" s="474" t="s">
        <v>464</v>
      </c>
      <c r="K7" s="367" t="s">
        <v>143</v>
      </c>
      <c r="L7" s="474" t="s">
        <v>463</v>
      </c>
      <c r="M7" s="367" t="s">
        <v>143</v>
      </c>
      <c r="N7" s="474"/>
      <c r="O7" s="367" t="s">
        <v>143</v>
      </c>
      <c r="P7" s="474" t="s">
        <v>464</v>
      </c>
      <c r="Q7" s="367" t="s">
        <v>143</v>
      </c>
      <c r="R7" s="474" t="s">
        <v>340</v>
      </c>
      <c r="S7" s="367" t="s">
        <v>143</v>
      </c>
      <c r="T7" s="474"/>
      <c r="U7" s="367" t="s">
        <v>143</v>
      </c>
      <c r="V7" s="474" t="s">
        <v>464</v>
      </c>
      <c r="W7" s="367" t="s">
        <v>143</v>
      </c>
      <c r="X7" s="474" t="s">
        <v>340</v>
      </c>
      <c r="Y7" s="368" t="s">
        <v>143</v>
      </c>
    </row>
    <row r="8" spans="1:25" s="370" customFormat="1" ht="26.4" x14ac:dyDescent="0.25">
      <c r="A8" s="499"/>
      <c r="B8" s="474"/>
      <c r="C8" s="367" t="s">
        <v>341</v>
      </c>
      <c r="D8" s="474"/>
      <c r="E8" s="367" t="s">
        <v>341</v>
      </c>
      <c r="F8" s="474"/>
      <c r="G8" s="367" t="s">
        <v>341</v>
      </c>
      <c r="H8" s="474"/>
      <c r="I8" s="367" t="s">
        <v>341</v>
      </c>
      <c r="J8" s="474"/>
      <c r="K8" s="367" t="s">
        <v>341</v>
      </c>
      <c r="L8" s="474"/>
      <c r="M8" s="367" t="s">
        <v>341</v>
      </c>
      <c r="N8" s="474"/>
      <c r="O8" s="367" t="s">
        <v>341</v>
      </c>
      <c r="P8" s="474"/>
      <c r="Q8" s="367" t="s">
        <v>341</v>
      </c>
      <c r="R8" s="474"/>
      <c r="S8" s="367" t="s">
        <v>341</v>
      </c>
      <c r="T8" s="474"/>
      <c r="U8" s="367" t="s">
        <v>341</v>
      </c>
      <c r="V8" s="474"/>
      <c r="W8" s="367" t="s">
        <v>341</v>
      </c>
      <c r="X8" s="474"/>
      <c r="Y8" s="368" t="s">
        <v>341</v>
      </c>
    </row>
    <row r="9" spans="1:25" s="249" customFormat="1" ht="10.199999999999999" x14ac:dyDescent="0.25">
      <c r="A9" s="248">
        <v>1</v>
      </c>
      <c r="B9" s="246">
        <v>2</v>
      </c>
      <c r="C9" s="246">
        <v>3</v>
      </c>
      <c r="D9" s="246">
        <v>4</v>
      </c>
      <c r="E9" s="246">
        <v>5</v>
      </c>
      <c r="F9" s="246">
        <v>6</v>
      </c>
      <c r="G9" s="246">
        <v>7</v>
      </c>
      <c r="H9" s="246">
        <v>8</v>
      </c>
      <c r="I9" s="246">
        <v>9</v>
      </c>
      <c r="J9" s="246">
        <v>10</v>
      </c>
      <c r="K9" s="246">
        <v>11</v>
      </c>
      <c r="L9" s="246">
        <v>12</v>
      </c>
      <c r="M9" s="246">
        <v>13</v>
      </c>
      <c r="N9" s="246">
        <v>14</v>
      </c>
      <c r="O9" s="246">
        <v>15</v>
      </c>
      <c r="P9" s="246">
        <v>16</v>
      </c>
      <c r="Q9" s="246">
        <v>17</v>
      </c>
      <c r="R9" s="246">
        <v>18</v>
      </c>
      <c r="S9" s="246">
        <v>19</v>
      </c>
      <c r="T9" s="246">
        <v>20</v>
      </c>
      <c r="U9" s="246">
        <v>21</v>
      </c>
      <c r="V9" s="246">
        <v>22</v>
      </c>
      <c r="W9" s="246">
        <v>23</v>
      </c>
      <c r="X9" s="246">
        <v>24</v>
      </c>
      <c r="Y9" s="247">
        <v>25</v>
      </c>
    </row>
    <row r="10" spans="1:25" s="296" customFormat="1" x14ac:dyDescent="0.25">
      <c r="A10" s="281" t="s">
        <v>446</v>
      </c>
      <c r="B10" s="282">
        <v>6904.86373</v>
      </c>
      <c r="C10" s="282">
        <v>0</v>
      </c>
      <c r="D10" s="282">
        <v>6857.9339900000004</v>
      </c>
      <c r="E10" s="282">
        <v>0</v>
      </c>
      <c r="F10" s="282">
        <v>46.929740000000002</v>
      </c>
      <c r="G10" s="282">
        <v>0</v>
      </c>
      <c r="H10" s="282">
        <v>584.260410000001</v>
      </c>
      <c r="I10" s="282">
        <v>0</v>
      </c>
      <c r="J10" s="282">
        <v>549.29922000000079</v>
      </c>
      <c r="K10" s="282">
        <v>0</v>
      </c>
      <c r="L10" s="282">
        <v>34.961190000000002</v>
      </c>
      <c r="M10" s="282">
        <v>0</v>
      </c>
      <c r="N10" s="282">
        <v>14137.002699999999</v>
      </c>
      <c r="O10" s="282">
        <v>0</v>
      </c>
      <c r="P10" s="282">
        <v>14137.002699999999</v>
      </c>
      <c r="Q10" s="282">
        <v>0</v>
      </c>
      <c r="R10" s="282">
        <v>0</v>
      </c>
      <c r="S10" s="282">
        <v>0</v>
      </c>
      <c r="T10" s="282">
        <v>5251.7140499999987</v>
      </c>
      <c r="U10" s="282">
        <v>0</v>
      </c>
      <c r="V10" s="282">
        <v>5251.7140499999987</v>
      </c>
      <c r="W10" s="282">
        <v>0</v>
      </c>
      <c r="X10" s="282">
        <v>0</v>
      </c>
      <c r="Y10" s="283">
        <v>0</v>
      </c>
    </row>
    <row r="11" spans="1:25" s="296" customFormat="1" ht="26.4" x14ac:dyDescent="0.25">
      <c r="A11" s="290" t="s">
        <v>447</v>
      </c>
      <c r="B11" s="282">
        <v>0</v>
      </c>
      <c r="C11" s="282">
        <v>0</v>
      </c>
      <c r="D11" s="282">
        <v>0</v>
      </c>
      <c r="E11" s="282">
        <v>0</v>
      </c>
      <c r="F11" s="282">
        <v>0</v>
      </c>
      <c r="G11" s="282">
        <v>0</v>
      </c>
      <c r="H11" s="282">
        <v>-467.71913999999998</v>
      </c>
      <c r="I11" s="282">
        <v>0</v>
      </c>
      <c r="J11" s="282">
        <v>-467.71913999999998</v>
      </c>
      <c r="K11" s="282">
        <v>0</v>
      </c>
      <c r="L11" s="282">
        <v>0</v>
      </c>
      <c r="M11" s="282">
        <v>0</v>
      </c>
      <c r="N11" s="282">
        <v>0</v>
      </c>
      <c r="O11" s="282">
        <v>0</v>
      </c>
      <c r="P11" s="282">
        <v>0</v>
      </c>
      <c r="Q11" s="282">
        <v>0</v>
      </c>
      <c r="R11" s="282">
        <v>0</v>
      </c>
      <c r="S11" s="282">
        <v>0</v>
      </c>
      <c r="T11" s="282">
        <v>-565.18399999999997</v>
      </c>
      <c r="U11" s="282">
        <v>0</v>
      </c>
      <c r="V11" s="282">
        <v>-565.18399999999997</v>
      </c>
      <c r="W11" s="282">
        <v>0</v>
      </c>
      <c r="X11" s="282">
        <v>0</v>
      </c>
      <c r="Y11" s="283">
        <v>0</v>
      </c>
    </row>
    <row r="12" spans="1:25" s="296" customFormat="1" x14ac:dyDescent="0.25">
      <c r="A12" s="290" t="s">
        <v>448</v>
      </c>
      <c r="B12" s="282">
        <v>28928.705679999999</v>
      </c>
      <c r="C12" s="282">
        <v>15995.58035</v>
      </c>
      <c r="D12" s="282">
        <v>26055.10583</v>
      </c>
      <c r="E12" s="282">
        <v>15995.58035</v>
      </c>
      <c r="F12" s="282">
        <v>2873.5998500000001</v>
      </c>
      <c r="G12" s="282">
        <v>0</v>
      </c>
      <c r="H12" s="282">
        <v>-25408.585189999998</v>
      </c>
      <c r="I12" s="282">
        <v>15995.58035</v>
      </c>
      <c r="J12" s="282">
        <v>-26020.205199999997</v>
      </c>
      <c r="K12" s="282">
        <v>15995.58035</v>
      </c>
      <c r="L12" s="282">
        <v>611.62001000000009</v>
      </c>
      <c r="M12" s="282">
        <v>0</v>
      </c>
      <c r="N12" s="282">
        <v>28089.088060000002</v>
      </c>
      <c r="O12" s="282">
        <v>4109.54421</v>
      </c>
      <c r="P12" s="282">
        <v>14593.00676</v>
      </c>
      <c r="Q12" s="282">
        <v>3700.02853</v>
      </c>
      <c r="R12" s="282">
        <v>13496.081300000002</v>
      </c>
      <c r="S12" s="282">
        <v>409.51567999999997</v>
      </c>
      <c r="T12" s="282">
        <v>-104423.4816</v>
      </c>
      <c r="U12" s="282">
        <v>-88829.916859999998</v>
      </c>
      <c r="V12" s="282">
        <v>-105840.86571</v>
      </c>
      <c r="W12" s="282">
        <v>-89239.432540000009</v>
      </c>
      <c r="X12" s="282">
        <v>1417.3841100000009</v>
      </c>
      <c r="Y12" s="283">
        <v>409.51567999999997</v>
      </c>
    </row>
    <row r="13" spans="1:25" s="296" customFormat="1" x14ac:dyDescent="0.25">
      <c r="A13" s="290" t="s">
        <v>449</v>
      </c>
      <c r="B13" s="282">
        <v>10000919.077819999</v>
      </c>
      <c r="C13" s="282">
        <v>32243.930249999998</v>
      </c>
      <c r="D13" s="282">
        <v>388143.90048000001</v>
      </c>
      <c r="E13" s="282">
        <v>32243.930249999998</v>
      </c>
      <c r="F13" s="282">
        <v>9612775.177339999</v>
      </c>
      <c r="G13" s="282">
        <v>0</v>
      </c>
      <c r="H13" s="282">
        <v>1266934.0182099994</v>
      </c>
      <c r="I13" s="282">
        <v>18277.49336</v>
      </c>
      <c r="J13" s="282">
        <v>-64249.892189999984</v>
      </c>
      <c r="K13" s="282">
        <v>18277.493359999997</v>
      </c>
      <c r="L13" s="282">
        <v>1331183.9103999999</v>
      </c>
      <c r="M13" s="282">
        <v>0</v>
      </c>
      <c r="N13" s="282">
        <v>2094988.30476</v>
      </c>
      <c r="O13" s="282">
        <v>303218.00186999998</v>
      </c>
      <c r="P13" s="282">
        <v>1855927.85727</v>
      </c>
      <c r="Q13" s="282">
        <v>301958.09187</v>
      </c>
      <c r="R13" s="282">
        <v>239060.44748999999</v>
      </c>
      <c r="S13" s="282">
        <v>1259.9100000000001</v>
      </c>
      <c r="T13" s="282">
        <v>418323.10104999971</v>
      </c>
      <c r="U13" s="282">
        <v>26063.875579999993</v>
      </c>
      <c r="V13" s="282">
        <v>249380.86228999999</v>
      </c>
      <c r="W13" s="282">
        <v>25033.217320000003</v>
      </c>
      <c r="X13" s="282">
        <v>168942.23875999998</v>
      </c>
      <c r="Y13" s="283">
        <v>1030.6582600000002</v>
      </c>
    </row>
    <row r="14" spans="1:25" s="296" customFormat="1" ht="26.4" x14ac:dyDescent="0.25">
      <c r="A14" s="290" t="s">
        <v>450</v>
      </c>
      <c r="B14" s="282">
        <v>36</v>
      </c>
      <c r="C14" s="282">
        <v>0</v>
      </c>
      <c r="D14" s="282">
        <v>36</v>
      </c>
      <c r="E14" s="282">
        <v>0</v>
      </c>
      <c r="F14" s="282">
        <v>0</v>
      </c>
      <c r="G14" s="282">
        <v>0</v>
      </c>
      <c r="H14" s="282">
        <v>35.991909999999997</v>
      </c>
      <c r="I14" s="282">
        <v>0</v>
      </c>
      <c r="J14" s="282">
        <v>35.991909999999997</v>
      </c>
      <c r="K14" s="282">
        <v>0</v>
      </c>
      <c r="L14" s="282">
        <v>0</v>
      </c>
      <c r="M14" s="282">
        <v>0</v>
      </c>
      <c r="N14" s="282">
        <v>58.212829999999997</v>
      </c>
      <c r="O14" s="282">
        <v>0</v>
      </c>
      <c r="P14" s="282">
        <v>47.293999999999997</v>
      </c>
      <c r="Q14" s="282">
        <v>0</v>
      </c>
      <c r="R14" s="282">
        <v>10.91883</v>
      </c>
      <c r="S14" s="282">
        <v>0</v>
      </c>
      <c r="T14" s="282">
        <v>-28.039240000000007</v>
      </c>
      <c r="U14" s="282">
        <v>0</v>
      </c>
      <c r="V14" s="282">
        <v>35.866999999999997</v>
      </c>
      <c r="W14" s="282">
        <v>0</v>
      </c>
      <c r="X14" s="282">
        <v>-63.906239999999997</v>
      </c>
      <c r="Y14" s="283">
        <v>0</v>
      </c>
    </row>
    <row r="15" spans="1:25" s="296" customFormat="1" x14ac:dyDescent="0.25">
      <c r="A15" s="290" t="s">
        <v>451</v>
      </c>
      <c r="B15" s="282">
        <v>9034.8637299999991</v>
      </c>
      <c r="C15" s="282">
        <v>60.466999999999999</v>
      </c>
      <c r="D15" s="282">
        <v>4590.71335</v>
      </c>
      <c r="E15" s="282">
        <v>59.366999999999997</v>
      </c>
      <c r="F15" s="282">
        <v>4444.1503799999991</v>
      </c>
      <c r="G15" s="282">
        <v>1.1000000000000001</v>
      </c>
      <c r="H15" s="282">
        <v>-2743.5928600000025</v>
      </c>
      <c r="I15" s="282">
        <v>-20.415869999999998</v>
      </c>
      <c r="J15" s="282">
        <v>-1586.8455700000004</v>
      </c>
      <c r="K15" s="282">
        <v>-20.415870000000005</v>
      </c>
      <c r="L15" s="282">
        <v>-1156.7472900000012</v>
      </c>
      <c r="M15" s="282">
        <v>0</v>
      </c>
      <c r="N15" s="282">
        <v>75094.867530000003</v>
      </c>
      <c r="O15" s="282">
        <v>9065.8732899999995</v>
      </c>
      <c r="P15" s="282">
        <v>20838.231360000002</v>
      </c>
      <c r="Q15" s="282">
        <v>9065.8732899999995</v>
      </c>
      <c r="R15" s="282">
        <v>54256.636169999998</v>
      </c>
      <c r="S15" s="282">
        <v>0</v>
      </c>
      <c r="T15" s="282">
        <v>41375.863700000002</v>
      </c>
      <c r="U15" s="282">
        <v>-1891.7613799999999</v>
      </c>
      <c r="V15" s="282">
        <v>-1001.4480199999998</v>
      </c>
      <c r="W15" s="282">
        <v>-1891.7613799999999</v>
      </c>
      <c r="X15" s="282">
        <v>42377.311719999998</v>
      </c>
      <c r="Y15" s="283">
        <v>0</v>
      </c>
    </row>
    <row r="16" spans="1:25" s="296" customFormat="1" x14ac:dyDescent="0.25">
      <c r="A16" s="290" t="s">
        <v>452</v>
      </c>
      <c r="B16" s="282">
        <v>420939.18923999998</v>
      </c>
      <c r="C16" s="282">
        <v>0</v>
      </c>
      <c r="D16" s="282">
        <v>9273.7092400000001</v>
      </c>
      <c r="E16" s="282">
        <v>0</v>
      </c>
      <c r="F16" s="282">
        <v>411665.48</v>
      </c>
      <c r="G16" s="282">
        <v>0</v>
      </c>
      <c r="H16" s="282">
        <v>410798.72917999997</v>
      </c>
      <c r="I16" s="282">
        <v>0</v>
      </c>
      <c r="J16" s="282">
        <v>1637.5312700000004</v>
      </c>
      <c r="K16" s="282">
        <v>0</v>
      </c>
      <c r="L16" s="282">
        <v>409161.19790999999</v>
      </c>
      <c r="M16" s="282">
        <v>0</v>
      </c>
      <c r="N16" s="282">
        <v>78561.977529999989</v>
      </c>
      <c r="O16" s="282">
        <v>0</v>
      </c>
      <c r="P16" s="282">
        <v>4632.3550800000003</v>
      </c>
      <c r="Q16" s="282">
        <v>0</v>
      </c>
      <c r="R16" s="282">
        <v>73929.622449999995</v>
      </c>
      <c r="S16" s="282">
        <v>0</v>
      </c>
      <c r="T16" s="282">
        <v>55700.515029999988</v>
      </c>
      <c r="U16" s="282">
        <v>0</v>
      </c>
      <c r="V16" s="282">
        <v>435.50337000000036</v>
      </c>
      <c r="W16" s="282">
        <v>0</v>
      </c>
      <c r="X16" s="282">
        <v>55265.011659999989</v>
      </c>
      <c r="Y16" s="283">
        <v>0</v>
      </c>
    </row>
    <row r="17" spans="1:25" s="296" customFormat="1" x14ac:dyDescent="0.25">
      <c r="A17" s="290" t="s">
        <v>453</v>
      </c>
      <c r="B17" s="282">
        <v>70551.506179999997</v>
      </c>
      <c r="C17" s="282">
        <v>7309.5965700000006</v>
      </c>
      <c r="D17" s="282">
        <v>34122.802369999998</v>
      </c>
      <c r="E17" s="282">
        <v>6816.4655700000003</v>
      </c>
      <c r="F17" s="282">
        <v>36428.703809999999</v>
      </c>
      <c r="G17" s="282">
        <v>493.13099999999997</v>
      </c>
      <c r="H17" s="282">
        <v>2361.2374699999928</v>
      </c>
      <c r="I17" s="282">
        <v>6816.4655700000003</v>
      </c>
      <c r="J17" s="282">
        <v>1625.5296999999991</v>
      </c>
      <c r="K17" s="282">
        <v>6816.4655700000003</v>
      </c>
      <c r="L17" s="282">
        <v>735.70777000000089</v>
      </c>
      <c r="M17" s="282">
        <v>0</v>
      </c>
      <c r="N17" s="282">
        <v>122945.12254</v>
      </c>
      <c r="O17" s="282">
        <v>329.84046999999998</v>
      </c>
      <c r="P17" s="282">
        <v>28617.680219999998</v>
      </c>
      <c r="Q17" s="282">
        <v>0</v>
      </c>
      <c r="R17" s="282">
        <v>94327.442320000002</v>
      </c>
      <c r="S17" s="282">
        <v>329.84046999999998</v>
      </c>
      <c r="T17" s="282">
        <v>24220.25722</v>
      </c>
      <c r="U17" s="282">
        <v>329.84046999999998</v>
      </c>
      <c r="V17" s="282">
        <v>-1054.1457200000004</v>
      </c>
      <c r="W17" s="282">
        <v>0</v>
      </c>
      <c r="X17" s="282">
        <v>25274.40294</v>
      </c>
      <c r="Y17" s="283">
        <v>329.84046999999998</v>
      </c>
    </row>
    <row r="18" spans="1:25" s="296" customFormat="1" x14ac:dyDescent="0.25">
      <c r="A18" s="290" t="s">
        <v>454</v>
      </c>
      <c r="B18" s="282">
        <v>2640.0994300000002</v>
      </c>
      <c r="C18" s="282">
        <v>0</v>
      </c>
      <c r="D18" s="282">
        <v>2640.0994300000002</v>
      </c>
      <c r="E18" s="282">
        <v>0</v>
      </c>
      <c r="F18" s="282">
        <v>0</v>
      </c>
      <c r="G18" s="282">
        <v>0</v>
      </c>
      <c r="H18" s="282">
        <v>2546.2683000000002</v>
      </c>
      <c r="I18" s="282">
        <v>0</v>
      </c>
      <c r="J18" s="282">
        <v>2546.2683000000002</v>
      </c>
      <c r="K18" s="282">
        <v>0</v>
      </c>
      <c r="L18" s="282">
        <v>0</v>
      </c>
      <c r="M18" s="282">
        <v>0</v>
      </c>
      <c r="N18" s="282">
        <v>1230.9542799999999</v>
      </c>
      <c r="O18" s="282">
        <v>0</v>
      </c>
      <c r="P18" s="282">
        <v>1230.9542799999999</v>
      </c>
      <c r="Q18" s="282">
        <v>0</v>
      </c>
      <c r="R18" s="282">
        <v>0</v>
      </c>
      <c r="S18" s="282">
        <v>0</v>
      </c>
      <c r="T18" s="282">
        <v>-185.33036000000016</v>
      </c>
      <c r="U18" s="282">
        <v>0</v>
      </c>
      <c r="V18" s="282">
        <v>-185.33036000000016</v>
      </c>
      <c r="W18" s="282">
        <v>0</v>
      </c>
      <c r="X18" s="282">
        <v>0</v>
      </c>
      <c r="Y18" s="283">
        <v>0</v>
      </c>
    </row>
    <row r="19" spans="1:25" s="296" customFormat="1" x14ac:dyDescent="0.25">
      <c r="A19" s="290" t="s">
        <v>455</v>
      </c>
      <c r="B19" s="282">
        <v>832.81643999999994</v>
      </c>
      <c r="C19" s="282">
        <v>0</v>
      </c>
      <c r="D19" s="282">
        <v>695.44290999999998</v>
      </c>
      <c r="E19" s="282">
        <v>0</v>
      </c>
      <c r="F19" s="282">
        <v>137.37352999999999</v>
      </c>
      <c r="G19" s="282">
        <v>0</v>
      </c>
      <c r="H19" s="282">
        <v>-37.597620000000006</v>
      </c>
      <c r="I19" s="282">
        <v>0</v>
      </c>
      <c r="J19" s="282">
        <v>-64.428989999999999</v>
      </c>
      <c r="K19" s="282">
        <v>0</v>
      </c>
      <c r="L19" s="282">
        <v>26.831369999999993</v>
      </c>
      <c r="M19" s="282">
        <v>0</v>
      </c>
      <c r="N19" s="282">
        <v>1358.2496900000001</v>
      </c>
      <c r="O19" s="282">
        <v>0</v>
      </c>
      <c r="P19" s="282">
        <v>371.25396999999998</v>
      </c>
      <c r="Q19" s="282">
        <v>0</v>
      </c>
      <c r="R19" s="282">
        <v>986.99572000000012</v>
      </c>
      <c r="S19" s="282">
        <v>0</v>
      </c>
      <c r="T19" s="282">
        <v>-36394.894550000005</v>
      </c>
      <c r="U19" s="282">
        <v>0</v>
      </c>
      <c r="V19" s="282">
        <v>27.611699999999985</v>
      </c>
      <c r="W19" s="282">
        <v>0</v>
      </c>
      <c r="X19" s="282">
        <v>-36422.506250000006</v>
      </c>
      <c r="Y19" s="283">
        <v>0</v>
      </c>
    </row>
    <row r="20" spans="1:25" s="296" customFormat="1" x14ac:dyDescent="0.25">
      <c r="A20" s="290" t="s">
        <v>456</v>
      </c>
      <c r="B20" s="282">
        <v>355.35113000000001</v>
      </c>
      <c r="C20" s="282">
        <v>0</v>
      </c>
      <c r="D20" s="282">
        <v>272.97287999999998</v>
      </c>
      <c r="E20" s="282">
        <v>0</v>
      </c>
      <c r="F20" s="282">
        <v>82.378250000000008</v>
      </c>
      <c r="G20" s="282">
        <v>0</v>
      </c>
      <c r="H20" s="282">
        <v>-401.46314999999993</v>
      </c>
      <c r="I20" s="282">
        <v>0</v>
      </c>
      <c r="J20" s="282">
        <v>-483.81036999999998</v>
      </c>
      <c r="K20" s="282">
        <v>0</v>
      </c>
      <c r="L20" s="282">
        <v>82.347220000000007</v>
      </c>
      <c r="M20" s="282">
        <v>0</v>
      </c>
      <c r="N20" s="282">
        <v>66022.516279999996</v>
      </c>
      <c r="O20" s="282">
        <v>0</v>
      </c>
      <c r="P20" s="282">
        <v>110.92894</v>
      </c>
      <c r="Q20" s="282">
        <v>0</v>
      </c>
      <c r="R20" s="282">
        <v>65911.587339999998</v>
      </c>
      <c r="S20" s="282">
        <v>0</v>
      </c>
      <c r="T20" s="282">
        <v>1645.6179399999965</v>
      </c>
      <c r="U20" s="282">
        <v>0</v>
      </c>
      <c r="V20" s="282">
        <v>-5.0961199999999991</v>
      </c>
      <c r="W20" s="282">
        <v>0</v>
      </c>
      <c r="X20" s="282">
        <v>1650.7140599999984</v>
      </c>
      <c r="Y20" s="283">
        <v>0</v>
      </c>
    </row>
    <row r="21" spans="1:25" s="296" customFormat="1" x14ac:dyDescent="0.25">
      <c r="A21" s="290" t="s">
        <v>457</v>
      </c>
      <c r="B21" s="282">
        <v>13212.5299</v>
      </c>
      <c r="C21" s="282">
        <v>1191.5488</v>
      </c>
      <c r="D21" s="282">
        <v>4662.0616300000002</v>
      </c>
      <c r="E21" s="282">
        <v>339.97883000000002</v>
      </c>
      <c r="F21" s="282">
        <v>8550.4682699999994</v>
      </c>
      <c r="G21" s="282">
        <v>851.56997000000001</v>
      </c>
      <c r="H21" s="282">
        <v>-1837.6309999999994</v>
      </c>
      <c r="I21" s="282">
        <v>256.27953000000002</v>
      </c>
      <c r="J21" s="282">
        <v>-140.83226000000013</v>
      </c>
      <c r="K21" s="282">
        <v>138.58588</v>
      </c>
      <c r="L21" s="282">
        <v>-1696.7987400000002</v>
      </c>
      <c r="M21" s="282">
        <v>117.69365000000005</v>
      </c>
      <c r="N21" s="282">
        <v>78311.346400000009</v>
      </c>
      <c r="O21" s="282">
        <v>50.179920000000003</v>
      </c>
      <c r="P21" s="282">
        <v>4570.3879100000004</v>
      </c>
      <c r="Q21" s="282">
        <v>0</v>
      </c>
      <c r="R21" s="282">
        <v>73740.958490000005</v>
      </c>
      <c r="S21" s="282">
        <v>50.179920000000003</v>
      </c>
      <c r="T21" s="282">
        <v>63428.899410000013</v>
      </c>
      <c r="U21" s="282">
        <v>-525.44596000000001</v>
      </c>
      <c r="V21" s="282">
        <v>-1008.5685599999997</v>
      </c>
      <c r="W21" s="282">
        <v>0</v>
      </c>
      <c r="X21" s="282">
        <v>64437.467970000005</v>
      </c>
      <c r="Y21" s="283">
        <v>-525.44596000000001</v>
      </c>
    </row>
    <row r="22" spans="1:25" s="296" customFormat="1" x14ac:dyDescent="0.25">
      <c r="A22" s="290" t="s">
        <v>458</v>
      </c>
      <c r="B22" s="282">
        <v>34456.6872</v>
      </c>
      <c r="C22" s="282">
        <v>0</v>
      </c>
      <c r="D22" s="282">
        <v>3415.1760800000002</v>
      </c>
      <c r="E22" s="282">
        <v>0</v>
      </c>
      <c r="F22" s="282">
        <v>31041.511119999999</v>
      </c>
      <c r="G22" s="282">
        <v>0</v>
      </c>
      <c r="H22" s="282">
        <v>34456.6872</v>
      </c>
      <c r="I22" s="282">
        <v>0</v>
      </c>
      <c r="J22" s="282">
        <v>3415.1760800000002</v>
      </c>
      <c r="K22" s="282">
        <v>0</v>
      </c>
      <c r="L22" s="282">
        <v>31041.511119999999</v>
      </c>
      <c r="M22" s="282">
        <v>0</v>
      </c>
      <c r="N22" s="282">
        <v>8639.2766599999995</v>
      </c>
      <c r="O22" s="282">
        <v>0</v>
      </c>
      <c r="P22" s="282">
        <v>8639.2766599999995</v>
      </c>
      <c r="Q22" s="282">
        <v>0</v>
      </c>
      <c r="R22" s="282">
        <v>0</v>
      </c>
      <c r="S22" s="282">
        <v>0</v>
      </c>
      <c r="T22" s="282">
        <v>8639.2766599999995</v>
      </c>
      <c r="U22" s="282">
        <v>0</v>
      </c>
      <c r="V22" s="282">
        <v>8639.2766599999995</v>
      </c>
      <c r="W22" s="282">
        <v>0</v>
      </c>
      <c r="X22" s="282">
        <v>0</v>
      </c>
      <c r="Y22" s="283">
        <v>0</v>
      </c>
    </row>
    <row r="23" spans="1:25" s="296" customFormat="1" x14ac:dyDescent="0.25">
      <c r="A23" s="290" t="s">
        <v>459</v>
      </c>
      <c r="B23" s="282">
        <v>2501.9471000000003</v>
      </c>
      <c r="C23" s="282">
        <v>0</v>
      </c>
      <c r="D23" s="282">
        <v>1895.6617900000001</v>
      </c>
      <c r="E23" s="282">
        <v>0</v>
      </c>
      <c r="F23" s="282">
        <v>606.28531000000009</v>
      </c>
      <c r="G23" s="282">
        <v>0</v>
      </c>
      <c r="H23" s="282">
        <v>453.40449000000035</v>
      </c>
      <c r="I23" s="282">
        <v>0</v>
      </c>
      <c r="J23" s="282">
        <v>521.22321000000011</v>
      </c>
      <c r="K23" s="282">
        <v>0</v>
      </c>
      <c r="L23" s="282">
        <v>-67.818719999999871</v>
      </c>
      <c r="M23" s="282">
        <v>0</v>
      </c>
      <c r="N23" s="282">
        <v>513.48502000000008</v>
      </c>
      <c r="O23" s="282">
        <v>0</v>
      </c>
      <c r="P23" s="282">
        <v>313.19378</v>
      </c>
      <c r="Q23" s="282">
        <v>0</v>
      </c>
      <c r="R23" s="282">
        <v>200.29124000000002</v>
      </c>
      <c r="S23" s="282">
        <v>0</v>
      </c>
      <c r="T23" s="282">
        <v>107.63519000000008</v>
      </c>
      <c r="U23" s="282">
        <v>0</v>
      </c>
      <c r="V23" s="282">
        <v>-92.656049999999993</v>
      </c>
      <c r="W23" s="282">
        <v>0</v>
      </c>
      <c r="X23" s="282">
        <v>200.29124000000002</v>
      </c>
      <c r="Y23" s="283">
        <v>0</v>
      </c>
    </row>
    <row r="24" spans="1:25" s="296" customFormat="1" x14ac:dyDescent="0.25">
      <c r="A24" s="290" t="s">
        <v>532</v>
      </c>
      <c r="B24" s="282">
        <v>13564.17085</v>
      </c>
      <c r="C24" s="282">
        <v>0</v>
      </c>
      <c r="D24" s="282">
        <v>12324.20968</v>
      </c>
      <c r="E24" s="282">
        <v>0</v>
      </c>
      <c r="F24" s="282">
        <v>1239.96117</v>
      </c>
      <c r="G24" s="282">
        <v>0</v>
      </c>
      <c r="H24" s="282">
        <v>-7479.1903000000002</v>
      </c>
      <c r="I24" s="282">
        <v>0</v>
      </c>
      <c r="J24" s="282">
        <v>-1964.0652300000002</v>
      </c>
      <c r="K24" s="282">
        <v>0</v>
      </c>
      <c r="L24" s="282">
        <v>-5515.1250700000001</v>
      </c>
      <c r="M24" s="282">
        <v>0</v>
      </c>
      <c r="N24" s="282">
        <v>34607.716890000003</v>
      </c>
      <c r="O24" s="282">
        <v>0</v>
      </c>
      <c r="P24" s="282">
        <v>29999.610120000001</v>
      </c>
      <c r="Q24" s="282">
        <v>0</v>
      </c>
      <c r="R24" s="282">
        <v>4608.1067700000003</v>
      </c>
      <c r="S24" s="282">
        <v>0</v>
      </c>
      <c r="T24" s="282">
        <v>19740.580980000002</v>
      </c>
      <c r="U24" s="282">
        <v>0</v>
      </c>
      <c r="V24" s="282">
        <v>19038.744630000001</v>
      </c>
      <c r="W24" s="282">
        <v>0</v>
      </c>
      <c r="X24" s="282">
        <v>701.83635000000049</v>
      </c>
      <c r="Y24" s="283">
        <v>0</v>
      </c>
    </row>
    <row r="25" spans="1:25" s="296" customFormat="1" ht="26.4" x14ac:dyDescent="0.25">
      <c r="A25" s="290" t="s">
        <v>460</v>
      </c>
      <c r="B25" s="282">
        <v>11862.985260000001</v>
      </c>
      <c r="C25" s="282">
        <v>0</v>
      </c>
      <c r="D25" s="282">
        <v>11384.276110000001</v>
      </c>
      <c r="E25" s="282">
        <v>0</v>
      </c>
      <c r="F25" s="282">
        <v>478.70915000000002</v>
      </c>
      <c r="G25" s="282">
        <v>0</v>
      </c>
      <c r="H25" s="282">
        <v>1880.1708200000012</v>
      </c>
      <c r="I25" s="282">
        <v>0</v>
      </c>
      <c r="J25" s="282">
        <v>2270.1808799999999</v>
      </c>
      <c r="K25" s="282">
        <v>0</v>
      </c>
      <c r="L25" s="282">
        <v>-390.01005999999995</v>
      </c>
      <c r="M25" s="282">
        <v>0</v>
      </c>
      <c r="N25" s="282">
        <v>64143.202130000005</v>
      </c>
      <c r="O25" s="282">
        <v>639.23467000000005</v>
      </c>
      <c r="P25" s="282">
        <v>18360.482039999999</v>
      </c>
      <c r="Q25" s="282">
        <v>639.23467000000005</v>
      </c>
      <c r="R25" s="282">
        <v>45782.720090000003</v>
      </c>
      <c r="S25" s="282">
        <v>0</v>
      </c>
      <c r="T25" s="282">
        <v>31614.056220000006</v>
      </c>
      <c r="U25" s="282">
        <v>-2861.5829800000001</v>
      </c>
      <c r="V25" s="282">
        <v>-3913.7637900000009</v>
      </c>
      <c r="W25" s="282">
        <v>-2861.5829800000001</v>
      </c>
      <c r="X25" s="282">
        <v>35527.820010000003</v>
      </c>
      <c r="Y25" s="283">
        <v>0</v>
      </c>
    </row>
    <row r="26" spans="1:25" ht="26.4" x14ac:dyDescent="0.25">
      <c r="A26" s="290" t="s">
        <v>461</v>
      </c>
      <c r="B26" s="282">
        <v>27.7121</v>
      </c>
      <c r="C26" s="282">
        <v>0</v>
      </c>
      <c r="D26" s="282">
        <v>0</v>
      </c>
      <c r="E26" s="282">
        <v>0</v>
      </c>
      <c r="F26" s="282">
        <v>27.7121</v>
      </c>
      <c r="G26" s="282">
        <v>0</v>
      </c>
      <c r="H26" s="282">
        <v>27.7121</v>
      </c>
      <c r="I26" s="282">
        <v>0</v>
      </c>
      <c r="J26" s="282">
        <v>0</v>
      </c>
      <c r="K26" s="282">
        <v>0</v>
      </c>
      <c r="L26" s="282">
        <v>27.7121</v>
      </c>
      <c r="M26" s="282">
        <v>0</v>
      </c>
      <c r="N26" s="282">
        <v>0.45535999999999999</v>
      </c>
      <c r="O26" s="282">
        <v>0</v>
      </c>
      <c r="P26" s="282">
        <v>0</v>
      </c>
      <c r="Q26" s="282">
        <v>0</v>
      </c>
      <c r="R26" s="282">
        <v>0.45535999999999999</v>
      </c>
      <c r="S26" s="282">
        <v>0</v>
      </c>
      <c r="T26" s="282">
        <v>0.45535999999999999</v>
      </c>
      <c r="U26" s="282">
        <v>0</v>
      </c>
      <c r="V26" s="282">
        <v>0</v>
      </c>
      <c r="W26" s="282">
        <v>0</v>
      </c>
      <c r="X26" s="282">
        <v>0.45535999999999999</v>
      </c>
      <c r="Y26" s="283">
        <v>0</v>
      </c>
    </row>
    <row r="27" spans="1:25" ht="26.4" x14ac:dyDescent="0.25">
      <c r="A27" s="290" t="s">
        <v>462</v>
      </c>
      <c r="B27" s="282">
        <v>7225.6385900000005</v>
      </c>
      <c r="C27" s="282">
        <v>0</v>
      </c>
      <c r="D27" s="282">
        <v>6391.5819700000002</v>
      </c>
      <c r="E27" s="282">
        <v>0</v>
      </c>
      <c r="F27" s="282">
        <v>834.05661999999995</v>
      </c>
      <c r="G27" s="282">
        <v>0</v>
      </c>
      <c r="H27" s="282">
        <v>-873.17207999999937</v>
      </c>
      <c r="I27" s="282">
        <v>0</v>
      </c>
      <c r="J27" s="282">
        <v>661.58636999999999</v>
      </c>
      <c r="K27" s="282">
        <v>0</v>
      </c>
      <c r="L27" s="282">
        <v>-1534.7584499999998</v>
      </c>
      <c r="M27" s="282">
        <v>0</v>
      </c>
      <c r="N27" s="282">
        <v>840.23374999999999</v>
      </c>
      <c r="O27" s="282">
        <v>0</v>
      </c>
      <c r="P27" s="282">
        <v>803.32759999999996</v>
      </c>
      <c r="Q27" s="282">
        <v>0</v>
      </c>
      <c r="R27" s="282">
        <v>36.906149999999997</v>
      </c>
      <c r="S27" s="282">
        <v>0</v>
      </c>
      <c r="T27" s="282">
        <v>-1399.1102000000001</v>
      </c>
      <c r="U27" s="282">
        <v>0</v>
      </c>
      <c r="V27" s="282">
        <v>-945.98838000000012</v>
      </c>
      <c r="W27" s="282">
        <v>0</v>
      </c>
      <c r="X27" s="282">
        <v>-453.12181999999996</v>
      </c>
      <c r="Y27" s="283">
        <v>0</v>
      </c>
    </row>
    <row r="28" spans="1:25" s="245" customFormat="1" ht="13.8" thickBot="1" x14ac:dyDescent="0.3">
      <c r="A28" s="241" t="s">
        <v>335</v>
      </c>
      <c r="B28" s="235">
        <v>10623994.144379998</v>
      </c>
      <c r="C28" s="235">
        <v>56801.122969999989</v>
      </c>
      <c r="D28" s="235">
        <v>512761.64773999999</v>
      </c>
      <c r="E28" s="235">
        <v>55455.321999999993</v>
      </c>
      <c r="F28" s="235">
        <v>10111232.496639999</v>
      </c>
      <c r="G28" s="235">
        <v>1345.80097</v>
      </c>
      <c r="H28" s="235">
        <v>1680829.5287500001</v>
      </c>
      <c r="I28" s="235">
        <v>41325.40294</v>
      </c>
      <c r="J28" s="235">
        <v>-81715.012009999977</v>
      </c>
      <c r="K28" s="235">
        <v>41207.709289999999</v>
      </c>
      <c r="L28" s="235">
        <v>1762544.5407599988</v>
      </c>
      <c r="M28" s="235">
        <v>117.69365000000005</v>
      </c>
      <c r="N28" s="235">
        <v>2669542.01241</v>
      </c>
      <c r="O28" s="235">
        <v>317412.67443000001</v>
      </c>
      <c r="P28" s="235">
        <v>2003192.8426900001</v>
      </c>
      <c r="Q28" s="235">
        <v>315363.22836000001</v>
      </c>
      <c r="R28" s="235">
        <v>666349.16972000001</v>
      </c>
      <c r="S28" s="235">
        <v>2049.44607</v>
      </c>
      <c r="T28" s="235">
        <v>527051.93285999959</v>
      </c>
      <c r="U28" s="235">
        <v>-67714.991129999995</v>
      </c>
      <c r="V28" s="235">
        <v>168196.53298999998</v>
      </c>
      <c r="W28" s="235">
        <v>-68959.559580000016</v>
      </c>
      <c r="X28" s="235">
        <v>358855.39987000002</v>
      </c>
      <c r="Y28" s="236">
        <v>1244.5684500000002</v>
      </c>
    </row>
    <row r="29" spans="1:25" ht="13.8" thickTop="1" x14ac:dyDescent="0.25"/>
  </sheetData>
  <mergeCells count="26">
    <mergeCell ref="L1:M1"/>
    <mergeCell ref="X1:Y1"/>
    <mergeCell ref="B2:M2"/>
    <mergeCell ref="O6:S6"/>
    <mergeCell ref="T6:T8"/>
    <mergeCell ref="U6:Y6"/>
    <mergeCell ref="F7:F8"/>
    <mergeCell ref="J7:J8"/>
    <mergeCell ref="R7:R8"/>
    <mergeCell ref="V7:V8"/>
    <mergeCell ref="X7:X8"/>
    <mergeCell ref="B4:M4"/>
    <mergeCell ref="N4:Y4"/>
    <mergeCell ref="B5:G5"/>
    <mergeCell ref="H5:M5"/>
    <mergeCell ref="N5:S5"/>
    <mergeCell ref="T5:Y5"/>
    <mergeCell ref="C6:G6"/>
    <mergeCell ref="H6:H8"/>
    <mergeCell ref="I6:M6"/>
    <mergeCell ref="A4:A8"/>
    <mergeCell ref="B6:B8"/>
    <mergeCell ref="P7:P8"/>
    <mergeCell ref="D7:D8"/>
    <mergeCell ref="N6:N8"/>
    <mergeCell ref="L7:L8"/>
  </mergeCells>
  <conditionalFormatting sqref="B10:Y28">
    <cfRule type="cellIs" dxfId="0" priority="1" operator="equal">
      <formula>0</formula>
    </cfRule>
  </conditionalFormatting>
  <printOptions horizontalCentered="1"/>
  <pageMargins left="0.11811023622047245" right="0.11811023622047245" top="0.55118110236220474" bottom="0.35433070866141736" header="0.31496062992125984" footer="0.11811023622047245"/>
  <pageSetup paperSize="9" scale="87" fitToWidth="100" orientation="landscape" r:id="rId1"/>
  <headerFooter>
    <oddFooter>&amp;C&amp;9Страница  &amp;P из &amp;N</oddFooter>
  </headerFooter>
  <colBreaks count="1" manualBreakCount="1">
    <brk id="13" max="2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opLeftCell="F1" workbookViewId="0">
      <selection activeCell="S17" sqref="S17"/>
    </sheetView>
  </sheetViews>
  <sheetFormatPr defaultColWidth="9.109375" defaultRowHeight="13.2" x14ac:dyDescent="0.25"/>
  <cols>
    <col min="1" max="1" width="21" style="213" bestFit="1" customWidth="1"/>
    <col min="2" max="4" width="15" style="220" customWidth="1"/>
    <col min="5" max="6" width="9.109375" style="220" customWidth="1"/>
    <col min="7" max="7" width="11.44140625" style="220" bestFit="1" customWidth="1"/>
    <col min="8" max="9" width="9.109375" style="220" customWidth="1"/>
    <col min="10" max="10" width="12.44140625" style="220" bestFit="1" customWidth="1"/>
    <col min="11" max="12" width="9.109375" style="220" customWidth="1"/>
    <col min="13" max="13" width="11.44140625" style="220" bestFit="1" customWidth="1"/>
    <col min="14" max="14" width="10" style="220" customWidth="1"/>
    <col min="15" max="15" width="9.109375" style="220" customWidth="1"/>
    <col min="16" max="16" width="11.109375" style="220" customWidth="1"/>
    <col min="17" max="18" width="9.109375" style="220" customWidth="1"/>
    <col min="19" max="19" width="13.6640625" style="220" customWidth="1"/>
    <col min="20" max="21" width="9.109375" style="220" customWidth="1"/>
    <col min="22" max="22" width="11.44140625" style="220" bestFit="1" customWidth="1"/>
    <col min="23" max="24" width="9.109375" style="220" customWidth="1"/>
    <col min="25" max="25" width="12.44140625" style="220" bestFit="1" customWidth="1"/>
    <col min="26" max="27" width="9.109375" style="220" customWidth="1"/>
    <col min="28" max="28" width="11.33203125" style="220" bestFit="1" customWidth="1"/>
    <col min="29" max="30" width="9.109375" style="220" customWidth="1"/>
    <col min="31" max="31" width="9.5546875" style="220" bestFit="1" customWidth="1"/>
    <col min="32" max="16384" width="9.109375" style="220"/>
  </cols>
  <sheetData>
    <row r="1" spans="1:31" s="213" customFormat="1" ht="38.25" customHeight="1" x14ac:dyDescent="0.25">
      <c r="A1" s="521" t="s">
        <v>404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521"/>
      <c r="T1" s="521"/>
      <c r="U1" s="521"/>
      <c r="V1" s="521"/>
      <c r="W1" s="521"/>
      <c r="X1" s="521"/>
      <c r="Y1" s="521"/>
      <c r="Z1" s="521"/>
      <c r="AA1" s="521"/>
      <c r="AB1" s="521"/>
      <c r="AC1" s="521"/>
      <c r="AD1" s="521"/>
      <c r="AE1" s="521"/>
    </row>
    <row r="2" spans="1:31" s="213" customFormat="1" x14ac:dyDescent="0.25"/>
    <row r="3" spans="1:31" s="213" customFormat="1" ht="13.8" thickBot="1" x14ac:dyDescent="0.3"/>
    <row r="4" spans="1:31" s="192" customFormat="1" ht="13.5" customHeight="1" thickTop="1" x14ac:dyDescent="0.25">
      <c r="A4" s="498" t="s">
        <v>0</v>
      </c>
      <c r="B4" s="522" t="s">
        <v>199</v>
      </c>
      <c r="C4" s="522"/>
      <c r="D4" s="478" t="s">
        <v>405</v>
      </c>
      <c r="E4" s="478" t="s">
        <v>143</v>
      </c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522" t="s">
        <v>199</v>
      </c>
      <c r="R4" s="522"/>
      <c r="S4" s="478" t="s">
        <v>406</v>
      </c>
      <c r="T4" s="478" t="s">
        <v>143</v>
      </c>
      <c r="U4" s="478"/>
      <c r="V4" s="478"/>
      <c r="W4" s="478"/>
      <c r="X4" s="478"/>
      <c r="Y4" s="478"/>
      <c r="Z4" s="478"/>
      <c r="AA4" s="478"/>
      <c r="AB4" s="478"/>
      <c r="AC4" s="478"/>
      <c r="AD4" s="478"/>
      <c r="AE4" s="479"/>
    </row>
    <row r="5" spans="1:31" s="192" customFormat="1" ht="55.5" customHeight="1" x14ac:dyDescent="0.25">
      <c r="A5" s="499"/>
      <c r="B5" s="523"/>
      <c r="C5" s="523"/>
      <c r="D5" s="474"/>
      <c r="E5" s="474" t="s">
        <v>222</v>
      </c>
      <c r="F5" s="474"/>
      <c r="G5" s="474"/>
      <c r="H5" s="474" t="s">
        <v>223</v>
      </c>
      <c r="I5" s="474"/>
      <c r="J5" s="474"/>
      <c r="K5" s="474" t="s">
        <v>224</v>
      </c>
      <c r="L5" s="474"/>
      <c r="M5" s="474"/>
      <c r="N5" s="474" t="s">
        <v>225</v>
      </c>
      <c r="O5" s="474"/>
      <c r="P5" s="474"/>
      <c r="Q5" s="523"/>
      <c r="R5" s="523"/>
      <c r="S5" s="474"/>
      <c r="T5" s="474" t="s">
        <v>372</v>
      </c>
      <c r="U5" s="474"/>
      <c r="V5" s="474"/>
      <c r="W5" s="474" t="s">
        <v>373</v>
      </c>
      <c r="X5" s="474"/>
      <c r="Y5" s="474"/>
      <c r="Z5" s="474" t="s">
        <v>374</v>
      </c>
      <c r="AA5" s="474"/>
      <c r="AB5" s="474"/>
      <c r="AC5" s="474" t="s">
        <v>375</v>
      </c>
      <c r="AD5" s="474"/>
      <c r="AE5" s="475"/>
    </row>
    <row r="6" spans="1:31" s="192" customFormat="1" ht="12.75" customHeight="1" x14ac:dyDescent="0.25">
      <c r="A6" s="499"/>
      <c r="B6" s="315" t="s">
        <v>155</v>
      </c>
      <c r="C6" s="315" t="s">
        <v>156</v>
      </c>
      <c r="D6" s="474"/>
      <c r="E6" s="346" t="s">
        <v>155</v>
      </c>
      <c r="F6" s="346" t="s">
        <v>156</v>
      </c>
      <c r="G6" s="347"/>
      <c r="H6" s="346" t="s">
        <v>155</v>
      </c>
      <c r="I6" s="346" t="s">
        <v>156</v>
      </c>
      <c r="J6" s="347"/>
      <c r="K6" s="346" t="s">
        <v>155</v>
      </c>
      <c r="L6" s="346" t="s">
        <v>156</v>
      </c>
      <c r="M6" s="347"/>
      <c r="N6" s="346" t="s">
        <v>155</v>
      </c>
      <c r="O6" s="346" t="s">
        <v>156</v>
      </c>
      <c r="P6" s="347"/>
      <c r="Q6" s="315" t="s">
        <v>155</v>
      </c>
      <c r="R6" s="315" t="s">
        <v>156</v>
      </c>
      <c r="S6" s="474"/>
      <c r="T6" s="346" t="s">
        <v>155</v>
      </c>
      <c r="U6" s="346" t="s">
        <v>156</v>
      </c>
      <c r="V6" s="347"/>
      <c r="W6" s="346" t="s">
        <v>155</v>
      </c>
      <c r="X6" s="346" t="s">
        <v>156</v>
      </c>
      <c r="Y6" s="347"/>
      <c r="Z6" s="346" t="s">
        <v>155</v>
      </c>
      <c r="AA6" s="346" t="s">
        <v>156</v>
      </c>
      <c r="AB6" s="347"/>
      <c r="AC6" s="346" t="s">
        <v>155</v>
      </c>
      <c r="AD6" s="346" t="s">
        <v>156</v>
      </c>
      <c r="AE6" s="348"/>
    </row>
    <row r="7" spans="1:31" s="192" customFormat="1" x14ac:dyDescent="0.25">
      <c r="A7" s="115"/>
      <c r="B7" s="349"/>
      <c r="C7" s="349"/>
      <c r="D7" s="350"/>
      <c r="E7" s="349"/>
      <c r="F7" s="349"/>
      <c r="G7" s="350"/>
      <c r="H7" s="349"/>
      <c r="I7" s="349"/>
      <c r="J7" s="350"/>
      <c r="K7" s="349"/>
      <c r="L7" s="349"/>
      <c r="M7" s="350"/>
      <c r="N7" s="349"/>
      <c r="O7" s="349"/>
      <c r="P7" s="350"/>
      <c r="Q7" s="349"/>
      <c r="R7" s="349"/>
      <c r="S7" s="350"/>
      <c r="T7" s="349"/>
      <c r="U7" s="349"/>
      <c r="V7" s="350"/>
      <c r="W7" s="349"/>
      <c r="X7" s="349"/>
      <c r="Y7" s="350"/>
      <c r="Z7" s="349"/>
      <c r="AA7" s="349"/>
      <c r="AB7" s="350"/>
      <c r="AC7" s="349"/>
      <c r="AD7" s="349"/>
      <c r="AE7" s="351"/>
    </row>
    <row r="8" spans="1:31" s="217" customFormat="1" x14ac:dyDescent="0.25">
      <c r="A8" s="130" t="s">
        <v>163</v>
      </c>
      <c r="B8" s="244">
        <v>0</v>
      </c>
      <c r="C8" s="244">
        <v>1019046793.9299999</v>
      </c>
      <c r="D8" s="33">
        <f>(B8+C8)/1000</f>
        <v>1019046.7939299999</v>
      </c>
      <c r="E8" s="244">
        <v>0</v>
      </c>
      <c r="F8" s="244">
        <v>315121618.88999999</v>
      </c>
      <c r="G8" s="33">
        <f>(E8+F8)/1000</f>
        <v>315121.61888999998</v>
      </c>
      <c r="H8" s="244">
        <v>0</v>
      </c>
      <c r="I8" s="244">
        <v>610230775.40999997</v>
      </c>
      <c r="J8" s="33">
        <f>(H8+I8)/1000</f>
        <v>610230.77541</v>
      </c>
      <c r="K8" s="244">
        <v>0</v>
      </c>
      <c r="L8" s="244">
        <v>87543300</v>
      </c>
      <c r="M8" s="33">
        <f>(K8+L8)/1000</f>
        <v>87543.3</v>
      </c>
      <c r="N8" s="244">
        <v>0</v>
      </c>
      <c r="O8" s="244">
        <v>6151099.6299999999</v>
      </c>
      <c r="P8" s="33">
        <f>(N8+O8)/1000</f>
        <v>6151.0996299999997</v>
      </c>
      <c r="Q8" s="244">
        <v>0</v>
      </c>
      <c r="R8" s="244">
        <v>956044.84140999999</v>
      </c>
      <c r="S8" s="33">
        <f>(Q8+R8)</f>
        <v>956044.84140999999</v>
      </c>
      <c r="T8" s="244">
        <v>0</v>
      </c>
      <c r="U8" s="244">
        <v>240101.97464999999</v>
      </c>
      <c r="V8" s="33">
        <f>(T8+U8)</f>
        <v>240101.97464999999</v>
      </c>
      <c r="W8" s="244">
        <v>0</v>
      </c>
      <c r="X8" s="244">
        <v>621527.28666999994</v>
      </c>
      <c r="Y8" s="33">
        <f>(W8+X8)</f>
        <v>621527.28666999994</v>
      </c>
      <c r="Z8" s="244">
        <v>0</v>
      </c>
      <c r="AA8" s="244">
        <v>86051.1</v>
      </c>
      <c r="AB8" s="33">
        <f>(Z8+AA8)</f>
        <v>86051.1</v>
      </c>
      <c r="AC8" s="244">
        <v>0</v>
      </c>
      <c r="AD8" s="244">
        <v>8364.4800899999991</v>
      </c>
      <c r="AE8" s="46">
        <f>(AC8+AD8)</f>
        <v>8364.4800899999991</v>
      </c>
    </row>
    <row r="9" spans="1:31" s="217" customFormat="1" x14ac:dyDescent="0.25">
      <c r="A9" s="130" t="s">
        <v>164</v>
      </c>
      <c r="B9" s="244">
        <v>0</v>
      </c>
      <c r="C9" s="244">
        <v>508377299.04000002</v>
      </c>
      <c r="D9" s="33">
        <f t="shared" ref="D9:D33" si="0">(B9+C9)/1000</f>
        <v>508377.29904000001</v>
      </c>
      <c r="E9" s="244">
        <v>0</v>
      </c>
      <c r="F9" s="244">
        <v>192368984.83000001</v>
      </c>
      <c r="G9" s="33">
        <f t="shared" ref="G9:G33" si="1">(E9+F9)/1000</f>
        <v>192368.98483</v>
      </c>
      <c r="H9" s="244">
        <v>0</v>
      </c>
      <c r="I9" s="244">
        <v>267935479.31</v>
      </c>
      <c r="J9" s="33">
        <f t="shared" ref="J9:J33" si="2">(H9+I9)/1000</f>
        <v>267935.47931000002</v>
      </c>
      <c r="K9" s="244">
        <v>0</v>
      </c>
      <c r="L9" s="244">
        <v>47389300</v>
      </c>
      <c r="M9" s="33">
        <f t="shared" ref="M9:M33" si="3">(K9+L9)/1000</f>
        <v>47389.3</v>
      </c>
      <c r="N9" s="244">
        <v>0</v>
      </c>
      <c r="O9" s="244">
        <v>683534.9</v>
      </c>
      <c r="P9" s="33">
        <f t="shared" ref="P9:P33" si="4">(N9+O9)/1000</f>
        <v>683.53489999999999</v>
      </c>
      <c r="Q9" s="244">
        <v>0</v>
      </c>
      <c r="R9" s="244">
        <v>523141.29496000003</v>
      </c>
      <c r="S9" s="33">
        <f t="shared" ref="S9:S33" si="5">(Q9+R9)</f>
        <v>523141.29496000003</v>
      </c>
      <c r="T9" s="244">
        <v>0</v>
      </c>
      <c r="U9" s="244">
        <v>208749.02007</v>
      </c>
      <c r="V9" s="33">
        <f t="shared" ref="V9:V33" si="6">(T9+U9)</f>
        <v>208749.02007</v>
      </c>
      <c r="W9" s="244">
        <v>0</v>
      </c>
      <c r="X9" s="244">
        <v>259903.79788999999</v>
      </c>
      <c r="Y9" s="33">
        <f t="shared" ref="Y9:Y33" si="7">(W9+X9)</f>
        <v>259903.79788999999</v>
      </c>
      <c r="Z9" s="244">
        <v>0</v>
      </c>
      <c r="AA9" s="244">
        <v>45753.599999999999</v>
      </c>
      <c r="AB9" s="33">
        <f t="shared" ref="AB9:AB33" si="8">(Z9+AA9)</f>
        <v>45753.599999999999</v>
      </c>
      <c r="AC9" s="244">
        <v>0</v>
      </c>
      <c r="AD9" s="244">
        <v>8734.8770000000004</v>
      </c>
      <c r="AE9" s="46">
        <f t="shared" ref="AE9:AE33" si="9">(AC9+AD9)</f>
        <v>8734.8770000000004</v>
      </c>
    </row>
    <row r="10" spans="1:31" s="217" customFormat="1" x14ac:dyDescent="0.25">
      <c r="A10" s="130" t="s">
        <v>165</v>
      </c>
      <c r="B10" s="244">
        <v>0</v>
      </c>
      <c r="C10" s="244">
        <v>337976178.54000002</v>
      </c>
      <c r="D10" s="33">
        <f t="shared" si="0"/>
        <v>337976.17853999999</v>
      </c>
      <c r="E10" s="244">
        <v>0</v>
      </c>
      <c r="F10" s="244">
        <v>127743937.28</v>
      </c>
      <c r="G10" s="33">
        <f t="shared" si="1"/>
        <v>127743.93728</v>
      </c>
      <c r="H10" s="244">
        <v>0</v>
      </c>
      <c r="I10" s="244">
        <v>179692925.31</v>
      </c>
      <c r="J10" s="33">
        <f t="shared" si="2"/>
        <v>179692.92530999999</v>
      </c>
      <c r="K10" s="244">
        <v>0</v>
      </c>
      <c r="L10" s="244">
        <v>29047391.949999999</v>
      </c>
      <c r="M10" s="33">
        <f t="shared" si="3"/>
        <v>29047.391949999997</v>
      </c>
      <c r="N10" s="244">
        <v>0</v>
      </c>
      <c r="O10" s="244">
        <v>1491924</v>
      </c>
      <c r="P10" s="33">
        <f t="shared" si="4"/>
        <v>1491.924</v>
      </c>
      <c r="Q10" s="244">
        <v>0</v>
      </c>
      <c r="R10" s="244">
        <v>337058.25812999997</v>
      </c>
      <c r="S10" s="33">
        <f t="shared" si="5"/>
        <v>337058.25812999997</v>
      </c>
      <c r="T10" s="244">
        <v>0</v>
      </c>
      <c r="U10" s="244">
        <v>124310.80512999999</v>
      </c>
      <c r="V10" s="33">
        <f t="shared" si="6"/>
        <v>124310.80512999999</v>
      </c>
      <c r="W10" s="244">
        <v>0</v>
      </c>
      <c r="X10" s="244">
        <v>183597.65299999999</v>
      </c>
      <c r="Y10" s="33">
        <f t="shared" si="7"/>
        <v>183597.65299999999</v>
      </c>
      <c r="Z10" s="244">
        <v>0</v>
      </c>
      <c r="AA10" s="244">
        <v>27657.4</v>
      </c>
      <c r="AB10" s="33">
        <f t="shared" si="8"/>
        <v>27657.4</v>
      </c>
      <c r="AC10" s="244">
        <v>0</v>
      </c>
      <c r="AD10" s="244">
        <v>1492.4</v>
      </c>
      <c r="AE10" s="46">
        <f t="shared" si="9"/>
        <v>1492.4</v>
      </c>
    </row>
    <row r="11" spans="1:31" s="217" customFormat="1" x14ac:dyDescent="0.25">
      <c r="A11" s="130" t="s">
        <v>166</v>
      </c>
      <c r="B11" s="244">
        <v>0</v>
      </c>
      <c r="C11" s="244">
        <v>487451994.58999997</v>
      </c>
      <c r="D11" s="33">
        <f t="shared" si="0"/>
        <v>487451.99458999996</v>
      </c>
      <c r="E11" s="244">
        <v>0</v>
      </c>
      <c r="F11" s="244">
        <v>186621494.34999999</v>
      </c>
      <c r="G11" s="33">
        <f t="shared" si="1"/>
        <v>186621.49434999999</v>
      </c>
      <c r="H11" s="244">
        <v>0</v>
      </c>
      <c r="I11" s="244">
        <v>237970700.24000001</v>
      </c>
      <c r="J11" s="33">
        <f t="shared" si="2"/>
        <v>237970.70024000001</v>
      </c>
      <c r="K11" s="244">
        <v>0</v>
      </c>
      <c r="L11" s="244">
        <v>60622800</v>
      </c>
      <c r="M11" s="33">
        <f t="shared" si="3"/>
        <v>60622.8</v>
      </c>
      <c r="N11" s="244">
        <v>0</v>
      </c>
      <c r="O11" s="244">
        <v>2237000</v>
      </c>
      <c r="P11" s="33">
        <f t="shared" si="4"/>
        <v>2237</v>
      </c>
      <c r="Q11" s="244">
        <v>0</v>
      </c>
      <c r="R11" s="244">
        <v>428590.04713999998</v>
      </c>
      <c r="S11" s="33">
        <f t="shared" si="5"/>
        <v>428590.04713999998</v>
      </c>
      <c r="T11" s="244">
        <v>0</v>
      </c>
      <c r="U11" s="244">
        <v>122950.63382</v>
      </c>
      <c r="V11" s="33">
        <f t="shared" si="6"/>
        <v>122950.63382</v>
      </c>
      <c r="W11" s="244">
        <v>0</v>
      </c>
      <c r="X11" s="244">
        <v>237907.71332000001</v>
      </c>
      <c r="Y11" s="33">
        <f t="shared" si="7"/>
        <v>237907.71332000001</v>
      </c>
      <c r="Z11" s="244">
        <v>0</v>
      </c>
      <c r="AA11" s="244">
        <v>64157.4</v>
      </c>
      <c r="AB11" s="33">
        <f t="shared" si="8"/>
        <v>64157.4</v>
      </c>
      <c r="AC11" s="244">
        <v>0</v>
      </c>
      <c r="AD11" s="244">
        <v>3574.3</v>
      </c>
      <c r="AE11" s="46">
        <f t="shared" si="9"/>
        <v>3574.3</v>
      </c>
    </row>
    <row r="12" spans="1:31" s="217" customFormat="1" x14ac:dyDescent="0.25">
      <c r="A12" s="130" t="s">
        <v>167</v>
      </c>
      <c r="B12" s="244">
        <v>0</v>
      </c>
      <c r="C12" s="244">
        <v>509165332.97000003</v>
      </c>
      <c r="D12" s="33">
        <f t="shared" si="0"/>
        <v>509165.33297000005</v>
      </c>
      <c r="E12" s="244">
        <v>0</v>
      </c>
      <c r="F12" s="244">
        <v>203001791.59</v>
      </c>
      <c r="G12" s="33">
        <f t="shared" si="1"/>
        <v>203001.79159000001</v>
      </c>
      <c r="H12" s="244">
        <v>0</v>
      </c>
      <c r="I12" s="244">
        <v>240563241.38</v>
      </c>
      <c r="J12" s="33">
        <f t="shared" si="2"/>
        <v>240563.24137999999</v>
      </c>
      <c r="K12" s="244">
        <v>0</v>
      </c>
      <c r="L12" s="244">
        <v>59668200</v>
      </c>
      <c r="M12" s="33">
        <f t="shared" si="3"/>
        <v>59668.2</v>
      </c>
      <c r="N12" s="244">
        <v>0</v>
      </c>
      <c r="O12" s="244">
        <v>5932100</v>
      </c>
      <c r="P12" s="33">
        <f t="shared" si="4"/>
        <v>5932.1</v>
      </c>
      <c r="Q12" s="244">
        <v>0</v>
      </c>
      <c r="R12" s="244">
        <v>572228.70998000004</v>
      </c>
      <c r="S12" s="33">
        <f t="shared" si="5"/>
        <v>572228.70998000004</v>
      </c>
      <c r="T12" s="244">
        <v>0</v>
      </c>
      <c r="U12" s="244">
        <v>239412.80038999999</v>
      </c>
      <c r="V12" s="33">
        <f t="shared" si="6"/>
        <v>239412.80038999999</v>
      </c>
      <c r="W12" s="244">
        <v>0</v>
      </c>
      <c r="X12" s="244">
        <v>238954.70959000001</v>
      </c>
      <c r="Y12" s="33">
        <f t="shared" si="7"/>
        <v>238954.70959000001</v>
      </c>
      <c r="Z12" s="244">
        <v>0</v>
      </c>
      <c r="AA12" s="244">
        <v>93720.9</v>
      </c>
      <c r="AB12" s="33">
        <f t="shared" si="8"/>
        <v>93720.9</v>
      </c>
      <c r="AC12" s="244">
        <v>0</v>
      </c>
      <c r="AD12" s="244">
        <v>140.30000000000001</v>
      </c>
      <c r="AE12" s="46">
        <f t="shared" si="9"/>
        <v>140.30000000000001</v>
      </c>
    </row>
    <row r="13" spans="1:31" s="217" customFormat="1" x14ac:dyDescent="0.25">
      <c r="A13" s="130" t="s">
        <v>168</v>
      </c>
      <c r="B13" s="244">
        <v>0</v>
      </c>
      <c r="C13" s="244">
        <v>861170471.87</v>
      </c>
      <c r="D13" s="33">
        <f t="shared" si="0"/>
        <v>861170.47187000001</v>
      </c>
      <c r="E13" s="244">
        <v>0</v>
      </c>
      <c r="F13" s="244">
        <v>469785897.87</v>
      </c>
      <c r="G13" s="33">
        <f t="shared" si="1"/>
        <v>469785.89786999999</v>
      </c>
      <c r="H13" s="244">
        <v>0</v>
      </c>
      <c r="I13" s="244">
        <v>316442150</v>
      </c>
      <c r="J13" s="33">
        <f t="shared" si="2"/>
        <v>316442.15000000002</v>
      </c>
      <c r="K13" s="244">
        <v>0</v>
      </c>
      <c r="L13" s="244">
        <v>70856400</v>
      </c>
      <c r="M13" s="33">
        <f t="shared" si="3"/>
        <v>70856.399999999994</v>
      </c>
      <c r="N13" s="244">
        <v>0</v>
      </c>
      <c r="O13" s="244">
        <v>4086024</v>
      </c>
      <c r="P13" s="33">
        <f t="shared" si="4"/>
        <v>4086.0239999999999</v>
      </c>
      <c r="Q13" s="244">
        <v>0</v>
      </c>
      <c r="R13" s="244">
        <v>662569.07481000002</v>
      </c>
      <c r="S13" s="33">
        <f t="shared" si="5"/>
        <v>662569.07481000002</v>
      </c>
      <c r="T13" s="244">
        <v>0</v>
      </c>
      <c r="U13" s="244">
        <v>249701.04021000001</v>
      </c>
      <c r="V13" s="33">
        <f t="shared" si="6"/>
        <v>249701.04021000001</v>
      </c>
      <c r="W13" s="244">
        <v>0</v>
      </c>
      <c r="X13" s="244">
        <v>318437.5</v>
      </c>
      <c r="Y13" s="33">
        <f t="shared" si="7"/>
        <v>318437.5</v>
      </c>
      <c r="Z13" s="244">
        <v>0</v>
      </c>
      <c r="AA13" s="244">
        <v>85695.6</v>
      </c>
      <c r="AB13" s="33">
        <f t="shared" si="8"/>
        <v>85695.6</v>
      </c>
      <c r="AC13" s="244">
        <v>0</v>
      </c>
      <c r="AD13" s="244">
        <v>8734.9346000000005</v>
      </c>
      <c r="AE13" s="46">
        <f t="shared" si="9"/>
        <v>8734.9346000000005</v>
      </c>
    </row>
    <row r="14" spans="1:31" s="217" customFormat="1" x14ac:dyDescent="0.25">
      <c r="A14" s="130" t="s">
        <v>169</v>
      </c>
      <c r="B14" s="244">
        <v>0</v>
      </c>
      <c r="C14" s="244">
        <v>391006437.99000001</v>
      </c>
      <c r="D14" s="33">
        <f t="shared" si="0"/>
        <v>391006.43799000001</v>
      </c>
      <c r="E14" s="244">
        <v>0</v>
      </c>
      <c r="F14" s="244">
        <v>133371631.26000001</v>
      </c>
      <c r="G14" s="33">
        <f t="shared" si="1"/>
        <v>133371.63125999999</v>
      </c>
      <c r="H14" s="244">
        <v>0</v>
      </c>
      <c r="I14" s="244">
        <v>213070559.72999999</v>
      </c>
      <c r="J14" s="33">
        <f t="shared" si="2"/>
        <v>213070.55972999998</v>
      </c>
      <c r="K14" s="244">
        <v>0</v>
      </c>
      <c r="L14" s="244">
        <v>41452000</v>
      </c>
      <c r="M14" s="33">
        <f t="shared" si="3"/>
        <v>41452</v>
      </c>
      <c r="N14" s="244">
        <v>0</v>
      </c>
      <c r="O14" s="244">
        <v>3112247</v>
      </c>
      <c r="P14" s="33">
        <f t="shared" si="4"/>
        <v>3112.2469999999998</v>
      </c>
      <c r="Q14" s="244">
        <v>0</v>
      </c>
      <c r="R14" s="244">
        <v>414280.99069000001</v>
      </c>
      <c r="S14" s="33">
        <f t="shared" si="5"/>
        <v>414280.99069000001</v>
      </c>
      <c r="T14" s="244">
        <v>0</v>
      </c>
      <c r="U14" s="244">
        <v>151875.84769</v>
      </c>
      <c r="V14" s="33">
        <f t="shared" si="6"/>
        <v>151875.84769</v>
      </c>
      <c r="W14" s="244">
        <v>0</v>
      </c>
      <c r="X14" s="244">
        <v>212136.9</v>
      </c>
      <c r="Y14" s="33">
        <f t="shared" si="7"/>
        <v>212136.9</v>
      </c>
      <c r="Z14" s="244">
        <v>0</v>
      </c>
      <c r="AA14" s="244">
        <v>43493.1</v>
      </c>
      <c r="AB14" s="33">
        <f t="shared" si="8"/>
        <v>43493.1</v>
      </c>
      <c r="AC14" s="244">
        <v>0</v>
      </c>
      <c r="AD14" s="244">
        <v>6775.143</v>
      </c>
      <c r="AE14" s="46">
        <f t="shared" si="9"/>
        <v>6775.143</v>
      </c>
    </row>
    <row r="15" spans="1:31" s="217" customFormat="1" x14ac:dyDescent="0.25">
      <c r="A15" s="130" t="s">
        <v>170</v>
      </c>
      <c r="B15" s="244">
        <v>0</v>
      </c>
      <c r="C15" s="244">
        <v>519872634.94999999</v>
      </c>
      <c r="D15" s="33">
        <f t="shared" si="0"/>
        <v>519872.63494999998</v>
      </c>
      <c r="E15" s="244">
        <v>0</v>
      </c>
      <c r="F15" s="244">
        <v>265605662.71000001</v>
      </c>
      <c r="G15" s="33">
        <f t="shared" si="1"/>
        <v>265605.66271</v>
      </c>
      <c r="H15" s="244">
        <v>0</v>
      </c>
      <c r="I15" s="244">
        <v>220377421.91999999</v>
      </c>
      <c r="J15" s="33">
        <f t="shared" si="2"/>
        <v>220377.42191999999</v>
      </c>
      <c r="K15" s="244">
        <v>0</v>
      </c>
      <c r="L15" s="244">
        <v>29147500</v>
      </c>
      <c r="M15" s="33">
        <f t="shared" si="3"/>
        <v>29147.5</v>
      </c>
      <c r="N15" s="244">
        <v>0</v>
      </c>
      <c r="O15" s="244">
        <v>4742050.32</v>
      </c>
      <c r="P15" s="33">
        <f t="shared" si="4"/>
        <v>4742.0503200000003</v>
      </c>
      <c r="Q15" s="244">
        <v>0</v>
      </c>
      <c r="R15" s="244">
        <v>584974.63512999995</v>
      </c>
      <c r="S15" s="33">
        <f t="shared" si="5"/>
        <v>584974.63512999995</v>
      </c>
      <c r="T15" s="244">
        <v>0</v>
      </c>
      <c r="U15" s="244">
        <v>322249.60717999999</v>
      </c>
      <c r="V15" s="33">
        <f t="shared" si="6"/>
        <v>322249.60717999999</v>
      </c>
      <c r="W15" s="244">
        <v>0</v>
      </c>
      <c r="X15" s="244">
        <v>220912.30486</v>
      </c>
      <c r="Y15" s="33">
        <f t="shared" si="7"/>
        <v>220912.30486</v>
      </c>
      <c r="Z15" s="244">
        <v>0</v>
      </c>
      <c r="AA15" s="244">
        <v>33639.800000000003</v>
      </c>
      <c r="AB15" s="33">
        <f t="shared" si="8"/>
        <v>33639.800000000003</v>
      </c>
      <c r="AC15" s="244">
        <v>0</v>
      </c>
      <c r="AD15" s="244">
        <v>8172.9230900000002</v>
      </c>
      <c r="AE15" s="46">
        <f t="shared" si="9"/>
        <v>8172.9230900000002</v>
      </c>
    </row>
    <row r="16" spans="1:31" s="217" customFormat="1" x14ac:dyDescent="0.25">
      <c r="A16" s="130" t="s">
        <v>171</v>
      </c>
      <c r="B16" s="244">
        <v>0</v>
      </c>
      <c r="C16" s="244">
        <v>421777482.44999999</v>
      </c>
      <c r="D16" s="33">
        <f t="shared" si="0"/>
        <v>421777.48245000001</v>
      </c>
      <c r="E16" s="244">
        <v>0</v>
      </c>
      <c r="F16" s="244">
        <v>149385979.66</v>
      </c>
      <c r="G16" s="33">
        <f t="shared" si="1"/>
        <v>149385.97965999998</v>
      </c>
      <c r="H16" s="244">
        <v>0</v>
      </c>
      <c r="I16" s="244">
        <v>243549969.38</v>
      </c>
      <c r="J16" s="33">
        <f t="shared" si="2"/>
        <v>243549.96937999999</v>
      </c>
      <c r="K16" s="244">
        <v>0</v>
      </c>
      <c r="L16" s="244">
        <v>26395300</v>
      </c>
      <c r="M16" s="33">
        <f t="shared" si="3"/>
        <v>26395.3</v>
      </c>
      <c r="N16" s="244">
        <v>0</v>
      </c>
      <c r="O16" s="244">
        <v>2446233.41</v>
      </c>
      <c r="P16" s="33">
        <f t="shared" si="4"/>
        <v>2446.2334100000003</v>
      </c>
      <c r="Q16" s="244">
        <v>0</v>
      </c>
      <c r="R16" s="244">
        <v>396285.10681000003</v>
      </c>
      <c r="S16" s="33">
        <f t="shared" si="5"/>
        <v>396285.10681000003</v>
      </c>
      <c r="T16" s="244">
        <v>0</v>
      </c>
      <c r="U16" s="244">
        <v>153436.5497</v>
      </c>
      <c r="V16" s="33">
        <f t="shared" si="6"/>
        <v>153436.5497</v>
      </c>
      <c r="W16" s="244">
        <v>0</v>
      </c>
      <c r="X16" s="244">
        <v>239078.19057000001</v>
      </c>
      <c r="Y16" s="33">
        <f t="shared" si="7"/>
        <v>239078.19057000001</v>
      </c>
      <c r="Z16" s="244">
        <v>0</v>
      </c>
      <c r="AA16" s="244">
        <v>3207.8</v>
      </c>
      <c r="AB16" s="33">
        <f t="shared" si="8"/>
        <v>3207.8</v>
      </c>
      <c r="AC16" s="244">
        <v>0</v>
      </c>
      <c r="AD16" s="244">
        <v>562.56654000000003</v>
      </c>
      <c r="AE16" s="46">
        <f t="shared" si="9"/>
        <v>562.56654000000003</v>
      </c>
    </row>
    <row r="17" spans="1:31" s="217" customFormat="1" x14ac:dyDescent="0.25">
      <c r="A17" s="130" t="s">
        <v>172</v>
      </c>
      <c r="B17" s="244">
        <v>0</v>
      </c>
      <c r="C17" s="244">
        <v>299998157.43000001</v>
      </c>
      <c r="D17" s="33">
        <f t="shared" si="0"/>
        <v>299998.15743000002</v>
      </c>
      <c r="E17" s="244">
        <v>0</v>
      </c>
      <c r="F17" s="244">
        <v>103581534.79000001</v>
      </c>
      <c r="G17" s="33">
        <f t="shared" si="1"/>
        <v>103581.53479000001</v>
      </c>
      <c r="H17" s="244">
        <v>0</v>
      </c>
      <c r="I17" s="244">
        <v>159165780.63999999</v>
      </c>
      <c r="J17" s="33">
        <f t="shared" si="2"/>
        <v>159165.78063999998</v>
      </c>
      <c r="K17" s="244">
        <v>0</v>
      </c>
      <c r="L17" s="244">
        <v>36216000</v>
      </c>
      <c r="M17" s="33">
        <f t="shared" si="3"/>
        <v>36216</v>
      </c>
      <c r="N17" s="244">
        <v>0</v>
      </c>
      <c r="O17" s="244">
        <v>1034842</v>
      </c>
      <c r="P17" s="33">
        <f t="shared" si="4"/>
        <v>1034.8420000000001</v>
      </c>
      <c r="Q17" s="244">
        <v>0</v>
      </c>
      <c r="R17" s="244">
        <v>320766.11537000001</v>
      </c>
      <c r="S17" s="33">
        <f t="shared" si="5"/>
        <v>320766.11537000001</v>
      </c>
      <c r="T17" s="244">
        <v>0</v>
      </c>
      <c r="U17" s="244">
        <v>121553.64154</v>
      </c>
      <c r="V17" s="33">
        <f t="shared" si="6"/>
        <v>121553.64154</v>
      </c>
      <c r="W17" s="244">
        <v>0</v>
      </c>
      <c r="X17" s="244">
        <v>157450.4</v>
      </c>
      <c r="Y17" s="33">
        <f t="shared" si="7"/>
        <v>157450.4</v>
      </c>
      <c r="Z17" s="244">
        <v>0</v>
      </c>
      <c r="AA17" s="244">
        <v>37108.199999999997</v>
      </c>
      <c r="AB17" s="33">
        <f t="shared" si="8"/>
        <v>37108.199999999997</v>
      </c>
      <c r="AC17" s="244">
        <v>0</v>
      </c>
      <c r="AD17" s="244">
        <v>4653.8738300000005</v>
      </c>
      <c r="AE17" s="46">
        <f t="shared" si="9"/>
        <v>4653.8738300000005</v>
      </c>
    </row>
    <row r="18" spans="1:31" s="217" customFormat="1" x14ac:dyDescent="0.25">
      <c r="A18" s="130" t="s">
        <v>173</v>
      </c>
      <c r="B18" s="244">
        <v>0</v>
      </c>
      <c r="C18" s="244">
        <v>360956262.94</v>
      </c>
      <c r="D18" s="33">
        <f t="shared" si="0"/>
        <v>360956.26293999999</v>
      </c>
      <c r="E18" s="244">
        <v>0</v>
      </c>
      <c r="F18" s="244">
        <v>172848148.63</v>
      </c>
      <c r="G18" s="33">
        <f t="shared" si="1"/>
        <v>172848.14862999998</v>
      </c>
      <c r="H18" s="244">
        <v>0</v>
      </c>
      <c r="I18" s="244">
        <v>185614212.31</v>
      </c>
      <c r="J18" s="33">
        <f t="shared" si="2"/>
        <v>185614.21231</v>
      </c>
      <c r="K18" s="244">
        <v>0</v>
      </c>
      <c r="L18" s="244">
        <v>1000000</v>
      </c>
      <c r="M18" s="33">
        <f t="shared" si="3"/>
        <v>1000</v>
      </c>
      <c r="N18" s="244">
        <v>0</v>
      </c>
      <c r="O18" s="244">
        <v>1493902</v>
      </c>
      <c r="P18" s="33">
        <f t="shared" si="4"/>
        <v>1493.902</v>
      </c>
      <c r="Q18" s="244">
        <v>0</v>
      </c>
      <c r="R18" s="244">
        <v>344795.10667000001</v>
      </c>
      <c r="S18" s="33">
        <f t="shared" si="5"/>
        <v>344795.10667000001</v>
      </c>
      <c r="T18" s="244">
        <v>0</v>
      </c>
      <c r="U18" s="244">
        <v>140980.37492999999</v>
      </c>
      <c r="V18" s="33">
        <f t="shared" si="6"/>
        <v>140980.37492999999</v>
      </c>
      <c r="W18" s="244">
        <v>0</v>
      </c>
      <c r="X18" s="244">
        <v>184546.54208000001</v>
      </c>
      <c r="Y18" s="33">
        <f t="shared" si="7"/>
        <v>184546.54208000001</v>
      </c>
      <c r="Z18" s="244">
        <v>0</v>
      </c>
      <c r="AA18" s="244">
        <v>16010.16966</v>
      </c>
      <c r="AB18" s="33">
        <f t="shared" si="8"/>
        <v>16010.16966</v>
      </c>
      <c r="AC18" s="244">
        <v>0</v>
      </c>
      <c r="AD18" s="244">
        <v>3258.02</v>
      </c>
      <c r="AE18" s="46">
        <f t="shared" si="9"/>
        <v>3258.02</v>
      </c>
    </row>
    <row r="19" spans="1:31" s="217" customFormat="1" x14ac:dyDescent="0.25">
      <c r="A19" s="130" t="s">
        <v>174</v>
      </c>
      <c r="B19" s="244">
        <v>0</v>
      </c>
      <c r="C19" s="244">
        <v>501624318.23000002</v>
      </c>
      <c r="D19" s="33">
        <f t="shared" si="0"/>
        <v>501624.31823000003</v>
      </c>
      <c r="E19" s="244">
        <v>0</v>
      </c>
      <c r="F19" s="244">
        <v>140509689.86000001</v>
      </c>
      <c r="G19" s="33">
        <f t="shared" si="1"/>
        <v>140509.68986000001</v>
      </c>
      <c r="H19" s="244">
        <v>0</v>
      </c>
      <c r="I19" s="244">
        <v>309126854.14999998</v>
      </c>
      <c r="J19" s="33">
        <f t="shared" si="2"/>
        <v>309126.85414999997</v>
      </c>
      <c r="K19" s="244">
        <v>0</v>
      </c>
      <c r="L19" s="244">
        <v>50653000</v>
      </c>
      <c r="M19" s="33">
        <f t="shared" si="3"/>
        <v>50653</v>
      </c>
      <c r="N19" s="244">
        <v>0</v>
      </c>
      <c r="O19" s="244">
        <v>1334774.22</v>
      </c>
      <c r="P19" s="33">
        <f t="shared" si="4"/>
        <v>1334.77422</v>
      </c>
      <c r="Q19" s="244">
        <v>0</v>
      </c>
      <c r="R19" s="244">
        <v>475253.95484999998</v>
      </c>
      <c r="S19" s="33">
        <f t="shared" si="5"/>
        <v>475253.95484999998</v>
      </c>
      <c r="T19" s="244">
        <v>0</v>
      </c>
      <c r="U19" s="244">
        <v>98384.621599999999</v>
      </c>
      <c r="V19" s="33">
        <f t="shared" si="6"/>
        <v>98384.621599999999</v>
      </c>
      <c r="W19" s="244">
        <v>0</v>
      </c>
      <c r="X19" s="244">
        <v>302699.70724999998</v>
      </c>
      <c r="Y19" s="33">
        <f t="shared" si="7"/>
        <v>302699.70724999998</v>
      </c>
      <c r="Z19" s="244">
        <v>0</v>
      </c>
      <c r="AA19" s="244">
        <v>57110.1</v>
      </c>
      <c r="AB19" s="33">
        <f t="shared" si="8"/>
        <v>57110.1</v>
      </c>
      <c r="AC19" s="244">
        <v>0</v>
      </c>
      <c r="AD19" s="244">
        <v>17059.526000000002</v>
      </c>
      <c r="AE19" s="46">
        <f t="shared" si="9"/>
        <v>17059.526000000002</v>
      </c>
    </row>
    <row r="20" spans="1:31" s="217" customFormat="1" x14ac:dyDescent="0.25">
      <c r="A20" s="130" t="s">
        <v>175</v>
      </c>
      <c r="B20" s="244">
        <v>0</v>
      </c>
      <c r="C20" s="244">
        <v>581698042.70000005</v>
      </c>
      <c r="D20" s="33">
        <f t="shared" si="0"/>
        <v>581698.04269999999</v>
      </c>
      <c r="E20" s="244">
        <v>0</v>
      </c>
      <c r="F20" s="244">
        <v>82490141.959999993</v>
      </c>
      <c r="G20" s="33">
        <f t="shared" si="1"/>
        <v>82490.141959999994</v>
      </c>
      <c r="H20" s="244">
        <v>0</v>
      </c>
      <c r="I20" s="244">
        <v>366319278.69</v>
      </c>
      <c r="J20" s="33">
        <f t="shared" si="2"/>
        <v>366319.27869000001</v>
      </c>
      <c r="K20" s="244">
        <v>0</v>
      </c>
      <c r="L20" s="244">
        <v>90604800</v>
      </c>
      <c r="M20" s="33">
        <f t="shared" si="3"/>
        <v>90604.800000000003</v>
      </c>
      <c r="N20" s="244">
        <v>0</v>
      </c>
      <c r="O20" s="244">
        <v>42283822.049999997</v>
      </c>
      <c r="P20" s="33">
        <f t="shared" si="4"/>
        <v>42283.822049999995</v>
      </c>
      <c r="Q20" s="244">
        <v>0</v>
      </c>
      <c r="R20" s="244">
        <v>598675.39451999997</v>
      </c>
      <c r="S20" s="33">
        <f t="shared" si="5"/>
        <v>598675.39451999997</v>
      </c>
      <c r="T20" s="244">
        <v>0</v>
      </c>
      <c r="U20" s="244">
        <v>122441.42793999999</v>
      </c>
      <c r="V20" s="33">
        <f t="shared" si="6"/>
        <v>122441.42793999999</v>
      </c>
      <c r="W20" s="244">
        <v>0</v>
      </c>
      <c r="X20" s="244">
        <v>362017.04008000001</v>
      </c>
      <c r="Y20" s="33">
        <f t="shared" si="7"/>
        <v>362017.04008000001</v>
      </c>
      <c r="Z20" s="244">
        <v>0</v>
      </c>
      <c r="AA20" s="244">
        <v>102227</v>
      </c>
      <c r="AB20" s="33">
        <f t="shared" si="8"/>
        <v>102227</v>
      </c>
      <c r="AC20" s="244">
        <v>0</v>
      </c>
      <c r="AD20" s="244">
        <v>11989.9265</v>
      </c>
      <c r="AE20" s="46">
        <f t="shared" si="9"/>
        <v>11989.9265</v>
      </c>
    </row>
    <row r="21" spans="1:31" s="217" customFormat="1" x14ac:dyDescent="0.25">
      <c r="A21" s="130" t="s">
        <v>176</v>
      </c>
      <c r="B21" s="244">
        <v>0</v>
      </c>
      <c r="C21" s="244">
        <v>872451342.34000003</v>
      </c>
      <c r="D21" s="33">
        <f t="shared" si="0"/>
        <v>872451.34234000009</v>
      </c>
      <c r="E21" s="244">
        <v>0</v>
      </c>
      <c r="F21" s="244">
        <v>259937662.58000001</v>
      </c>
      <c r="G21" s="33">
        <f t="shared" si="1"/>
        <v>259937.66258</v>
      </c>
      <c r="H21" s="244">
        <v>0</v>
      </c>
      <c r="I21" s="244">
        <v>495089917.25999999</v>
      </c>
      <c r="J21" s="33">
        <f t="shared" si="2"/>
        <v>495089.91726000002</v>
      </c>
      <c r="K21" s="244">
        <v>0</v>
      </c>
      <c r="L21" s="244">
        <v>116117100</v>
      </c>
      <c r="M21" s="33">
        <f t="shared" si="3"/>
        <v>116117.1</v>
      </c>
      <c r="N21" s="244">
        <v>0</v>
      </c>
      <c r="O21" s="244">
        <v>1306662.5</v>
      </c>
      <c r="P21" s="33">
        <f t="shared" si="4"/>
        <v>1306.6624999999999</v>
      </c>
      <c r="Q21" s="244">
        <v>0</v>
      </c>
      <c r="R21" s="244">
        <v>873407.57632999995</v>
      </c>
      <c r="S21" s="33">
        <f t="shared" si="5"/>
        <v>873407.57632999995</v>
      </c>
      <c r="T21" s="244">
        <v>0</v>
      </c>
      <c r="U21" s="244">
        <v>272282.48288999998</v>
      </c>
      <c r="V21" s="33">
        <f t="shared" si="6"/>
        <v>272282.48288999998</v>
      </c>
      <c r="W21" s="244">
        <v>0</v>
      </c>
      <c r="X21" s="244">
        <v>478961.55994000001</v>
      </c>
      <c r="Y21" s="33">
        <f t="shared" si="7"/>
        <v>478961.55994000001</v>
      </c>
      <c r="Z21" s="244">
        <v>0</v>
      </c>
      <c r="AA21" s="244">
        <v>114001.9</v>
      </c>
      <c r="AB21" s="33">
        <f t="shared" si="8"/>
        <v>114001.9</v>
      </c>
      <c r="AC21" s="244">
        <v>0</v>
      </c>
      <c r="AD21" s="244">
        <v>8161.6334999999999</v>
      </c>
      <c r="AE21" s="46">
        <f t="shared" si="9"/>
        <v>8161.6334999999999</v>
      </c>
    </row>
    <row r="22" spans="1:31" s="217" customFormat="1" x14ac:dyDescent="0.25">
      <c r="A22" s="130" t="s">
        <v>177</v>
      </c>
      <c r="B22" s="244">
        <v>0</v>
      </c>
      <c r="C22" s="244">
        <v>800454239.36000001</v>
      </c>
      <c r="D22" s="33">
        <f t="shared" si="0"/>
        <v>800454.23936000001</v>
      </c>
      <c r="E22" s="244">
        <v>0</v>
      </c>
      <c r="F22" s="244">
        <v>162358515.30000001</v>
      </c>
      <c r="G22" s="33">
        <f t="shared" si="1"/>
        <v>162358.5153</v>
      </c>
      <c r="H22" s="244">
        <v>0</v>
      </c>
      <c r="I22" s="244">
        <v>525559035.25999999</v>
      </c>
      <c r="J22" s="33">
        <f t="shared" si="2"/>
        <v>525559.03526000003</v>
      </c>
      <c r="K22" s="244">
        <v>0</v>
      </c>
      <c r="L22" s="244">
        <v>109057600</v>
      </c>
      <c r="M22" s="33">
        <f t="shared" si="3"/>
        <v>109057.60000000001</v>
      </c>
      <c r="N22" s="244">
        <v>0</v>
      </c>
      <c r="O22" s="244">
        <v>3479088.8</v>
      </c>
      <c r="P22" s="33">
        <f t="shared" si="4"/>
        <v>3479.0888</v>
      </c>
      <c r="Q22" s="244">
        <v>0</v>
      </c>
      <c r="R22" s="244">
        <v>808386.59455000004</v>
      </c>
      <c r="S22" s="33">
        <f t="shared" si="5"/>
        <v>808386.59455000004</v>
      </c>
      <c r="T22" s="244">
        <v>0</v>
      </c>
      <c r="U22" s="244">
        <v>153670.26215</v>
      </c>
      <c r="V22" s="33">
        <f t="shared" si="6"/>
        <v>153670.26215</v>
      </c>
      <c r="W22" s="244">
        <v>0</v>
      </c>
      <c r="X22" s="244">
        <v>531126.27240000002</v>
      </c>
      <c r="Y22" s="33">
        <f t="shared" si="7"/>
        <v>531126.27240000002</v>
      </c>
      <c r="Z22" s="244">
        <v>0</v>
      </c>
      <c r="AA22" s="244">
        <v>118146.1</v>
      </c>
      <c r="AB22" s="33">
        <f t="shared" si="8"/>
        <v>118146.1</v>
      </c>
      <c r="AC22" s="244">
        <v>0</v>
      </c>
      <c r="AD22" s="244">
        <v>5443.96</v>
      </c>
      <c r="AE22" s="46">
        <f t="shared" si="9"/>
        <v>5443.96</v>
      </c>
    </row>
    <row r="23" spans="1:31" s="217" customFormat="1" x14ac:dyDescent="0.25">
      <c r="A23" s="130" t="s">
        <v>178</v>
      </c>
      <c r="B23" s="244">
        <v>0</v>
      </c>
      <c r="C23" s="244">
        <v>876818359.97000003</v>
      </c>
      <c r="D23" s="33">
        <f t="shared" si="0"/>
        <v>876818.35996999999</v>
      </c>
      <c r="E23" s="244">
        <v>0</v>
      </c>
      <c r="F23" s="244">
        <v>484102516.60000002</v>
      </c>
      <c r="G23" s="33">
        <f t="shared" si="1"/>
        <v>484102.51660000003</v>
      </c>
      <c r="H23" s="244">
        <v>0</v>
      </c>
      <c r="I23" s="244">
        <v>378285307.25</v>
      </c>
      <c r="J23" s="33">
        <f t="shared" si="2"/>
        <v>378285.30725000001</v>
      </c>
      <c r="K23" s="244">
        <v>0</v>
      </c>
      <c r="L23" s="244">
        <v>9161500</v>
      </c>
      <c r="M23" s="33">
        <f t="shared" si="3"/>
        <v>9161.5</v>
      </c>
      <c r="N23" s="244">
        <v>0</v>
      </c>
      <c r="O23" s="244">
        <v>5269036.12</v>
      </c>
      <c r="P23" s="33">
        <f t="shared" si="4"/>
        <v>5269.0361199999998</v>
      </c>
      <c r="Q23" s="244">
        <v>0</v>
      </c>
      <c r="R23" s="244">
        <v>586426.28463000001</v>
      </c>
      <c r="S23" s="33">
        <f t="shared" si="5"/>
        <v>586426.28463000001</v>
      </c>
      <c r="T23" s="244">
        <v>0</v>
      </c>
      <c r="U23" s="244">
        <v>208769.01115000001</v>
      </c>
      <c r="V23" s="33">
        <f t="shared" si="6"/>
        <v>208769.01115000001</v>
      </c>
      <c r="W23" s="244">
        <v>0</v>
      </c>
      <c r="X23" s="244">
        <v>374048.04066</v>
      </c>
      <c r="Y23" s="33">
        <f t="shared" si="7"/>
        <v>374048.04066</v>
      </c>
      <c r="Z23" s="244">
        <v>0</v>
      </c>
      <c r="AA23" s="244">
        <v>0</v>
      </c>
      <c r="AB23" s="33">
        <f t="shared" si="8"/>
        <v>0</v>
      </c>
      <c r="AC23" s="244">
        <v>0</v>
      </c>
      <c r="AD23" s="244">
        <v>3609.2328200000002</v>
      </c>
      <c r="AE23" s="46">
        <f t="shared" si="9"/>
        <v>3609.2328200000002</v>
      </c>
    </row>
    <row r="24" spans="1:31" s="217" customFormat="1" x14ac:dyDescent="0.25">
      <c r="A24" s="130" t="s">
        <v>179</v>
      </c>
      <c r="B24" s="244">
        <v>0</v>
      </c>
      <c r="C24" s="244">
        <v>804329512.17999995</v>
      </c>
      <c r="D24" s="33">
        <f t="shared" si="0"/>
        <v>804329.51217999996</v>
      </c>
      <c r="E24" s="244">
        <v>0</v>
      </c>
      <c r="F24" s="244">
        <v>258034071.37</v>
      </c>
      <c r="G24" s="33">
        <f t="shared" si="1"/>
        <v>258034.07136999999</v>
      </c>
      <c r="H24" s="244">
        <v>0</v>
      </c>
      <c r="I24" s="244">
        <v>484942896</v>
      </c>
      <c r="J24" s="33">
        <f t="shared" si="2"/>
        <v>484942.89600000001</v>
      </c>
      <c r="K24" s="244">
        <v>0</v>
      </c>
      <c r="L24" s="244">
        <v>54429000</v>
      </c>
      <c r="M24" s="33">
        <f t="shared" si="3"/>
        <v>54429</v>
      </c>
      <c r="N24" s="244">
        <v>0</v>
      </c>
      <c r="O24" s="244">
        <v>6923544.8099999996</v>
      </c>
      <c r="P24" s="33">
        <f t="shared" si="4"/>
        <v>6923.5448099999994</v>
      </c>
      <c r="Q24" s="244">
        <v>0</v>
      </c>
      <c r="R24" s="244">
        <v>778642.63280000002</v>
      </c>
      <c r="S24" s="33">
        <f t="shared" si="5"/>
        <v>778642.63280000002</v>
      </c>
      <c r="T24" s="244">
        <v>0</v>
      </c>
      <c r="U24" s="244">
        <v>191756.84831999999</v>
      </c>
      <c r="V24" s="33">
        <f t="shared" si="6"/>
        <v>191756.84831999999</v>
      </c>
      <c r="W24" s="244">
        <v>0</v>
      </c>
      <c r="X24" s="244">
        <v>504748.38170000003</v>
      </c>
      <c r="Y24" s="33">
        <f t="shared" si="7"/>
        <v>504748.38170000003</v>
      </c>
      <c r="Z24" s="244">
        <v>0</v>
      </c>
      <c r="AA24" s="244">
        <v>73943.600000000006</v>
      </c>
      <c r="AB24" s="33">
        <f t="shared" si="8"/>
        <v>73943.600000000006</v>
      </c>
      <c r="AC24" s="244">
        <v>0</v>
      </c>
      <c r="AD24" s="244">
        <v>8193.80278</v>
      </c>
      <c r="AE24" s="46">
        <f t="shared" si="9"/>
        <v>8193.80278</v>
      </c>
    </row>
    <row r="25" spans="1:31" s="217" customFormat="1" x14ac:dyDescent="0.25">
      <c r="A25" s="130" t="s">
        <v>180</v>
      </c>
      <c r="B25" s="244">
        <v>0</v>
      </c>
      <c r="C25" s="244">
        <v>880782984.12</v>
      </c>
      <c r="D25" s="33">
        <f t="shared" si="0"/>
        <v>880782.98412000004</v>
      </c>
      <c r="E25" s="244">
        <v>0</v>
      </c>
      <c r="F25" s="244">
        <v>345465051.62</v>
      </c>
      <c r="G25" s="33">
        <f t="shared" si="1"/>
        <v>345465.05161999998</v>
      </c>
      <c r="H25" s="244">
        <v>0</v>
      </c>
      <c r="I25" s="244">
        <v>464665329.30000001</v>
      </c>
      <c r="J25" s="33">
        <f t="shared" si="2"/>
        <v>464665.32929999998</v>
      </c>
      <c r="K25" s="244">
        <v>0</v>
      </c>
      <c r="L25" s="244">
        <v>62924900</v>
      </c>
      <c r="M25" s="33">
        <f t="shared" si="3"/>
        <v>62924.9</v>
      </c>
      <c r="N25" s="244">
        <v>0</v>
      </c>
      <c r="O25" s="244">
        <v>7727703.2000000002</v>
      </c>
      <c r="P25" s="33">
        <f t="shared" si="4"/>
        <v>7727.7031999999999</v>
      </c>
      <c r="Q25" s="244">
        <v>0</v>
      </c>
      <c r="R25" s="244">
        <v>730443.52243999997</v>
      </c>
      <c r="S25" s="33">
        <f t="shared" si="5"/>
        <v>730443.52243999997</v>
      </c>
      <c r="T25" s="244">
        <v>0</v>
      </c>
      <c r="U25" s="244">
        <v>183775.96290000001</v>
      </c>
      <c r="V25" s="33">
        <f t="shared" si="6"/>
        <v>183775.96290000001</v>
      </c>
      <c r="W25" s="244">
        <v>0</v>
      </c>
      <c r="X25" s="244">
        <v>460750.60454999999</v>
      </c>
      <c r="Y25" s="33">
        <f t="shared" si="7"/>
        <v>460750.60454999999</v>
      </c>
      <c r="Z25" s="244">
        <v>0</v>
      </c>
      <c r="AA25" s="244">
        <v>79493</v>
      </c>
      <c r="AB25" s="33">
        <f t="shared" si="8"/>
        <v>79493</v>
      </c>
      <c r="AC25" s="244">
        <v>0</v>
      </c>
      <c r="AD25" s="244">
        <v>6423.9549900000002</v>
      </c>
      <c r="AE25" s="46">
        <f t="shared" si="9"/>
        <v>6423.9549900000002</v>
      </c>
    </row>
    <row r="26" spans="1:31" s="217" customFormat="1" x14ac:dyDescent="0.25">
      <c r="A26" s="130" t="s">
        <v>181</v>
      </c>
      <c r="B26" s="244">
        <v>0</v>
      </c>
      <c r="C26" s="244">
        <v>312220841.99000001</v>
      </c>
      <c r="D26" s="33">
        <f t="shared" si="0"/>
        <v>312220.84198999999</v>
      </c>
      <c r="E26" s="244">
        <v>0</v>
      </c>
      <c r="F26" s="244">
        <v>79918755.219999999</v>
      </c>
      <c r="G26" s="33">
        <f t="shared" si="1"/>
        <v>79918.755219999992</v>
      </c>
      <c r="H26" s="244">
        <v>0</v>
      </c>
      <c r="I26" s="244">
        <v>178755709.06999999</v>
      </c>
      <c r="J26" s="33">
        <f t="shared" si="2"/>
        <v>178755.70906999998</v>
      </c>
      <c r="K26" s="244">
        <v>0</v>
      </c>
      <c r="L26" s="244">
        <v>52049700</v>
      </c>
      <c r="M26" s="33">
        <f t="shared" si="3"/>
        <v>52049.7</v>
      </c>
      <c r="N26" s="244">
        <v>0</v>
      </c>
      <c r="O26" s="244">
        <v>1496677.7</v>
      </c>
      <c r="P26" s="33">
        <f t="shared" si="4"/>
        <v>1496.6777</v>
      </c>
      <c r="Q26" s="244">
        <v>0</v>
      </c>
      <c r="R26" s="244">
        <v>305045.06309000001</v>
      </c>
      <c r="S26" s="33">
        <f t="shared" si="5"/>
        <v>305045.06309000001</v>
      </c>
      <c r="T26" s="244">
        <v>0</v>
      </c>
      <c r="U26" s="244">
        <v>77877.774600000004</v>
      </c>
      <c r="V26" s="33">
        <f t="shared" si="6"/>
        <v>77877.774600000004</v>
      </c>
      <c r="W26" s="244">
        <v>0</v>
      </c>
      <c r="X26" s="244">
        <v>170378.08848999999</v>
      </c>
      <c r="Y26" s="33">
        <f t="shared" si="7"/>
        <v>170378.08848999999</v>
      </c>
      <c r="Z26" s="244">
        <v>0</v>
      </c>
      <c r="AA26" s="244">
        <v>55172.2</v>
      </c>
      <c r="AB26" s="33">
        <f t="shared" si="8"/>
        <v>55172.2</v>
      </c>
      <c r="AC26" s="244">
        <v>0</v>
      </c>
      <c r="AD26" s="244">
        <v>1617</v>
      </c>
      <c r="AE26" s="46">
        <f t="shared" si="9"/>
        <v>1617</v>
      </c>
    </row>
    <row r="27" spans="1:31" s="217" customFormat="1" x14ac:dyDescent="0.25">
      <c r="A27" s="130" t="s">
        <v>182</v>
      </c>
      <c r="B27" s="244">
        <v>3659829192.1599998</v>
      </c>
      <c r="C27" s="244">
        <v>0</v>
      </c>
      <c r="D27" s="33">
        <f t="shared" si="0"/>
        <v>3659829.1921599996</v>
      </c>
      <c r="E27" s="244">
        <v>466802881.01999998</v>
      </c>
      <c r="F27" s="244">
        <v>0</v>
      </c>
      <c r="G27" s="33">
        <f t="shared" si="1"/>
        <v>466802.88101999997</v>
      </c>
      <c r="H27" s="244">
        <v>2974114748.1700001</v>
      </c>
      <c r="I27" s="244">
        <v>0</v>
      </c>
      <c r="J27" s="33">
        <f t="shared" si="2"/>
        <v>2974114.74817</v>
      </c>
      <c r="K27" s="244">
        <v>94490500</v>
      </c>
      <c r="L27" s="244">
        <v>0</v>
      </c>
      <c r="M27" s="33">
        <f t="shared" si="3"/>
        <v>94490.5</v>
      </c>
      <c r="N27" s="244">
        <v>124421062.97</v>
      </c>
      <c r="O27" s="244">
        <v>0</v>
      </c>
      <c r="P27" s="33">
        <f t="shared" si="4"/>
        <v>124421.06297</v>
      </c>
      <c r="Q27" s="244">
        <v>3889191.3073499999</v>
      </c>
      <c r="R27" s="244">
        <v>0</v>
      </c>
      <c r="S27" s="33">
        <f t="shared" si="5"/>
        <v>3889191.3073499999</v>
      </c>
      <c r="T27" s="244">
        <v>853333.45729000005</v>
      </c>
      <c r="U27" s="244">
        <v>0</v>
      </c>
      <c r="V27" s="33">
        <f t="shared" si="6"/>
        <v>853333.45729000005</v>
      </c>
      <c r="W27" s="244">
        <v>3021776.5013899999</v>
      </c>
      <c r="X27" s="244">
        <v>0</v>
      </c>
      <c r="Y27" s="33">
        <f t="shared" si="7"/>
        <v>3021776.5013899999</v>
      </c>
      <c r="Z27" s="244">
        <v>0</v>
      </c>
      <c r="AA27" s="244">
        <v>0</v>
      </c>
      <c r="AB27" s="33">
        <f t="shared" si="8"/>
        <v>0</v>
      </c>
      <c r="AC27" s="244">
        <v>14081.348669999999</v>
      </c>
      <c r="AD27" s="244">
        <v>0</v>
      </c>
      <c r="AE27" s="46">
        <f t="shared" si="9"/>
        <v>14081.348669999999</v>
      </c>
    </row>
    <row r="28" spans="1:31" s="217" customFormat="1" x14ac:dyDescent="0.25">
      <c r="A28" s="130" t="s">
        <v>183</v>
      </c>
      <c r="B28" s="244">
        <v>3046504248.8099999</v>
      </c>
      <c r="C28" s="244">
        <v>0</v>
      </c>
      <c r="D28" s="33">
        <f t="shared" si="0"/>
        <v>3046504.2488099998</v>
      </c>
      <c r="E28" s="244">
        <v>936305289.73000002</v>
      </c>
      <c r="F28" s="244">
        <v>0</v>
      </c>
      <c r="G28" s="33">
        <f t="shared" si="1"/>
        <v>936305.28973000008</v>
      </c>
      <c r="H28" s="244">
        <v>2104642151.5</v>
      </c>
      <c r="I28" s="244">
        <v>0</v>
      </c>
      <c r="J28" s="33">
        <f t="shared" si="2"/>
        <v>2104642.1515000002</v>
      </c>
      <c r="K28" s="244">
        <v>0</v>
      </c>
      <c r="L28" s="244">
        <v>0</v>
      </c>
      <c r="M28" s="33">
        <f t="shared" si="3"/>
        <v>0</v>
      </c>
      <c r="N28" s="244">
        <v>5556807.5800000001</v>
      </c>
      <c r="O28" s="244">
        <v>0</v>
      </c>
      <c r="P28" s="33">
        <f t="shared" si="4"/>
        <v>5556.8075799999997</v>
      </c>
      <c r="Q28" s="244">
        <v>2976810.0986899999</v>
      </c>
      <c r="R28" s="244">
        <v>0</v>
      </c>
      <c r="S28" s="33">
        <f t="shared" si="5"/>
        <v>2976810.0986899999</v>
      </c>
      <c r="T28" s="244">
        <v>844857.80559999996</v>
      </c>
      <c r="U28" s="244">
        <v>0</v>
      </c>
      <c r="V28" s="33">
        <f t="shared" si="6"/>
        <v>844857.80559999996</v>
      </c>
      <c r="W28" s="244">
        <v>2126755.3828799999</v>
      </c>
      <c r="X28" s="244">
        <v>0</v>
      </c>
      <c r="Y28" s="33">
        <f t="shared" si="7"/>
        <v>2126755.3828799999</v>
      </c>
      <c r="Z28" s="244">
        <v>0</v>
      </c>
      <c r="AA28" s="244">
        <v>0</v>
      </c>
      <c r="AB28" s="33">
        <f t="shared" si="8"/>
        <v>0</v>
      </c>
      <c r="AC28" s="244">
        <v>5196.91021</v>
      </c>
      <c r="AD28" s="244">
        <v>0</v>
      </c>
      <c r="AE28" s="46">
        <f t="shared" si="9"/>
        <v>5196.91021</v>
      </c>
    </row>
    <row r="29" spans="1:31" s="217" customFormat="1" x14ac:dyDescent="0.25">
      <c r="A29" s="130" t="s">
        <v>184</v>
      </c>
      <c r="B29" s="244">
        <v>964556874.05999994</v>
      </c>
      <c r="C29" s="244">
        <v>0</v>
      </c>
      <c r="D29" s="33">
        <f t="shared" si="0"/>
        <v>964556.87405999994</v>
      </c>
      <c r="E29" s="244">
        <v>128755273.72</v>
      </c>
      <c r="F29" s="244">
        <v>0</v>
      </c>
      <c r="G29" s="33">
        <f t="shared" si="1"/>
        <v>128755.27372</v>
      </c>
      <c r="H29" s="244">
        <v>761210164.16999996</v>
      </c>
      <c r="I29" s="244">
        <v>0</v>
      </c>
      <c r="J29" s="33">
        <f t="shared" si="2"/>
        <v>761210.16417</v>
      </c>
      <c r="K29" s="244">
        <v>64559300</v>
      </c>
      <c r="L29" s="244">
        <v>0</v>
      </c>
      <c r="M29" s="33">
        <f t="shared" si="3"/>
        <v>64559.3</v>
      </c>
      <c r="N29" s="244">
        <v>10032136.17</v>
      </c>
      <c r="O29" s="244">
        <v>0</v>
      </c>
      <c r="P29" s="33">
        <f t="shared" si="4"/>
        <v>10032.13617</v>
      </c>
      <c r="Q29" s="244">
        <v>1066356.16815</v>
      </c>
      <c r="R29" s="244">
        <v>0</v>
      </c>
      <c r="S29" s="33">
        <f t="shared" si="5"/>
        <v>1066356.16815</v>
      </c>
      <c r="T29" s="244">
        <v>106583.78499</v>
      </c>
      <c r="U29" s="244">
        <v>0</v>
      </c>
      <c r="V29" s="33">
        <f t="shared" si="6"/>
        <v>106583.78499</v>
      </c>
      <c r="W29" s="244">
        <v>799940.20836000005</v>
      </c>
      <c r="X29" s="244">
        <v>0</v>
      </c>
      <c r="Y29" s="33">
        <f t="shared" si="7"/>
        <v>799940.20836000005</v>
      </c>
      <c r="Z29" s="244">
        <v>157184.70000000001</v>
      </c>
      <c r="AA29" s="244">
        <v>0</v>
      </c>
      <c r="AB29" s="33">
        <f t="shared" si="8"/>
        <v>157184.70000000001</v>
      </c>
      <c r="AC29" s="244">
        <v>2647.4748</v>
      </c>
      <c r="AD29" s="244">
        <v>0</v>
      </c>
      <c r="AE29" s="46">
        <f t="shared" si="9"/>
        <v>2647.4748</v>
      </c>
    </row>
    <row r="30" spans="1:31" s="217" customFormat="1" x14ac:dyDescent="0.25">
      <c r="A30" s="130" t="s">
        <v>185</v>
      </c>
      <c r="B30" s="244">
        <v>584130019.77999997</v>
      </c>
      <c r="C30" s="244">
        <v>0</v>
      </c>
      <c r="D30" s="33">
        <f t="shared" si="0"/>
        <v>584130.01977999997</v>
      </c>
      <c r="E30" s="244">
        <v>140493291.19999999</v>
      </c>
      <c r="F30" s="244">
        <v>0</v>
      </c>
      <c r="G30" s="33">
        <f t="shared" si="1"/>
        <v>140493.29119999998</v>
      </c>
      <c r="H30" s="244">
        <v>369393988.57999998</v>
      </c>
      <c r="I30" s="244">
        <v>0</v>
      </c>
      <c r="J30" s="33">
        <f t="shared" si="2"/>
        <v>369393.98858</v>
      </c>
      <c r="K30" s="244">
        <v>73027800</v>
      </c>
      <c r="L30" s="244">
        <v>0</v>
      </c>
      <c r="M30" s="33">
        <f t="shared" si="3"/>
        <v>73027.8</v>
      </c>
      <c r="N30" s="244">
        <v>1214940</v>
      </c>
      <c r="O30" s="244">
        <v>0</v>
      </c>
      <c r="P30" s="33">
        <f t="shared" si="4"/>
        <v>1214.94</v>
      </c>
      <c r="Q30" s="244">
        <v>503389.86505999998</v>
      </c>
      <c r="R30" s="244">
        <v>0</v>
      </c>
      <c r="S30" s="33">
        <f t="shared" si="5"/>
        <v>503389.86505999998</v>
      </c>
      <c r="T30" s="244">
        <v>51522.338860000003</v>
      </c>
      <c r="U30" s="244">
        <v>0</v>
      </c>
      <c r="V30" s="33">
        <f t="shared" si="6"/>
        <v>51522.338860000003</v>
      </c>
      <c r="W30" s="244">
        <v>374712.6262</v>
      </c>
      <c r="X30" s="244">
        <v>0</v>
      </c>
      <c r="Y30" s="33">
        <f t="shared" si="7"/>
        <v>374712.6262</v>
      </c>
      <c r="Z30" s="244">
        <v>76994.899999999994</v>
      </c>
      <c r="AA30" s="244">
        <v>0</v>
      </c>
      <c r="AB30" s="33">
        <f t="shared" si="8"/>
        <v>76994.899999999994</v>
      </c>
      <c r="AC30" s="244">
        <v>160</v>
      </c>
      <c r="AD30" s="244">
        <v>0</v>
      </c>
      <c r="AE30" s="46">
        <f t="shared" si="9"/>
        <v>160</v>
      </c>
    </row>
    <row r="31" spans="1:31" s="217" customFormat="1" x14ac:dyDescent="0.25">
      <c r="A31" s="130" t="s">
        <v>186</v>
      </c>
      <c r="B31" s="244">
        <v>466066276.51999998</v>
      </c>
      <c r="C31" s="244">
        <v>0</v>
      </c>
      <c r="D31" s="33">
        <f t="shared" si="0"/>
        <v>466066.27651999996</v>
      </c>
      <c r="E31" s="244">
        <v>43205995.590000004</v>
      </c>
      <c r="F31" s="244">
        <v>0</v>
      </c>
      <c r="G31" s="33">
        <f t="shared" si="1"/>
        <v>43205.995590000006</v>
      </c>
      <c r="H31" s="244">
        <v>406199230.93000001</v>
      </c>
      <c r="I31" s="244">
        <v>0</v>
      </c>
      <c r="J31" s="33">
        <f t="shared" si="2"/>
        <v>406199.23093000002</v>
      </c>
      <c r="K31" s="244">
        <v>11729800</v>
      </c>
      <c r="L31" s="244">
        <v>0</v>
      </c>
      <c r="M31" s="33">
        <f t="shared" si="3"/>
        <v>11729.8</v>
      </c>
      <c r="N31" s="244">
        <v>4931250</v>
      </c>
      <c r="O31" s="244">
        <v>0</v>
      </c>
      <c r="P31" s="33">
        <f t="shared" si="4"/>
        <v>4931.25</v>
      </c>
      <c r="Q31" s="244">
        <v>476145.21106</v>
      </c>
      <c r="R31" s="244">
        <v>0</v>
      </c>
      <c r="S31" s="33">
        <f t="shared" si="5"/>
        <v>476145.21106</v>
      </c>
      <c r="T31" s="244">
        <v>54479.452640000003</v>
      </c>
      <c r="U31" s="244">
        <v>0</v>
      </c>
      <c r="V31" s="33">
        <f t="shared" si="6"/>
        <v>54479.452640000003</v>
      </c>
      <c r="W31" s="244">
        <v>408636.17842000001</v>
      </c>
      <c r="X31" s="244">
        <v>0</v>
      </c>
      <c r="Y31" s="33">
        <f t="shared" si="7"/>
        <v>408636.17842000001</v>
      </c>
      <c r="Z31" s="244">
        <v>12535</v>
      </c>
      <c r="AA31" s="244">
        <v>0</v>
      </c>
      <c r="AB31" s="33">
        <f t="shared" si="8"/>
        <v>12535</v>
      </c>
      <c r="AC31" s="244">
        <v>494.58</v>
      </c>
      <c r="AD31" s="244">
        <v>0</v>
      </c>
      <c r="AE31" s="46">
        <f t="shared" si="9"/>
        <v>494.58</v>
      </c>
    </row>
    <row r="32" spans="1:31" s="217" customFormat="1" x14ac:dyDescent="0.25">
      <c r="A32" s="130" t="s">
        <v>187</v>
      </c>
      <c r="B32" s="244">
        <v>425128048.25</v>
      </c>
      <c r="C32" s="244">
        <v>0</v>
      </c>
      <c r="D32" s="33">
        <f t="shared" si="0"/>
        <v>425128.04824999999</v>
      </c>
      <c r="E32" s="244">
        <v>15022281.210000001</v>
      </c>
      <c r="F32" s="244">
        <v>0</v>
      </c>
      <c r="G32" s="33">
        <f t="shared" si="1"/>
        <v>15022.281210000001</v>
      </c>
      <c r="H32" s="244">
        <v>297445467.04000002</v>
      </c>
      <c r="I32" s="244">
        <v>0</v>
      </c>
      <c r="J32" s="33">
        <f t="shared" si="2"/>
        <v>297445.46704000002</v>
      </c>
      <c r="K32" s="244">
        <v>112657700</v>
      </c>
      <c r="L32" s="244">
        <v>0</v>
      </c>
      <c r="M32" s="33">
        <f t="shared" si="3"/>
        <v>112657.7</v>
      </c>
      <c r="N32" s="244">
        <v>2600</v>
      </c>
      <c r="O32" s="244">
        <v>0</v>
      </c>
      <c r="P32" s="33">
        <f t="shared" si="4"/>
        <v>2.6</v>
      </c>
      <c r="Q32" s="244">
        <v>1066120.5606800001</v>
      </c>
      <c r="R32" s="244">
        <v>0</v>
      </c>
      <c r="S32" s="33">
        <f t="shared" si="5"/>
        <v>1066120.5606800001</v>
      </c>
      <c r="T32" s="244">
        <v>611502.62373999995</v>
      </c>
      <c r="U32" s="244">
        <v>0</v>
      </c>
      <c r="V32" s="33">
        <f t="shared" si="6"/>
        <v>611502.62373999995</v>
      </c>
      <c r="W32" s="244">
        <v>302859.93994000001</v>
      </c>
      <c r="X32" s="244">
        <v>0</v>
      </c>
      <c r="Y32" s="33">
        <f t="shared" si="7"/>
        <v>302859.93994000001</v>
      </c>
      <c r="Z32" s="244">
        <v>148758</v>
      </c>
      <c r="AA32" s="244">
        <v>0</v>
      </c>
      <c r="AB32" s="33">
        <f t="shared" si="8"/>
        <v>148758</v>
      </c>
      <c r="AC32" s="244">
        <v>2999.9969999999998</v>
      </c>
      <c r="AD32" s="244">
        <v>0</v>
      </c>
      <c r="AE32" s="46">
        <f t="shared" si="9"/>
        <v>2999.9969999999998</v>
      </c>
    </row>
    <row r="33" spans="1:31" s="217" customFormat="1" x14ac:dyDescent="0.25">
      <c r="A33" s="130" t="s">
        <v>188</v>
      </c>
      <c r="B33" s="244">
        <v>7288016.8700000001</v>
      </c>
      <c r="C33" s="244">
        <v>0</v>
      </c>
      <c r="D33" s="33">
        <f t="shared" si="0"/>
        <v>7288.0168700000004</v>
      </c>
      <c r="E33" s="244">
        <v>7000</v>
      </c>
      <c r="F33" s="244">
        <v>0</v>
      </c>
      <c r="G33" s="33">
        <f t="shared" si="1"/>
        <v>7</v>
      </c>
      <c r="H33" s="244">
        <v>6531316.8700000001</v>
      </c>
      <c r="I33" s="244">
        <v>0</v>
      </c>
      <c r="J33" s="33">
        <f t="shared" si="2"/>
        <v>6531.3168700000006</v>
      </c>
      <c r="K33" s="244">
        <v>749700</v>
      </c>
      <c r="L33" s="244">
        <v>0</v>
      </c>
      <c r="M33" s="33">
        <f t="shared" si="3"/>
        <v>749.7</v>
      </c>
      <c r="N33" s="244">
        <v>0</v>
      </c>
      <c r="O33" s="244">
        <v>0</v>
      </c>
      <c r="P33" s="33">
        <f t="shared" si="4"/>
        <v>0</v>
      </c>
      <c r="Q33" s="244">
        <v>7298.9468800000004</v>
      </c>
      <c r="R33" s="244">
        <v>0</v>
      </c>
      <c r="S33" s="33">
        <f t="shared" si="5"/>
        <v>7298.9468800000004</v>
      </c>
      <c r="T33" s="244">
        <v>0</v>
      </c>
      <c r="U33" s="244">
        <v>0</v>
      </c>
      <c r="V33" s="33">
        <f t="shared" si="6"/>
        <v>0</v>
      </c>
      <c r="W33" s="244">
        <v>6500.9468800000004</v>
      </c>
      <c r="X33" s="244">
        <v>0</v>
      </c>
      <c r="Y33" s="33">
        <f t="shared" si="7"/>
        <v>6500.9468800000004</v>
      </c>
      <c r="Z33" s="244">
        <v>798</v>
      </c>
      <c r="AA33" s="244">
        <v>0</v>
      </c>
      <c r="AB33" s="33">
        <f t="shared" si="8"/>
        <v>798</v>
      </c>
      <c r="AC33" s="244">
        <v>0</v>
      </c>
      <c r="AD33" s="244">
        <v>0</v>
      </c>
      <c r="AE33" s="46">
        <f t="shared" si="9"/>
        <v>0</v>
      </c>
    </row>
    <row r="34" spans="1:31" s="245" customFormat="1" ht="13.8" thickBot="1" x14ac:dyDescent="0.3">
      <c r="A34" s="241" t="s">
        <v>226</v>
      </c>
      <c r="B34" s="235">
        <f t="shared" ref="B34:C34" si="10">SUM(B8:B33)</f>
        <v>9153502676.4499989</v>
      </c>
      <c r="C34" s="235">
        <f t="shared" si="10"/>
        <v>11347178687.589998</v>
      </c>
      <c r="D34" s="235">
        <f>SUM(D8:D33)</f>
        <v>20500681.364039999</v>
      </c>
      <c r="E34" s="235">
        <f t="shared" ref="E34:AE34" si="11">SUM(E8:E33)</f>
        <v>1730592012.47</v>
      </c>
      <c r="F34" s="235">
        <f t="shared" si="11"/>
        <v>4132253086.3699999</v>
      </c>
      <c r="G34" s="235">
        <f t="shared" si="11"/>
        <v>5862845.098840001</v>
      </c>
      <c r="H34" s="235">
        <f t="shared" si="11"/>
        <v>6919537067.2600002</v>
      </c>
      <c r="I34" s="235">
        <f t="shared" si="11"/>
        <v>6077357542.6100006</v>
      </c>
      <c r="J34" s="235">
        <f t="shared" si="11"/>
        <v>12996894.609870002</v>
      </c>
      <c r="K34" s="235">
        <f t="shared" si="11"/>
        <v>357214800</v>
      </c>
      <c r="L34" s="235">
        <f t="shared" si="11"/>
        <v>1034335791.95</v>
      </c>
      <c r="M34" s="235">
        <f t="shared" si="11"/>
        <v>1391550.59195</v>
      </c>
      <c r="N34" s="235">
        <f t="shared" si="11"/>
        <v>146158796.72</v>
      </c>
      <c r="O34" s="235">
        <f t="shared" si="11"/>
        <v>103232266.66000001</v>
      </c>
      <c r="P34" s="235">
        <f t="shared" si="11"/>
        <v>249391.06338000001</v>
      </c>
      <c r="Q34" s="235">
        <f t="shared" si="11"/>
        <v>9985312.1578700002</v>
      </c>
      <c r="R34" s="235">
        <f t="shared" si="11"/>
        <v>10697015.204309998</v>
      </c>
      <c r="S34" s="235">
        <f t="shared" si="11"/>
        <v>20682327.362179998</v>
      </c>
      <c r="T34" s="235">
        <f t="shared" si="11"/>
        <v>2522279.46312</v>
      </c>
      <c r="U34" s="235">
        <f t="shared" si="11"/>
        <v>3384280.6868600002</v>
      </c>
      <c r="V34" s="235">
        <f t="shared" si="11"/>
        <v>5906560.1499799984</v>
      </c>
      <c r="W34" s="235">
        <f t="shared" si="11"/>
        <v>7041181.7840699982</v>
      </c>
      <c r="X34" s="235">
        <f t="shared" si="11"/>
        <v>6059182.6930500008</v>
      </c>
      <c r="Y34" s="235">
        <f t="shared" si="11"/>
        <v>13100364.477119999</v>
      </c>
      <c r="Z34" s="235">
        <f t="shared" si="11"/>
        <v>396270.6</v>
      </c>
      <c r="AA34" s="235">
        <f t="shared" si="11"/>
        <v>1136588.9696599997</v>
      </c>
      <c r="AB34" s="235">
        <f t="shared" si="11"/>
        <v>1532859.5696599996</v>
      </c>
      <c r="AC34" s="235">
        <f t="shared" si="11"/>
        <v>25580.310680000002</v>
      </c>
      <c r="AD34" s="235">
        <f t="shared" si="11"/>
        <v>116962.85474</v>
      </c>
      <c r="AE34" s="236">
        <f t="shared" si="11"/>
        <v>142543.16541999998</v>
      </c>
    </row>
    <row r="35" spans="1:31" ht="53.4" thickTop="1" x14ac:dyDescent="0.25">
      <c r="A35" s="288" t="s">
        <v>392</v>
      </c>
      <c r="D35" s="220">
        <f>20500681364.04/1000</f>
        <v>20500681.364040002</v>
      </c>
      <c r="R35" s="288" t="s">
        <v>371</v>
      </c>
      <c r="S35" s="220">
        <f>'1.1_Конс.'!L31/1000</f>
        <v>20682327.362179998</v>
      </c>
    </row>
    <row r="36" spans="1:31" x14ac:dyDescent="0.25">
      <c r="D36" s="220">
        <f>D35-D34</f>
        <v>0</v>
      </c>
      <c r="R36" s="288"/>
      <c r="S36" s="220">
        <v>20500681.364040002</v>
      </c>
    </row>
    <row r="37" spans="1:31" x14ac:dyDescent="0.25">
      <c r="D37" s="220">
        <f>P34+M34+J34+G34-D34</f>
        <v>0</v>
      </c>
      <c r="S37" s="220">
        <f>AE34+AB34+Y34+V34-S34</f>
        <v>0</v>
      </c>
    </row>
  </sheetData>
  <mergeCells count="16">
    <mergeCell ref="AC5:AE5"/>
    <mergeCell ref="A1:AE1"/>
    <mergeCell ref="A4:A6"/>
    <mergeCell ref="B4:C5"/>
    <mergeCell ref="D4:D6"/>
    <mergeCell ref="E4:P4"/>
    <mergeCell ref="Q4:R5"/>
    <mergeCell ref="S4:S6"/>
    <mergeCell ref="T4:AE4"/>
    <mergeCell ref="E5:G5"/>
    <mergeCell ref="H5:J5"/>
    <mergeCell ref="K5:M5"/>
    <mergeCell ref="N5:P5"/>
    <mergeCell ref="T5:V5"/>
    <mergeCell ref="W5:Y5"/>
    <mergeCell ref="Z5:AB5"/>
  </mergeCells>
  <pageMargins left="0" right="0" top="0.74803149606299213" bottom="0.74803149606299213" header="0.31496062992125984" footer="0.31496062992125984"/>
  <pageSetup paperSize="9" scale="9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63"/>
  <sheetViews>
    <sheetView workbookViewId="0">
      <pane xSplit="1" ySplit="6" topLeftCell="CS7" activePane="bottomRight" state="frozen"/>
      <selection pane="topRight" activeCell="B1" sqref="B1"/>
      <selection pane="bottomLeft" activeCell="A7" sqref="A7"/>
      <selection pane="bottomRight" activeCell="DW37" sqref="DW37"/>
    </sheetView>
  </sheetViews>
  <sheetFormatPr defaultColWidth="9.109375" defaultRowHeight="13.2" x14ac:dyDescent="0.25"/>
  <cols>
    <col min="1" max="1" width="21" style="197" bestFit="1" customWidth="1"/>
    <col min="2" max="5" width="9.109375" style="198" hidden="1" customWidth="1"/>
    <col min="6" max="6" width="12.33203125" style="201" bestFit="1" customWidth="1"/>
    <col min="7" max="10" width="9.109375" style="198" hidden="1" customWidth="1"/>
    <col min="11" max="11" width="13.109375" style="201" customWidth="1"/>
    <col min="12" max="14" width="9.109375" style="198" hidden="1" customWidth="1"/>
    <col min="15" max="15" width="11.33203125" style="201" bestFit="1" customWidth="1"/>
    <col min="16" max="18" width="9.109375" style="198" hidden="1" customWidth="1"/>
    <col min="19" max="19" width="11.33203125" style="201" bestFit="1" customWidth="1"/>
    <col min="20" max="23" width="9.109375" style="198" hidden="1" customWidth="1"/>
    <col min="24" max="24" width="12.33203125" style="201" bestFit="1" customWidth="1"/>
    <col min="25" max="28" width="9.109375" style="198" hidden="1" customWidth="1"/>
    <col min="29" max="31" width="12.33203125" style="201" bestFit="1" customWidth="1"/>
    <col min="32" max="32" width="5.109375" style="201" bestFit="1" customWidth="1"/>
    <col min="33" max="33" width="12.33203125" style="201" bestFit="1" customWidth="1"/>
    <col min="34" max="34" width="12.33203125" style="201" customWidth="1"/>
    <col min="35" max="35" width="11.33203125" style="201" bestFit="1" customWidth="1"/>
    <col min="36" max="36" width="9.109375" style="201" customWidth="1"/>
    <col min="37" max="38" width="12.33203125" style="201" bestFit="1" customWidth="1"/>
    <col min="39" max="39" width="5.109375" style="201" bestFit="1" customWidth="1"/>
    <col min="40" max="43" width="9.109375" style="198" hidden="1" customWidth="1"/>
    <col min="44" max="44" width="9.109375" style="201" customWidth="1"/>
    <col min="45" max="45" width="12.33203125" style="201" bestFit="1" customWidth="1"/>
    <col min="46" max="49" width="9.109375" style="198" hidden="1" customWidth="1"/>
    <col min="50" max="50" width="9.109375" style="201" customWidth="1"/>
    <col min="51" max="53" width="12.33203125" style="201" bestFit="1" customWidth="1"/>
    <col min="54" max="54" width="5.109375" style="201" bestFit="1" customWidth="1"/>
    <col min="55" max="58" width="9.109375" style="198" hidden="1" customWidth="1"/>
    <col min="59" max="59" width="12.33203125" style="201" bestFit="1" customWidth="1"/>
    <col min="60" max="63" width="9.109375" style="198" hidden="1" customWidth="1"/>
    <col min="64" max="64" width="12.33203125" style="201" bestFit="1" customWidth="1"/>
    <col min="65" max="65" width="11.33203125" style="198" hidden="1" customWidth="1"/>
    <col min="66" max="66" width="11.33203125" style="201" customWidth="1"/>
    <col min="67" max="67" width="11.33203125" style="198" hidden="1" customWidth="1"/>
    <col min="68" max="68" width="11.33203125" style="201" customWidth="1"/>
    <col min="69" max="69" width="6.109375" style="201" customWidth="1"/>
    <col min="70" max="70" width="7.44140625" style="198" hidden="1" customWidth="1"/>
    <col min="71" max="71" width="9.6640625" style="201" bestFit="1" customWidth="1"/>
    <col min="72" max="72" width="8" style="198" hidden="1" customWidth="1"/>
    <col min="73" max="73" width="9" style="201" customWidth="1"/>
    <col min="74" max="74" width="6.109375" style="201" customWidth="1"/>
    <col min="75" max="75" width="6.109375" style="201" hidden="1" customWidth="1"/>
    <col min="76" max="76" width="9.6640625" style="201" bestFit="1" customWidth="1"/>
    <col min="77" max="77" width="9.6640625" style="198" hidden="1" customWidth="1"/>
    <col min="78" max="78" width="9.6640625" style="201" customWidth="1"/>
    <col min="79" max="79" width="6.109375" style="201" hidden="1" customWidth="1"/>
    <col min="80" max="80" width="9.6640625" style="201" bestFit="1" customWidth="1"/>
    <col min="81" max="81" width="6.109375" style="201" customWidth="1"/>
    <col min="82" max="83" width="10" style="201" customWidth="1"/>
    <col min="84" max="84" width="8.5546875" style="201" hidden="1" customWidth="1"/>
    <col min="85" max="85" width="11.33203125" style="201" bestFit="1" customWidth="1"/>
    <col min="86" max="86" width="6.109375" style="201" hidden="1" customWidth="1"/>
    <col min="87" max="87" width="11.33203125" style="201" bestFit="1" customWidth="1"/>
    <col min="88" max="88" width="6.109375" style="201" customWidth="1"/>
    <col min="89" max="89" width="12.33203125" style="201" bestFit="1" customWidth="1"/>
    <col min="90" max="90" width="9.5546875" style="201" customWidth="1"/>
    <col min="91" max="91" width="9.33203125" style="198" hidden="1" customWidth="1"/>
    <col min="92" max="92" width="11.33203125" style="201" customWidth="1"/>
    <col min="93" max="93" width="8.88671875" style="198" hidden="1" customWidth="1"/>
    <col min="94" max="98" width="11.33203125" style="201" customWidth="1"/>
    <col min="99" max="99" width="15.109375" style="201" customWidth="1"/>
    <col min="100" max="100" width="12.33203125" style="201" bestFit="1" customWidth="1"/>
    <col min="101" max="101" width="11.33203125" style="201" bestFit="1" customWidth="1"/>
    <col min="102" max="105" width="9.109375" style="198" hidden="1" customWidth="1"/>
    <col min="106" max="106" width="12.33203125" style="201" bestFit="1" customWidth="1"/>
    <col min="107" max="110" width="9.109375" style="198" hidden="1" customWidth="1"/>
    <col min="111" max="113" width="12.33203125" style="201" bestFit="1" customWidth="1"/>
    <col min="114" max="114" width="5.88671875" style="201" customWidth="1"/>
    <col min="115" max="115" width="9.109375" style="198" hidden="1" customWidth="1"/>
    <col min="116" max="116" width="11.33203125" style="201" bestFit="1" customWidth="1"/>
    <col min="117" max="117" width="9.109375" style="198" hidden="1" customWidth="1"/>
    <col min="118" max="118" width="11.33203125" style="201" bestFit="1" customWidth="1"/>
    <col min="119" max="119" width="11.33203125" style="198" hidden="1" customWidth="1"/>
    <col min="120" max="120" width="11.33203125" style="201" customWidth="1"/>
    <col min="121" max="121" width="11.33203125" style="198" hidden="1" customWidth="1"/>
    <col min="122" max="123" width="11.33203125" style="201" customWidth="1"/>
    <col min="124" max="16384" width="9.109375" style="199"/>
  </cols>
  <sheetData>
    <row r="1" spans="1:129" s="192" customFormat="1" x14ac:dyDescent="0.25">
      <c r="B1" s="193"/>
      <c r="C1" s="193"/>
      <c r="D1" s="193"/>
      <c r="E1" s="193"/>
      <c r="G1" s="193"/>
      <c r="H1" s="193"/>
      <c r="I1" s="193"/>
      <c r="J1" s="193"/>
      <c r="L1" s="193"/>
      <c r="M1" s="193"/>
      <c r="N1" s="193"/>
      <c r="P1" s="193"/>
      <c r="Q1" s="193"/>
      <c r="R1" s="193"/>
      <c r="T1" s="193"/>
      <c r="U1" s="193"/>
      <c r="V1" s="193"/>
      <c r="W1" s="193"/>
      <c r="Y1" s="193"/>
      <c r="Z1" s="193"/>
      <c r="AA1" s="193"/>
      <c r="AB1" s="193"/>
      <c r="AN1" s="193"/>
      <c r="AO1" s="193"/>
      <c r="AP1" s="193"/>
      <c r="AQ1" s="193"/>
      <c r="AT1" s="193"/>
      <c r="AU1" s="193"/>
      <c r="AV1" s="193"/>
      <c r="AW1" s="193"/>
      <c r="BC1" s="193"/>
      <c r="BD1" s="193"/>
      <c r="BE1" s="193"/>
      <c r="BF1" s="193"/>
      <c r="BH1" s="193"/>
      <c r="BI1" s="193"/>
      <c r="BJ1" s="193"/>
      <c r="BK1" s="193"/>
      <c r="BM1" s="193"/>
      <c r="BO1" s="193"/>
      <c r="BR1" s="193"/>
      <c r="BT1" s="193"/>
      <c r="BY1" s="193"/>
      <c r="CM1" s="193"/>
      <c r="CO1" s="193"/>
      <c r="CX1" s="193"/>
      <c r="CY1" s="193"/>
      <c r="CZ1" s="193"/>
      <c r="DA1" s="193"/>
      <c r="DC1" s="193"/>
      <c r="DD1" s="193"/>
      <c r="DE1" s="193"/>
      <c r="DF1" s="193"/>
      <c r="DK1" s="193"/>
      <c r="DM1" s="193"/>
      <c r="DO1" s="193"/>
      <c r="DQ1" s="193"/>
    </row>
    <row r="2" spans="1:129" s="192" customFormat="1" x14ac:dyDescent="0.25">
      <c r="B2" s="193"/>
      <c r="C2" s="193"/>
      <c r="D2" s="193"/>
      <c r="E2" s="193"/>
      <c r="G2" s="193"/>
      <c r="H2" s="193"/>
      <c r="I2" s="193"/>
      <c r="J2" s="193"/>
      <c r="L2" s="193"/>
      <c r="M2" s="193"/>
      <c r="N2" s="193"/>
      <c r="P2" s="193"/>
      <c r="Q2" s="193"/>
      <c r="R2" s="193"/>
      <c r="T2" s="193"/>
      <c r="U2" s="193"/>
      <c r="V2" s="193"/>
      <c r="W2" s="193"/>
      <c r="Y2" s="193"/>
      <c r="Z2" s="193"/>
      <c r="AA2" s="193"/>
      <c r="AB2" s="193"/>
      <c r="AN2" s="193"/>
      <c r="AO2" s="193"/>
      <c r="AP2" s="193"/>
      <c r="AQ2" s="193"/>
      <c r="AT2" s="193"/>
      <c r="AU2" s="193"/>
      <c r="AV2" s="193"/>
      <c r="AW2" s="193"/>
      <c r="BC2" s="193"/>
      <c r="BD2" s="193"/>
      <c r="BE2" s="193"/>
      <c r="BF2" s="193"/>
      <c r="BH2" s="193"/>
      <c r="BI2" s="193"/>
      <c r="BJ2" s="193"/>
      <c r="BK2" s="193"/>
      <c r="BM2" s="193"/>
      <c r="BO2" s="193"/>
      <c r="BR2" s="193"/>
      <c r="BT2" s="193"/>
      <c r="BY2" s="193"/>
      <c r="CM2" s="193"/>
      <c r="CO2" s="193"/>
      <c r="CX2" s="193"/>
      <c r="CY2" s="193"/>
      <c r="CZ2" s="193"/>
      <c r="DA2" s="193"/>
      <c r="DC2" s="193"/>
      <c r="DD2" s="193"/>
      <c r="DE2" s="193"/>
      <c r="DF2" s="193"/>
      <c r="DK2" s="193"/>
      <c r="DM2" s="193"/>
      <c r="DO2" s="193"/>
      <c r="DQ2" s="193"/>
    </row>
    <row r="3" spans="1:129" s="192" customFormat="1" x14ac:dyDescent="0.25">
      <c r="B3" s="193"/>
      <c r="C3" s="193"/>
      <c r="D3" s="193"/>
      <c r="E3" s="193"/>
      <c r="G3" s="193"/>
      <c r="H3" s="193"/>
      <c r="I3" s="193"/>
      <c r="J3" s="193"/>
      <c r="L3" s="193"/>
      <c r="M3" s="193"/>
      <c r="N3" s="193"/>
      <c r="P3" s="193"/>
      <c r="Q3" s="193"/>
      <c r="R3" s="193"/>
      <c r="T3" s="193"/>
      <c r="U3" s="193"/>
      <c r="V3" s="193"/>
      <c r="W3" s="193"/>
      <c r="Y3" s="193"/>
      <c r="Z3" s="193"/>
      <c r="AA3" s="193"/>
      <c r="AB3" s="193"/>
      <c r="AN3" s="193"/>
      <c r="AO3" s="193"/>
      <c r="AP3" s="193"/>
      <c r="AQ3" s="193"/>
      <c r="AT3" s="193"/>
      <c r="AU3" s="193"/>
      <c r="AV3" s="193"/>
      <c r="AW3" s="193"/>
      <c r="BC3" s="193"/>
      <c r="BD3" s="193"/>
      <c r="BE3" s="193"/>
      <c r="BF3" s="193"/>
      <c r="BH3" s="193"/>
      <c r="BI3" s="193"/>
      <c r="BJ3" s="193"/>
      <c r="BK3" s="193"/>
      <c r="BM3" s="193"/>
      <c r="BO3" s="193"/>
      <c r="BR3" s="193"/>
      <c r="BT3" s="193"/>
      <c r="BY3" s="193"/>
      <c r="CM3" s="193"/>
      <c r="CO3" s="193"/>
      <c r="CX3" s="193"/>
      <c r="CY3" s="193"/>
      <c r="CZ3" s="193"/>
      <c r="DA3" s="193"/>
      <c r="DC3" s="193"/>
      <c r="DD3" s="193"/>
      <c r="DE3" s="193"/>
      <c r="DF3" s="193"/>
      <c r="DK3" s="193"/>
      <c r="DM3" s="193"/>
      <c r="DO3" s="193"/>
      <c r="DQ3" s="193"/>
    </row>
    <row r="4" spans="1:129" s="194" customFormat="1" ht="64.5" customHeight="1" x14ac:dyDescent="0.25">
      <c r="A4" s="510" t="s">
        <v>132</v>
      </c>
      <c r="B4" s="510" t="s">
        <v>133</v>
      </c>
      <c r="C4" s="510"/>
      <c r="D4" s="510"/>
      <c r="E4" s="510"/>
      <c r="F4" s="510"/>
      <c r="G4" s="510"/>
      <c r="H4" s="510"/>
      <c r="I4" s="510"/>
      <c r="J4" s="510"/>
      <c r="K4" s="510"/>
      <c r="L4" s="510" t="s">
        <v>134</v>
      </c>
      <c r="M4" s="510"/>
      <c r="N4" s="510"/>
      <c r="O4" s="510"/>
      <c r="P4" s="510"/>
      <c r="Q4" s="510"/>
      <c r="R4" s="510"/>
      <c r="S4" s="510"/>
      <c r="T4" s="510" t="s">
        <v>135</v>
      </c>
      <c r="U4" s="510"/>
      <c r="V4" s="510"/>
      <c r="W4" s="510"/>
      <c r="X4" s="510"/>
      <c r="Y4" s="510"/>
      <c r="Z4" s="510"/>
      <c r="AA4" s="510"/>
      <c r="AB4" s="510"/>
      <c r="AC4" s="510"/>
      <c r="AD4" s="510" t="s">
        <v>136</v>
      </c>
      <c r="AE4" s="510"/>
      <c r="AF4" s="510"/>
      <c r="AG4" s="524" t="s">
        <v>137</v>
      </c>
      <c r="AH4" s="524"/>
      <c r="AI4" s="524"/>
      <c r="AJ4" s="524"/>
      <c r="AK4" s="510" t="s">
        <v>138</v>
      </c>
      <c r="AL4" s="510"/>
      <c r="AM4" s="510"/>
      <c r="AN4" s="510" t="s">
        <v>139</v>
      </c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 t="s">
        <v>140</v>
      </c>
      <c r="BA4" s="510"/>
      <c r="BB4" s="510"/>
      <c r="BC4" s="510" t="s">
        <v>141</v>
      </c>
      <c r="BD4" s="510"/>
      <c r="BE4" s="510"/>
      <c r="BF4" s="510"/>
      <c r="BG4" s="510"/>
      <c r="BH4" s="510"/>
      <c r="BI4" s="510"/>
      <c r="BJ4" s="510"/>
      <c r="BK4" s="510"/>
      <c r="BL4" s="510"/>
      <c r="BM4" s="510" t="s">
        <v>33</v>
      </c>
      <c r="BN4" s="510"/>
      <c r="BO4" s="510"/>
      <c r="BP4" s="510"/>
      <c r="BQ4" s="510"/>
      <c r="BR4" s="510" t="s">
        <v>142</v>
      </c>
      <c r="BS4" s="510"/>
      <c r="BT4" s="510"/>
      <c r="BU4" s="510"/>
      <c r="BV4" s="510"/>
      <c r="BW4" s="510" t="s">
        <v>34</v>
      </c>
      <c r="BX4" s="510"/>
      <c r="BY4" s="510"/>
      <c r="BZ4" s="510"/>
      <c r="CA4" s="510"/>
      <c r="CB4" s="510"/>
      <c r="CC4" s="510"/>
      <c r="CD4" s="510"/>
      <c r="CE4" s="510"/>
      <c r="CF4" s="510" t="s">
        <v>38</v>
      </c>
      <c r="CG4" s="510"/>
      <c r="CH4" s="510"/>
      <c r="CI4" s="510"/>
      <c r="CJ4" s="510"/>
      <c r="CK4" s="510" t="s">
        <v>144</v>
      </c>
      <c r="CL4" s="194" t="s">
        <v>143</v>
      </c>
      <c r="CM4" s="510" t="s">
        <v>417</v>
      </c>
      <c r="CN4" s="510"/>
      <c r="CO4" s="510" t="s">
        <v>143</v>
      </c>
      <c r="CP4" s="510"/>
      <c r="CQ4" s="510" t="s">
        <v>418</v>
      </c>
      <c r="CR4" s="194" t="s">
        <v>143</v>
      </c>
      <c r="CS4" s="510" t="s">
        <v>145</v>
      </c>
      <c r="CT4" s="510"/>
      <c r="CU4" s="510" t="s">
        <v>190</v>
      </c>
      <c r="CV4" s="510" t="s">
        <v>415</v>
      </c>
      <c r="CW4" s="510" t="s">
        <v>416</v>
      </c>
      <c r="CX4" s="510" t="s">
        <v>146</v>
      </c>
      <c r="CY4" s="510"/>
      <c r="CZ4" s="510"/>
      <c r="DA4" s="510"/>
      <c r="DB4" s="510"/>
      <c r="DC4" s="510"/>
      <c r="DD4" s="510"/>
      <c r="DE4" s="510"/>
      <c r="DF4" s="510"/>
      <c r="DG4" s="510"/>
      <c r="DH4" s="510" t="s">
        <v>147</v>
      </c>
      <c r="DI4" s="510"/>
      <c r="DJ4" s="510"/>
      <c r="DK4" s="510" t="s">
        <v>148</v>
      </c>
      <c r="DL4" s="510"/>
      <c r="DM4" s="510"/>
      <c r="DN4" s="510"/>
      <c r="DO4" s="510" t="s">
        <v>429</v>
      </c>
      <c r="DP4" s="510"/>
      <c r="DQ4" s="510"/>
      <c r="DR4" s="510"/>
      <c r="DS4" s="510"/>
      <c r="DT4" s="510" t="s">
        <v>345</v>
      </c>
      <c r="DU4" s="510"/>
      <c r="DV4" s="510"/>
      <c r="DW4" s="510"/>
      <c r="DX4" s="510"/>
      <c r="DY4" s="510"/>
    </row>
    <row r="5" spans="1:129" s="194" customFormat="1" ht="39" customHeight="1" x14ac:dyDescent="0.25">
      <c r="A5" s="510"/>
      <c r="B5" s="510" t="s">
        <v>149</v>
      </c>
      <c r="C5" s="510"/>
      <c r="D5" s="510"/>
      <c r="E5" s="510"/>
      <c r="F5" s="510"/>
      <c r="G5" s="510" t="s">
        <v>150</v>
      </c>
      <c r="H5" s="510"/>
      <c r="I5" s="510"/>
      <c r="J5" s="510"/>
      <c r="K5" s="510"/>
      <c r="L5" s="510" t="s">
        <v>149</v>
      </c>
      <c r="M5" s="510"/>
      <c r="N5" s="510"/>
      <c r="O5" s="510"/>
      <c r="P5" s="510" t="s">
        <v>150</v>
      </c>
      <c r="Q5" s="510"/>
      <c r="R5" s="510"/>
      <c r="S5" s="510"/>
      <c r="T5" s="510" t="s">
        <v>149</v>
      </c>
      <c r="U5" s="510"/>
      <c r="V5" s="510"/>
      <c r="W5" s="510"/>
      <c r="X5" s="510"/>
      <c r="Y5" s="510" t="s">
        <v>150</v>
      </c>
      <c r="Z5" s="510"/>
      <c r="AA5" s="510"/>
      <c r="AB5" s="510"/>
      <c r="AC5" s="510"/>
      <c r="AD5" s="510" t="s">
        <v>149</v>
      </c>
      <c r="AE5" s="510" t="s">
        <v>150</v>
      </c>
      <c r="AF5" s="510" t="s">
        <v>151</v>
      </c>
      <c r="AG5" s="524" t="s">
        <v>149</v>
      </c>
      <c r="AH5" s="524" t="s">
        <v>61</v>
      </c>
      <c r="AI5" s="524" t="s">
        <v>150</v>
      </c>
      <c r="AJ5" s="524" t="s">
        <v>61</v>
      </c>
      <c r="AK5" s="510" t="s">
        <v>149</v>
      </c>
      <c r="AL5" s="510" t="s">
        <v>150</v>
      </c>
      <c r="AM5" s="510" t="s">
        <v>151</v>
      </c>
      <c r="AN5" s="510" t="s">
        <v>149</v>
      </c>
      <c r="AO5" s="510"/>
      <c r="AP5" s="510"/>
      <c r="AQ5" s="510"/>
      <c r="AR5" s="510"/>
      <c r="AS5" s="510"/>
      <c r="AT5" s="510" t="s">
        <v>150</v>
      </c>
      <c r="AU5" s="510"/>
      <c r="AV5" s="510"/>
      <c r="AW5" s="510"/>
      <c r="AX5" s="510"/>
      <c r="AY5" s="510"/>
      <c r="AZ5" s="510" t="s">
        <v>149</v>
      </c>
      <c r="BA5" s="510" t="s">
        <v>150</v>
      </c>
      <c r="BB5" s="510" t="s">
        <v>151</v>
      </c>
      <c r="BC5" s="510" t="s">
        <v>149</v>
      </c>
      <c r="BD5" s="510"/>
      <c r="BE5" s="510"/>
      <c r="BF5" s="510"/>
      <c r="BG5" s="510"/>
      <c r="BH5" s="510" t="s">
        <v>150</v>
      </c>
      <c r="BI5" s="510"/>
      <c r="BJ5" s="510"/>
      <c r="BK5" s="510"/>
      <c r="BL5" s="510"/>
      <c r="BM5" s="510" t="s">
        <v>149</v>
      </c>
      <c r="BN5" s="510"/>
      <c r="BO5" s="510" t="s">
        <v>150</v>
      </c>
      <c r="BP5" s="510"/>
      <c r="BQ5" s="510" t="s">
        <v>151</v>
      </c>
      <c r="BR5" s="510" t="s">
        <v>149</v>
      </c>
      <c r="BS5" s="510"/>
      <c r="BT5" s="510" t="s">
        <v>150</v>
      </c>
      <c r="BU5" s="510"/>
      <c r="BV5" s="510" t="s">
        <v>151</v>
      </c>
      <c r="BW5" s="510" t="s">
        <v>384</v>
      </c>
      <c r="BX5" s="510"/>
      <c r="BY5" s="510" t="s">
        <v>424</v>
      </c>
      <c r="BZ5" s="510"/>
      <c r="CA5" s="510" t="s">
        <v>425</v>
      </c>
      <c r="CB5" s="510"/>
      <c r="CC5" s="510" t="s">
        <v>151</v>
      </c>
      <c r="CD5" s="510" t="s">
        <v>426</v>
      </c>
      <c r="CE5" s="510" t="s">
        <v>427</v>
      </c>
      <c r="CF5" s="510" t="s">
        <v>149</v>
      </c>
      <c r="CG5" s="510"/>
      <c r="CH5" s="510" t="s">
        <v>150</v>
      </c>
      <c r="CI5" s="510"/>
      <c r="CJ5" s="510" t="s">
        <v>151</v>
      </c>
      <c r="CK5" s="510"/>
      <c r="CL5" s="510" t="s">
        <v>152</v>
      </c>
      <c r="CM5" s="510"/>
      <c r="CN5" s="510"/>
      <c r="CO5" s="510" t="s">
        <v>152</v>
      </c>
      <c r="CP5" s="510"/>
      <c r="CQ5" s="510"/>
      <c r="CR5" s="510" t="s">
        <v>154</v>
      </c>
      <c r="CS5" s="510"/>
      <c r="CT5" s="510"/>
      <c r="CU5" s="510"/>
      <c r="CV5" s="510"/>
      <c r="CW5" s="510"/>
      <c r="CX5" s="510" t="s">
        <v>149</v>
      </c>
      <c r="CY5" s="510"/>
      <c r="CZ5" s="510"/>
      <c r="DA5" s="510"/>
      <c r="DB5" s="510"/>
      <c r="DC5" s="510" t="s">
        <v>150</v>
      </c>
      <c r="DD5" s="510"/>
      <c r="DE5" s="510"/>
      <c r="DF5" s="510"/>
      <c r="DG5" s="510"/>
      <c r="DH5" s="510"/>
      <c r="DI5" s="510"/>
      <c r="DJ5" s="510"/>
      <c r="DK5" s="510" t="s">
        <v>149</v>
      </c>
      <c r="DL5" s="510"/>
      <c r="DM5" s="510" t="s">
        <v>150</v>
      </c>
      <c r="DN5" s="510"/>
      <c r="DO5" s="510" t="s">
        <v>428</v>
      </c>
      <c r="DP5" s="510"/>
      <c r="DQ5" s="510" t="s">
        <v>430</v>
      </c>
      <c r="DR5" s="510"/>
      <c r="DS5" s="510" t="s">
        <v>383</v>
      </c>
      <c r="DT5" s="510" t="s">
        <v>342</v>
      </c>
      <c r="DU5" s="510"/>
      <c r="DV5" s="510" t="s">
        <v>422</v>
      </c>
      <c r="DW5" s="510"/>
      <c r="DX5" s="510" t="s">
        <v>431</v>
      </c>
      <c r="DY5" s="510"/>
    </row>
    <row r="6" spans="1:129" s="194" customFormat="1" ht="52.8" x14ac:dyDescent="0.25">
      <c r="A6" s="510"/>
      <c r="B6" s="195" t="s">
        <v>155</v>
      </c>
      <c r="C6" s="195" t="s">
        <v>156</v>
      </c>
      <c r="D6" s="195" t="s">
        <v>157</v>
      </c>
      <c r="E6" s="195" t="s">
        <v>158</v>
      </c>
      <c r="F6" s="194" t="s">
        <v>159</v>
      </c>
      <c r="G6" s="195" t="s">
        <v>155</v>
      </c>
      <c r="H6" s="195" t="s">
        <v>156</v>
      </c>
      <c r="I6" s="195" t="s">
        <v>157</v>
      </c>
      <c r="J6" s="195" t="s">
        <v>158</v>
      </c>
      <c r="K6" s="194" t="s">
        <v>159</v>
      </c>
      <c r="L6" s="195" t="s">
        <v>156</v>
      </c>
      <c r="M6" s="195" t="s">
        <v>157</v>
      </c>
      <c r="N6" s="195" t="s">
        <v>158</v>
      </c>
      <c r="O6" s="194" t="s">
        <v>159</v>
      </c>
      <c r="P6" s="195" t="s">
        <v>156</v>
      </c>
      <c r="Q6" s="195" t="s">
        <v>157</v>
      </c>
      <c r="R6" s="195" t="s">
        <v>158</v>
      </c>
      <c r="S6" s="194" t="s">
        <v>159</v>
      </c>
      <c r="T6" s="195" t="s">
        <v>155</v>
      </c>
      <c r="U6" s="195" t="s">
        <v>156</v>
      </c>
      <c r="V6" s="195" t="s">
        <v>157</v>
      </c>
      <c r="W6" s="195" t="s">
        <v>158</v>
      </c>
      <c r="X6" s="194" t="s">
        <v>159</v>
      </c>
      <c r="Y6" s="195" t="s">
        <v>155</v>
      </c>
      <c r="Z6" s="195" t="s">
        <v>156</v>
      </c>
      <c r="AA6" s="195" t="s">
        <v>157</v>
      </c>
      <c r="AB6" s="195" t="s">
        <v>158</v>
      </c>
      <c r="AC6" s="194" t="s">
        <v>159</v>
      </c>
      <c r="AD6" s="510"/>
      <c r="AE6" s="510"/>
      <c r="AF6" s="510"/>
      <c r="AG6" s="524"/>
      <c r="AH6" s="524"/>
      <c r="AI6" s="524"/>
      <c r="AJ6" s="524"/>
      <c r="AK6" s="510"/>
      <c r="AL6" s="510"/>
      <c r="AM6" s="510"/>
      <c r="AN6" s="195" t="s">
        <v>155</v>
      </c>
      <c r="AO6" s="195" t="s">
        <v>156</v>
      </c>
      <c r="AP6" s="195" t="s">
        <v>157</v>
      </c>
      <c r="AQ6" s="195" t="s">
        <v>158</v>
      </c>
      <c r="AR6" s="196" t="s">
        <v>160</v>
      </c>
      <c r="AS6" s="194" t="s">
        <v>159</v>
      </c>
      <c r="AT6" s="195" t="s">
        <v>155</v>
      </c>
      <c r="AU6" s="195" t="s">
        <v>156</v>
      </c>
      <c r="AV6" s="195" t="s">
        <v>157</v>
      </c>
      <c r="AW6" s="195" t="s">
        <v>158</v>
      </c>
      <c r="AX6" s="196" t="s">
        <v>160</v>
      </c>
      <c r="AY6" s="194" t="s">
        <v>159</v>
      </c>
      <c r="AZ6" s="510"/>
      <c r="BA6" s="510"/>
      <c r="BB6" s="510"/>
      <c r="BC6" s="195" t="s">
        <v>155</v>
      </c>
      <c r="BD6" s="195" t="s">
        <v>156</v>
      </c>
      <c r="BE6" s="195" t="s">
        <v>157</v>
      </c>
      <c r="BF6" s="195" t="s">
        <v>158</v>
      </c>
      <c r="BG6" s="194" t="s">
        <v>159</v>
      </c>
      <c r="BH6" s="195" t="s">
        <v>155</v>
      </c>
      <c r="BI6" s="195" t="s">
        <v>156</v>
      </c>
      <c r="BJ6" s="195" t="s">
        <v>157</v>
      </c>
      <c r="BK6" s="195" t="s">
        <v>158</v>
      </c>
      <c r="BL6" s="194" t="s">
        <v>159</v>
      </c>
      <c r="BM6" s="195" t="s">
        <v>161</v>
      </c>
      <c r="BN6" s="194" t="s">
        <v>159</v>
      </c>
      <c r="BO6" s="195" t="s">
        <v>161</v>
      </c>
      <c r="BP6" s="194" t="s">
        <v>159</v>
      </c>
      <c r="BQ6" s="510"/>
      <c r="BR6" s="195" t="s">
        <v>161</v>
      </c>
      <c r="BS6" s="194" t="s">
        <v>159</v>
      </c>
      <c r="BT6" s="355" t="s">
        <v>161</v>
      </c>
      <c r="BU6" s="194" t="s">
        <v>159</v>
      </c>
      <c r="BV6" s="510"/>
      <c r="BW6" s="195" t="s">
        <v>161</v>
      </c>
      <c r="BX6" s="194" t="s">
        <v>159</v>
      </c>
      <c r="BY6" s="355" t="s">
        <v>161</v>
      </c>
      <c r="BZ6" s="354" t="s">
        <v>159</v>
      </c>
      <c r="CA6" s="195" t="s">
        <v>161</v>
      </c>
      <c r="CB6" s="194" t="s">
        <v>159</v>
      </c>
      <c r="CC6" s="510"/>
      <c r="CD6" s="510"/>
      <c r="CE6" s="510"/>
      <c r="CF6" s="195" t="s">
        <v>161</v>
      </c>
      <c r="CG6" s="194" t="s">
        <v>159</v>
      </c>
      <c r="CH6" s="195" t="s">
        <v>161</v>
      </c>
      <c r="CI6" s="194" t="s">
        <v>159</v>
      </c>
      <c r="CJ6" s="510"/>
      <c r="CK6" s="510"/>
      <c r="CL6" s="510"/>
      <c r="CM6" s="510"/>
      <c r="CN6" s="510"/>
      <c r="CO6" s="510"/>
      <c r="CP6" s="510"/>
      <c r="CQ6" s="510"/>
      <c r="CR6" s="510"/>
      <c r="CS6" s="194" t="s">
        <v>149</v>
      </c>
      <c r="CT6" s="194" t="s">
        <v>150</v>
      </c>
      <c r="CU6" s="510"/>
      <c r="CV6" s="510"/>
      <c r="CW6" s="510"/>
      <c r="CX6" s="195" t="s">
        <v>155</v>
      </c>
      <c r="CY6" s="195" t="s">
        <v>156</v>
      </c>
      <c r="CZ6" s="195" t="s">
        <v>157</v>
      </c>
      <c r="DA6" s="195" t="s">
        <v>158</v>
      </c>
      <c r="DB6" s="194" t="s">
        <v>159</v>
      </c>
      <c r="DC6" s="195" t="s">
        <v>155</v>
      </c>
      <c r="DD6" s="195" t="s">
        <v>156</v>
      </c>
      <c r="DE6" s="195" t="s">
        <v>157</v>
      </c>
      <c r="DF6" s="195" t="s">
        <v>158</v>
      </c>
      <c r="DG6" s="194" t="s">
        <v>159</v>
      </c>
      <c r="DH6" s="194" t="s">
        <v>149</v>
      </c>
      <c r="DI6" s="194" t="s">
        <v>150</v>
      </c>
      <c r="DJ6" s="194" t="s">
        <v>151</v>
      </c>
      <c r="DK6" s="195" t="s">
        <v>162</v>
      </c>
      <c r="DL6" s="194" t="s">
        <v>159</v>
      </c>
      <c r="DM6" s="195" t="s">
        <v>162</v>
      </c>
      <c r="DN6" s="194" t="s">
        <v>159</v>
      </c>
      <c r="DO6" s="355" t="s">
        <v>162</v>
      </c>
      <c r="DP6" s="354" t="s">
        <v>159</v>
      </c>
      <c r="DQ6" s="355" t="s">
        <v>162</v>
      </c>
      <c r="DR6" s="354" t="s">
        <v>159</v>
      </c>
      <c r="DS6" s="510"/>
      <c r="DT6" s="310" t="s">
        <v>343</v>
      </c>
      <c r="DU6" s="310" t="s">
        <v>344</v>
      </c>
      <c r="DV6" s="310" t="s">
        <v>343</v>
      </c>
      <c r="DW6" s="310" t="s">
        <v>344</v>
      </c>
      <c r="DX6" s="362" t="s">
        <v>343</v>
      </c>
      <c r="DY6" s="362" t="s">
        <v>344</v>
      </c>
    </row>
    <row r="7" spans="1:129" s="207" customFormat="1" x14ac:dyDescent="0.25">
      <c r="A7" s="205" t="s">
        <v>163</v>
      </c>
      <c r="B7" s="206">
        <v>0</v>
      </c>
      <c r="C7" s="206">
        <v>1307087467.24</v>
      </c>
      <c r="D7" s="206">
        <v>141855744.11000001</v>
      </c>
      <c r="E7" s="206">
        <v>89598649.260000005</v>
      </c>
      <c r="F7" s="207">
        <f>(B7+C7+D7+E7)/1000</f>
        <v>1538541.8606099999</v>
      </c>
      <c r="G7" s="206">
        <v>0</v>
      </c>
      <c r="H7" s="206">
        <v>1297001619.0999999</v>
      </c>
      <c r="I7" s="206">
        <v>153835665.58000001</v>
      </c>
      <c r="J7" s="206">
        <v>87207447.540000007</v>
      </c>
      <c r="K7" s="207">
        <f t="shared" ref="K7:K32" si="0">(G7+H7+I7+J7)/1000</f>
        <v>1538044.7322199999</v>
      </c>
      <c r="L7" s="206">
        <v>96492658.430000007</v>
      </c>
      <c r="M7" s="206">
        <v>906200</v>
      </c>
      <c r="N7" s="206">
        <v>2672800</v>
      </c>
      <c r="O7" s="207">
        <f>(L7+M7+N7)/1000</f>
        <v>100071.65843000001</v>
      </c>
      <c r="P7" s="206">
        <v>95244066.200000003</v>
      </c>
      <c r="Q7" s="206">
        <v>906200</v>
      </c>
      <c r="R7" s="206">
        <v>2672800</v>
      </c>
      <c r="S7" s="207">
        <f>(P7+Q7+R7)/1000</f>
        <v>98823.066200000001</v>
      </c>
      <c r="T7" s="206">
        <v>0</v>
      </c>
      <c r="U7" s="206">
        <v>1344377861.73</v>
      </c>
      <c r="V7" s="206">
        <v>150526098.43000001</v>
      </c>
      <c r="W7" s="206">
        <v>92793449.549999997</v>
      </c>
      <c r="X7" s="207">
        <f t="shared" ref="X7:X32" si="1">(T7+U7+V7+W7)/1000</f>
        <v>1587697.40971</v>
      </c>
      <c r="Y7" s="206">
        <v>0</v>
      </c>
      <c r="Z7" s="206">
        <v>1329818588.3499999</v>
      </c>
      <c r="AA7" s="206">
        <v>147293231.90000001</v>
      </c>
      <c r="AB7" s="206">
        <v>86011191.150000006</v>
      </c>
      <c r="AC7" s="207">
        <f>(Y7+Z7+AA7+AB7)/1000</f>
        <v>1563123.0114000002</v>
      </c>
      <c r="AD7" s="207">
        <f t="shared" ref="AD7:AD32" si="2">F7-O7</f>
        <v>1438470.2021799998</v>
      </c>
      <c r="AE7" s="207">
        <f t="shared" ref="AE7:AE32" si="3">K7-S7</f>
        <v>1439221.6660199999</v>
      </c>
      <c r="AF7" s="207">
        <f>AE7/AD7%</f>
        <v>100.0522404870717</v>
      </c>
      <c r="AG7" s="208">
        <v>1438470</v>
      </c>
      <c r="AH7" s="208">
        <f>AG7-AD7</f>
        <v>-0.20217999978922307</v>
      </c>
      <c r="AI7" s="208">
        <v>1439222</v>
      </c>
      <c r="AJ7" s="208">
        <f>AI7-AE7</f>
        <v>0.33398000011220574</v>
      </c>
      <c r="AK7" s="207">
        <f t="shared" ref="AK7:AK32" si="4">X7-O7</f>
        <v>1487625.75128</v>
      </c>
      <c r="AL7" s="207">
        <f t="shared" ref="AL7:AL32" si="5">AC7-S7</f>
        <v>1464299.9452000002</v>
      </c>
      <c r="AM7" s="207">
        <f>AL7/AK7%</f>
        <v>98.432011138558906</v>
      </c>
      <c r="AN7" s="206">
        <v>0</v>
      </c>
      <c r="AO7" s="206">
        <v>971771919.44000006</v>
      </c>
      <c r="AP7" s="206">
        <v>33321146.469999999</v>
      </c>
      <c r="AQ7" s="206">
        <v>63171511.960000001</v>
      </c>
      <c r="AR7" s="209">
        <f t="shared" ref="AR7:AR32" si="6">L7-((AP7+AQ7))</f>
        <v>0</v>
      </c>
      <c r="AS7" s="207">
        <f>(AN7+AO7+AP7+AQ7)/1000</f>
        <v>1068264.5778700002</v>
      </c>
      <c r="AT7" s="206">
        <v>0</v>
      </c>
      <c r="AU7" s="206">
        <v>959623841.40999997</v>
      </c>
      <c r="AV7" s="206">
        <v>33321146.469999999</v>
      </c>
      <c r="AW7" s="206">
        <v>61922919.729999997</v>
      </c>
      <c r="AX7" s="209">
        <f t="shared" ref="AX7:AX32" si="7">P7-((AV7+AW7))</f>
        <v>0</v>
      </c>
      <c r="AY7" s="207">
        <f>(AT7+AU7+AV7+AW7)/1000</f>
        <v>1054867.9076100001</v>
      </c>
      <c r="AZ7" s="207">
        <f t="shared" ref="AZ7:AZ32" si="8">AS7-O7</f>
        <v>968192.91944000009</v>
      </c>
      <c r="BA7" s="207">
        <f t="shared" ref="BA7:BA32" si="9">AY7-S7</f>
        <v>956044.84141000011</v>
      </c>
      <c r="BB7" s="207">
        <f>BA7/AZ7%</f>
        <v>98.745283322560709</v>
      </c>
      <c r="BC7" s="206">
        <v>0</v>
      </c>
      <c r="BD7" s="206">
        <v>336072238.56</v>
      </c>
      <c r="BE7" s="206">
        <v>105275283.64</v>
      </c>
      <c r="BF7" s="206">
        <v>26119672.809999999</v>
      </c>
      <c r="BG7" s="207">
        <f>(BC7+BD7+BE7+BF7)/1000</f>
        <v>467467.19500999997</v>
      </c>
      <c r="BH7" s="206">
        <v>0</v>
      </c>
      <c r="BI7" s="206">
        <v>338134468.44999999</v>
      </c>
      <c r="BJ7" s="206">
        <v>116601688.28</v>
      </c>
      <c r="BK7" s="206">
        <v>24976563.32</v>
      </c>
      <c r="BL7" s="207">
        <f>(BH7+BI7+BJ7+BK7)/1000</f>
        <v>479712.72005</v>
      </c>
      <c r="BM7" s="210">
        <v>48337957.049999997</v>
      </c>
      <c r="BN7" s="207">
        <f>(BM7)/1000</f>
        <v>48337.957049999997</v>
      </c>
      <c r="BO7" s="210">
        <v>43357492.109999999</v>
      </c>
      <c r="BP7" s="207">
        <f>(BO7)/1000</f>
        <v>43357.492109999999</v>
      </c>
      <c r="BQ7" s="207">
        <f t="shared" ref="BQ7:BQ32" si="10">BP7/BN7%</f>
        <v>89.696575436880195</v>
      </c>
      <c r="BR7" s="210">
        <v>28092790.440000001</v>
      </c>
      <c r="BS7" s="207">
        <f>(BR7)/1000</f>
        <v>28092.790440000001</v>
      </c>
      <c r="BT7" s="363">
        <v>32920508.030000001</v>
      </c>
      <c r="BU7" s="207">
        <f>(BT7)/1000</f>
        <v>32920.508030000005</v>
      </c>
      <c r="BV7" s="207">
        <f t="shared" ref="BV7:BV31" si="11">BU7/BS7%</f>
        <v>117.18489873873848</v>
      </c>
      <c r="BW7" s="210">
        <v>41840769.259999998</v>
      </c>
      <c r="BX7" s="207">
        <f>(BW7)/1000</f>
        <v>41840.769260000001</v>
      </c>
      <c r="BY7" s="210">
        <v>38462609.600000001</v>
      </c>
      <c r="BZ7" s="207">
        <f>BY7/1000</f>
        <v>38462.609600000003</v>
      </c>
      <c r="CA7" s="210">
        <v>43848969.009999998</v>
      </c>
      <c r="CB7" s="207">
        <f>(CA7)/1000</f>
        <v>43848.969010000001</v>
      </c>
      <c r="CC7" s="207">
        <f t="shared" ref="CC7:CC32" si="12">CB7/BX7%</f>
        <v>104.79962435088365</v>
      </c>
      <c r="CD7" s="207">
        <f>CB7-BZ7</f>
        <v>5386.3594099999973</v>
      </c>
      <c r="CE7" s="207">
        <f>CB7/BZ7%-100</f>
        <v>14.004144456178551</v>
      </c>
      <c r="CF7" s="210">
        <v>43370532.270000003</v>
      </c>
      <c r="CG7" s="207">
        <f>(CF7)/1000</f>
        <v>43370.532270000003</v>
      </c>
      <c r="CH7" s="210">
        <v>44227377.799999997</v>
      </c>
      <c r="CI7" s="207">
        <f>(CH7)/1000</f>
        <v>44227.377799999995</v>
      </c>
      <c r="CJ7" s="207">
        <f t="shared" ref="CJ7:CJ31" si="13">CI7/CG7%</f>
        <v>101.97563987609321</v>
      </c>
      <c r="CK7" s="207">
        <v>12013.984859999999</v>
      </c>
      <c r="CL7" s="207">
        <v>400.91696000000002</v>
      </c>
      <c r="CM7" s="210">
        <v>13635.705679999999</v>
      </c>
      <c r="CN7" s="207">
        <f>CM7</f>
        <v>13635.705679999999</v>
      </c>
      <c r="CO7" s="210">
        <v>4886.95</v>
      </c>
      <c r="CP7" s="207">
        <f>CO7/1000</f>
        <v>4.8869499999999997</v>
      </c>
      <c r="CQ7" s="207">
        <f t="shared" ref="CQ7:CQ32" si="14">CN7-CK7</f>
        <v>1621.7208200000005</v>
      </c>
      <c r="CR7" s="207">
        <f t="shared" ref="CR7:CR32" si="15">CP7-CL7</f>
        <v>-396.03001</v>
      </c>
      <c r="CS7" s="207">
        <f t="shared" ref="CS7:CS32" si="16">AD7-AK7</f>
        <v>-49155.549100000178</v>
      </c>
      <c r="CT7" s="207">
        <f t="shared" ref="CT7:CT32" si="17">AE7-AL7</f>
        <v>-25078.279180000303</v>
      </c>
      <c r="CU7" s="207">
        <v>57000</v>
      </c>
      <c r="CV7" s="207">
        <v>83700</v>
      </c>
      <c r="CW7" s="207">
        <f>CV7-CU7</f>
        <v>26700</v>
      </c>
      <c r="CX7" s="206">
        <v>0</v>
      </c>
      <c r="CY7" s="206">
        <v>971015228.67999995</v>
      </c>
      <c r="CZ7" s="206">
        <v>36580460.469999999</v>
      </c>
      <c r="DA7" s="206">
        <v>63478976.450000003</v>
      </c>
      <c r="DB7" s="207">
        <f>(CX7+CY7+CZ7+DA7)/1000</f>
        <v>1071074.6655999999</v>
      </c>
      <c r="DC7" s="206">
        <v>0</v>
      </c>
      <c r="DD7" s="206">
        <v>958867150.64999998</v>
      </c>
      <c r="DE7" s="206">
        <v>37233977.299999997</v>
      </c>
      <c r="DF7" s="206">
        <v>62230884.219999999</v>
      </c>
      <c r="DG7" s="207">
        <f>(DC7+DD7+DE7+DF7)/1000</f>
        <v>1058332.01217</v>
      </c>
      <c r="DH7" s="211">
        <f t="shared" ref="DH7:DH32" si="18">DB7-O7</f>
        <v>971003.00716999988</v>
      </c>
      <c r="DI7" s="211">
        <f t="shared" ref="DI7:DI32" si="19">DG7-S7</f>
        <v>959508.94597</v>
      </c>
      <c r="DJ7" s="207">
        <f>DI7/DH7%</f>
        <v>98.81626924786778</v>
      </c>
      <c r="DK7" s="206">
        <v>249622800</v>
      </c>
      <c r="DL7" s="207">
        <f>DK7/1000</f>
        <v>249622.8</v>
      </c>
      <c r="DM7" s="206">
        <v>256762168.97999999</v>
      </c>
      <c r="DN7" s="207">
        <f>DM7/1000</f>
        <v>256762.16897999999</v>
      </c>
      <c r="DO7" s="210">
        <v>47637.31</v>
      </c>
      <c r="DP7" s="207">
        <f>DO7/1000</f>
        <v>47.637309999999999</v>
      </c>
      <c r="DQ7" s="210">
        <v>196568.27</v>
      </c>
      <c r="DR7" s="207">
        <f>DQ7/1000</f>
        <v>196.56826999999998</v>
      </c>
      <c r="DS7" s="207">
        <f>DR7-DP7</f>
        <v>148.93095999999997</v>
      </c>
      <c r="DT7" s="207">
        <v>67886.93737</v>
      </c>
      <c r="DU7" s="207">
        <v>33568.917829999999</v>
      </c>
      <c r="DV7" s="207">
        <v>60482.169009999998</v>
      </c>
      <c r="DW7" s="207">
        <v>26469.48013</v>
      </c>
      <c r="DX7" s="207">
        <f>DV7-DT7</f>
        <v>-7404.7683600000018</v>
      </c>
      <c r="DY7" s="207">
        <f>DW7-DU7</f>
        <v>-7099.4376999999986</v>
      </c>
    </row>
    <row r="8" spans="1:129" s="207" customFormat="1" x14ac:dyDescent="0.25">
      <c r="A8" s="205" t="s">
        <v>164</v>
      </c>
      <c r="B8" s="206">
        <v>0</v>
      </c>
      <c r="C8" s="206">
        <v>606287465.15999997</v>
      </c>
      <c r="D8" s="206">
        <v>0</v>
      </c>
      <c r="E8" s="206">
        <v>61832664.939999998</v>
      </c>
      <c r="F8" s="207">
        <f t="shared" ref="F8:F32" si="20">(B8+C8+D8+E8)/1000</f>
        <v>668120.13009999995</v>
      </c>
      <c r="G8" s="206">
        <v>0</v>
      </c>
      <c r="H8" s="206">
        <v>605875248.53999996</v>
      </c>
      <c r="I8" s="206">
        <v>0</v>
      </c>
      <c r="J8" s="206">
        <v>59504430.630000003</v>
      </c>
      <c r="K8" s="207">
        <f t="shared" si="0"/>
        <v>665379.6791699999</v>
      </c>
      <c r="L8" s="206">
        <v>45290411</v>
      </c>
      <c r="M8" s="206">
        <v>0</v>
      </c>
      <c r="N8" s="206">
        <v>407900</v>
      </c>
      <c r="O8" s="207">
        <f t="shared" ref="O8:O32" si="21">(L8+M8+N8)/1000</f>
        <v>45698.311000000002</v>
      </c>
      <c r="P8" s="206">
        <v>44998785.370000005</v>
      </c>
      <c r="Q8" s="206">
        <v>0</v>
      </c>
      <c r="R8" s="206">
        <v>407900</v>
      </c>
      <c r="S8" s="207">
        <f t="shared" ref="S8:S32" si="22">(P8+Q8+R8)/1000</f>
        <v>45406.685370000007</v>
      </c>
      <c r="T8" s="206">
        <v>0</v>
      </c>
      <c r="U8" s="206">
        <v>622215591.51999998</v>
      </c>
      <c r="V8" s="206">
        <v>0</v>
      </c>
      <c r="W8" s="206">
        <v>63473273.130000003</v>
      </c>
      <c r="X8" s="207">
        <f t="shared" si="1"/>
        <v>685688.86465</v>
      </c>
      <c r="Y8" s="206">
        <v>0</v>
      </c>
      <c r="Z8" s="206">
        <v>611378961.36000001</v>
      </c>
      <c r="AA8" s="206">
        <v>0</v>
      </c>
      <c r="AB8" s="206">
        <v>57676160.189999998</v>
      </c>
      <c r="AC8" s="207">
        <f t="shared" ref="AC8:AC32" si="23">(Y8+Z8+AA8+AB8)/1000</f>
        <v>669055.12154999992</v>
      </c>
      <c r="AD8" s="207">
        <f t="shared" si="2"/>
        <v>622421.81909999996</v>
      </c>
      <c r="AE8" s="207">
        <f t="shared" si="3"/>
        <v>619972.99379999994</v>
      </c>
      <c r="AF8" s="207">
        <f t="shared" ref="AF8:AF34" si="24">AE8/AD8%</f>
        <v>99.606564997425551</v>
      </c>
      <c r="AG8" s="208">
        <v>622422</v>
      </c>
      <c r="AH8" s="208">
        <f t="shared" ref="AH8:AH32" si="25">AG8-AD8</f>
        <v>0.18090000003576279</v>
      </c>
      <c r="AI8" s="208">
        <v>619973</v>
      </c>
      <c r="AJ8" s="208">
        <f t="shared" ref="AJ8:AJ32" si="26">AI8-AE8</f>
        <v>6.2000000616535544E-3</v>
      </c>
      <c r="AK8" s="207">
        <f t="shared" si="4"/>
        <v>639990.55365000002</v>
      </c>
      <c r="AL8" s="207">
        <f t="shared" si="5"/>
        <v>623648.43617999996</v>
      </c>
      <c r="AM8" s="207">
        <f t="shared" ref="AM8:AM34" si="27">AL8/AK8%</f>
        <v>97.446506455947272</v>
      </c>
      <c r="AN8" s="206">
        <v>0</v>
      </c>
      <c r="AO8" s="206">
        <v>524786027.61000001</v>
      </c>
      <c r="AP8" s="206">
        <v>0</v>
      </c>
      <c r="AQ8" s="206">
        <v>45290411</v>
      </c>
      <c r="AR8" s="209">
        <f t="shared" si="6"/>
        <v>0</v>
      </c>
      <c r="AS8" s="207">
        <f t="shared" ref="AS8:AS32" si="28">(AN8+AO8+AP8+AQ8)/1000</f>
        <v>570076.43861000007</v>
      </c>
      <c r="AT8" s="206">
        <v>0</v>
      </c>
      <c r="AU8" s="206">
        <v>523549194.95999998</v>
      </c>
      <c r="AV8" s="206">
        <v>0</v>
      </c>
      <c r="AW8" s="206">
        <v>44998785.369999997</v>
      </c>
      <c r="AX8" s="209">
        <f t="shared" si="7"/>
        <v>0</v>
      </c>
      <c r="AY8" s="207">
        <f t="shared" ref="AY8:AY32" si="29">(AT8+AU8+AV8+AW8)/1000</f>
        <v>568547.98032999993</v>
      </c>
      <c r="AZ8" s="207">
        <f t="shared" si="8"/>
        <v>524378.12761000008</v>
      </c>
      <c r="BA8" s="207">
        <f t="shared" si="9"/>
        <v>523141.29495999991</v>
      </c>
      <c r="BB8" s="207">
        <f t="shared" ref="BB8:BB34" si="30">BA8/AZ8%</f>
        <v>99.764133440188033</v>
      </c>
      <c r="BC8" s="206">
        <v>0</v>
      </c>
      <c r="BD8" s="206">
        <v>79388000</v>
      </c>
      <c r="BE8" s="206">
        <v>0</v>
      </c>
      <c r="BF8" s="206">
        <v>15139466.619999999</v>
      </c>
      <c r="BG8" s="207">
        <f t="shared" ref="BG8:BG32" si="31">(BC8+BD8+BE8+BF8)/1000</f>
        <v>94527.466620000007</v>
      </c>
      <c r="BH8" s="206">
        <v>0</v>
      </c>
      <c r="BI8" s="206">
        <v>80212616.030000001</v>
      </c>
      <c r="BJ8" s="206">
        <v>0</v>
      </c>
      <c r="BK8" s="206">
        <v>13102857.939999999</v>
      </c>
      <c r="BL8" s="207">
        <f t="shared" ref="BL8:BL32" si="32">(BH8+BI8+BJ8+BK8)/1000</f>
        <v>93315.473969999992</v>
      </c>
      <c r="BM8" s="210">
        <v>5335640</v>
      </c>
      <c r="BN8" s="207">
        <f t="shared" ref="BN8:BN32" si="33">(BM8)/1000</f>
        <v>5335.64</v>
      </c>
      <c r="BO8" s="210">
        <v>5391737.5999999996</v>
      </c>
      <c r="BP8" s="207">
        <f t="shared" ref="BP8:BP32" si="34">(BO8)/1000</f>
        <v>5391.7375999999995</v>
      </c>
      <c r="BQ8" s="207">
        <f t="shared" si="10"/>
        <v>101.05137528019131</v>
      </c>
      <c r="BR8" s="210">
        <v>1265500</v>
      </c>
      <c r="BS8" s="207">
        <f t="shared" ref="BS8:BS32" si="35">(BR8)/1000</f>
        <v>1265.5</v>
      </c>
      <c r="BT8" s="363">
        <v>1350276.81</v>
      </c>
      <c r="BU8" s="207">
        <f t="shared" ref="BU8:BU32" si="36">(BT8)/1000</f>
        <v>1350.2768100000001</v>
      </c>
      <c r="BV8" s="207">
        <f t="shared" si="11"/>
        <v>106.69907625444489</v>
      </c>
      <c r="BW8" s="210">
        <v>9866800</v>
      </c>
      <c r="BX8" s="207">
        <f t="shared" ref="BX8:BX32" si="37">(BW8)/1000</f>
        <v>9866.7999999999993</v>
      </c>
      <c r="BY8" s="210">
        <v>9472164.8000000007</v>
      </c>
      <c r="BZ8" s="207">
        <f t="shared" ref="BZ8:BZ32" si="38">BY8/1000</f>
        <v>9472.1648000000005</v>
      </c>
      <c r="CA8" s="210">
        <v>8536463.1699999999</v>
      </c>
      <c r="CB8" s="207">
        <f t="shared" ref="CB8:CB32" si="39">(CA8)/1000</f>
        <v>8536.4631699999991</v>
      </c>
      <c r="CC8" s="207">
        <f t="shared" si="12"/>
        <v>86.517038654883038</v>
      </c>
      <c r="CD8" s="207">
        <f t="shared" ref="CD8:CD32" si="40">CB8-BZ8</f>
        <v>-935.70163000000139</v>
      </c>
      <c r="CE8" s="207">
        <f t="shared" ref="CE8:CE33" si="41">CB8/BZ8%-100</f>
        <v>-9.8784348642245021</v>
      </c>
      <c r="CF8" s="210">
        <v>16420128.449999999</v>
      </c>
      <c r="CG8" s="207">
        <f t="shared" ref="CG8:CG32" si="42">(CF8)/1000</f>
        <v>16420.12845</v>
      </c>
      <c r="CH8" s="210">
        <v>15632901.119999999</v>
      </c>
      <c r="CI8" s="207">
        <f t="shared" ref="CI8:CI32" si="43">(CH8)/1000</f>
        <v>15632.901119999999</v>
      </c>
      <c r="CJ8" s="207">
        <f t="shared" si="13"/>
        <v>95.20571758986452</v>
      </c>
      <c r="CK8" s="207">
        <v>19409.076519999999</v>
      </c>
      <c r="CL8" s="207">
        <v>457.99196999999998</v>
      </c>
      <c r="CM8" s="210">
        <v>15733.63414</v>
      </c>
      <c r="CN8" s="207">
        <f t="shared" ref="CN8:CN32" si="44">CM8</f>
        <v>15733.63414</v>
      </c>
      <c r="CO8" s="210">
        <v>1498643.99</v>
      </c>
      <c r="CP8" s="207">
        <f t="shared" ref="CP8:CP32" si="45">CO8/1000</f>
        <v>1498.64399</v>
      </c>
      <c r="CQ8" s="207">
        <f t="shared" si="14"/>
        <v>-3675.4423799999986</v>
      </c>
      <c r="CR8" s="207">
        <f t="shared" si="15"/>
        <v>1040.65202</v>
      </c>
      <c r="CS8" s="207">
        <f t="shared" si="16"/>
        <v>-17568.734550000052</v>
      </c>
      <c r="CT8" s="207">
        <f t="shared" si="17"/>
        <v>-3675.4423800000222</v>
      </c>
      <c r="CW8" s="207">
        <f t="shared" ref="CW8:CW32" si="46">CV8-CU8</f>
        <v>0</v>
      </c>
      <c r="CX8" s="206">
        <v>0</v>
      </c>
      <c r="CY8" s="206">
        <v>526899465.16000003</v>
      </c>
      <c r="CZ8" s="206">
        <v>0</v>
      </c>
      <c r="DA8" s="206">
        <v>46693198.32</v>
      </c>
      <c r="DB8" s="207">
        <f t="shared" ref="DB8:DB32" si="47">(CX8+CY8+CZ8+DA8)/1000</f>
        <v>573592.66347999999</v>
      </c>
      <c r="DC8" s="206">
        <v>0</v>
      </c>
      <c r="DD8" s="206">
        <v>525662632.50999999</v>
      </c>
      <c r="DE8" s="206">
        <v>0</v>
      </c>
      <c r="DF8" s="206">
        <v>46401572.689999998</v>
      </c>
      <c r="DG8" s="207">
        <f t="shared" ref="DG8:DG32" si="48">(DC8+DD8+DE8+DF8)/1000</f>
        <v>572064.20520000008</v>
      </c>
      <c r="DH8" s="211">
        <f t="shared" si="18"/>
        <v>527894.35248</v>
      </c>
      <c r="DI8" s="211">
        <f t="shared" si="19"/>
        <v>526657.51983000012</v>
      </c>
      <c r="DJ8" s="207">
        <f t="shared" ref="DJ8:DJ34" si="49">DI8/DH8%</f>
        <v>99.765704511861259</v>
      </c>
      <c r="DK8" s="206">
        <v>38196688.170000002</v>
      </c>
      <c r="DL8" s="207">
        <f t="shared" ref="DL8:DR32" si="50">DK8/1000</f>
        <v>38196.688170000001</v>
      </c>
      <c r="DM8" s="206">
        <v>39087002.82</v>
      </c>
      <c r="DN8" s="207">
        <f t="shared" si="50"/>
        <v>39087.002820000002</v>
      </c>
      <c r="DO8" s="210">
        <v>37628.519999999997</v>
      </c>
      <c r="DP8" s="207">
        <f t="shared" si="50"/>
        <v>37.628519999999995</v>
      </c>
      <c r="DQ8" s="210">
        <v>49626</v>
      </c>
      <c r="DR8" s="207">
        <f t="shared" si="50"/>
        <v>49.625999999999998</v>
      </c>
      <c r="DS8" s="207">
        <f t="shared" ref="DS8:DS32" si="51">DR8-DP8</f>
        <v>11.997480000000003</v>
      </c>
      <c r="DT8" s="207">
        <v>11579.062529999999</v>
      </c>
      <c r="DU8" s="207">
        <v>1980.85105</v>
      </c>
      <c r="DV8" s="207">
        <v>8178.4894800000002</v>
      </c>
      <c r="DW8" s="207">
        <v>417.95200999999997</v>
      </c>
      <c r="DX8" s="207">
        <f t="shared" ref="DX8:DX32" si="52">DV8-DT8</f>
        <v>-3400.5730499999991</v>
      </c>
      <c r="DY8" s="207">
        <f t="shared" ref="DY8:DY32" si="53">DW8-DU8</f>
        <v>-1562.89904</v>
      </c>
    </row>
    <row r="9" spans="1:129" s="207" customFormat="1" x14ac:dyDescent="0.25">
      <c r="A9" s="205" t="s">
        <v>165</v>
      </c>
      <c r="B9" s="206">
        <v>0</v>
      </c>
      <c r="C9" s="206">
        <v>414012472.13</v>
      </c>
      <c r="D9" s="206">
        <v>0</v>
      </c>
      <c r="E9" s="206">
        <v>49044400</v>
      </c>
      <c r="F9" s="207">
        <f t="shared" si="20"/>
        <v>463056.87212999997</v>
      </c>
      <c r="G9" s="206">
        <v>0</v>
      </c>
      <c r="H9" s="206">
        <v>418988645.62</v>
      </c>
      <c r="I9" s="206">
        <v>0</v>
      </c>
      <c r="J9" s="206">
        <v>48413600.369999997</v>
      </c>
      <c r="K9" s="207">
        <f t="shared" si="0"/>
        <v>467402.24599000002</v>
      </c>
      <c r="L9" s="206">
        <v>37725500</v>
      </c>
      <c r="M9" s="206">
        <v>0</v>
      </c>
      <c r="N9" s="206">
        <v>8510000</v>
      </c>
      <c r="O9" s="207">
        <f t="shared" si="21"/>
        <v>46235.5</v>
      </c>
      <c r="P9" s="206">
        <v>36548919.599999994</v>
      </c>
      <c r="Q9" s="206">
        <v>0</v>
      </c>
      <c r="R9" s="206">
        <v>8510000</v>
      </c>
      <c r="S9" s="207">
        <f t="shared" si="22"/>
        <v>45058.919599999994</v>
      </c>
      <c r="T9" s="206">
        <v>0</v>
      </c>
      <c r="U9" s="206">
        <v>427133305.13</v>
      </c>
      <c r="V9" s="206">
        <v>0</v>
      </c>
      <c r="W9" s="206">
        <v>51021785</v>
      </c>
      <c r="X9" s="207">
        <f t="shared" si="1"/>
        <v>478155.09012999997</v>
      </c>
      <c r="Y9" s="206">
        <v>0</v>
      </c>
      <c r="Z9" s="206">
        <v>422707610.25999999</v>
      </c>
      <c r="AA9" s="206">
        <v>0</v>
      </c>
      <c r="AB9" s="206">
        <v>48622975.579999998</v>
      </c>
      <c r="AC9" s="207">
        <f t="shared" si="23"/>
        <v>471330.58583999996</v>
      </c>
      <c r="AD9" s="207">
        <f t="shared" si="2"/>
        <v>416821.37212999997</v>
      </c>
      <c r="AE9" s="207">
        <f t="shared" si="3"/>
        <v>422343.32639000006</v>
      </c>
      <c r="AF9" s="207">
        <f t="shared" si="24"/>
        <v>101.32477714177234</v>
      </c>
      <c r="AG9" s="208">
        <v>416821</v>
      </c>
      <c r="AH9" s="208">
        <f t="shared" si="25"/>
        <v>-0.37212999997427687</v>
      </c>
      <c r="AI9" s="208">
        <v>422343</v>
      </c>
      <c r="AJ9" s="208">
        <f t="shared" si="26"/>
        <v>-0.32639000006020069</v>
      </c>
      <c r="AK9" s="207">
        <f t="shared" si="4"/>
        <v>431919.59012999997</v>
      </c>
      <c r="AL9" s="207">
        <f t="shared" si="5"/>
        <v>426271.66623999993</v>
      </c>
      <c r="AM9" s="207">
        <f t="shared" si="27"/>
        <v>98.692366815707501</v>
      </c>
      <c r="AN9" s="206">
        <v>0</v>
      </c>
      <c r="AO9" s="206">
        <v>345812305.13</v>
      </c>
      <c r="AP9" s="206">
        <v>0</v>
      </c>
      <c r="AQ9" s="206">
        <v>37725500</v>
      </c>
      <c r="AR9" s="209">
        <f t="shared" si="6"/>
        <v>0</v>
      </c>
      <c r="AS9" s="207">
        <f t="shared" si="28"/>
        <v>383537.80512999999</v>
      </c>
      <c r="AT9" s="206">
        <v>0</v>
      </c>
      <c r="AU9" s="206">
        <v>345568258.13</v>
      </c>
      <c r="AV9" s="206">
        <v>0</v>
      </c>
      <c r="AW9" s="206">
        <v>36548919.600000001</v>
      </c>
      <c r="AX9" s="209">
        <f t="shared" si="7"/>
        <v>0</v>
      </c>
      <c r="AY9" s="207">
        <f t="shared" si="29"/>
        <v>382117.17773</v>
      </c>
      <c r="AZ9" s="207">
        <f t="shared" si="8"/>
        <v>337302.30512999999</v>
      </c>
      <c r="BA9" s="207">
        <f t="shared" si="9"/>
        <v>337058.25812999997</v>
      </c>
      <c r="BB9" s="207">
        <f t="shared" si="30"/>
        <v>99.92764739633013</v>
      </c>
      <c r="BC9" s="206">
        <v>0</v>
      </c>
      <c r="BD9" s="206">
        <v>68252200</v>
      </c>
      <c r="BE9" s="206">
        <v>0</v>
      </c>
      <c r="BF9" s="206">
        <v>11290900</v>
      </c>
      <c r="BG9" s="207">
        <f t="shared" si="31"/>
        <v>79543.100000000006</v>
      </c>
      <c r="BH9" s="206">
        <v>0</v>
      </c>
      <c r="BI9" s="206">
        <v>73472420.489999995</v>
      </c>
      <c r="BJ9" s="206">
        <v>0</v>
      </c>
      <c r="BK9" s="206">
        <v>11836680.77</v>
      </c>
      <c r="BL9" s="207">
        <f t="shared" si="32"/>
        <v>85309.101259999996</v>
      </c>
      <c r="BM9" s="210">
        <v>8845700</v>
      </c>
      <c r="BN9" s="207">
        <f t="shared" si="33"/>
        <v>8845.7000000000007</v>
      </c>
      <c r="BO9" s="210">
        <v>8845230.5700000003</v>
      </c>
      <c r="BP9" s="207">
        <f t="shared" si="34"/>
        <v>8845.2305699999997</v>
      </c>
      <c r="BQ9" s="207">
        <f t="shared" si="10"/>
        <v>99.994693127734365</v>
      </c>
      <c r="BR9" s="210">
        <v>580000</v>
      </c>
      <c r="BS9" s="207">
        <f t="shared" si="35"/>
        <v>580</v>
      </c>
      <c r="BT9" s="363">
        <v>749319.78</v>
      </c>
      <c r="BU9" s="207">
        <f t="shared" si="36"/>
        <v>749.31978000000004</v>
      </c>
      <c r="BV9" s="207">
        <f t="shared" si="11"/>
        <v>129.19306551724139</v>
      </c>
      <c r="BW9" s="210">
        <v>5023700</v>
      </c>
      <c r="BX9" s="207">
        <f t="shared" si="37"/>
        <v>5023.7</v>
      </c>
      <c r="BY9" s="210">
        <v>4883552.18</v>
      </c>
      <c r="BZ9" s="207">
        <f t="shared" si="38"/>
        <v>4883.5521799999997</v>
      </c>
      <c r="CA9" s="210">
        <v>5678637.4699999997</v>
      </c>
      <c r="CB9" s="207">
        <f t="shared" si="39"/>
        <v>5678.6374699999997</v>
      </c>
      <c r="CC9" s="207">
        <f t="shared" si="12"/>
        <v>113.03695423691701</v>
      </c>
      <c r="CD9" s="207">
        <f t="shared" si="40"/>
        <v>795.08528999999999</v>
      </c>
      <c r="CE9" s="207">
        <f t="shared" si="41"/>
        <v>16.280880406196459</v>
      </c>
      <c r="CF9" s="210">
        <v>12106500</v>
      </c>
      <c r="CG9" s="207">
        <f t="shared" si="42"/>
        <v>12106.5</v>
      </c>
      <c r="CH9" s="210">
        <v>14711544.439999999</v>
      </c>
      <c r="CI9" s="207">
        <f t="shared" si="43"/>
        <v>14711.54444</v>
      </c>
      <c r="CJ9" s="207">
        <f t="shared" si="13"/>
        <v>121.51773377937471</v>
      </c>
      <c r="CK9" s="207">
        <v>16566.491030000001</v>
      </c>
      <c r="CL9" s="207">
        <v>64.033000000000001</v>
      </c>
      <c r="CM9" s="210">
        <v>12638.151180000001</v>
      </c>
      <c r="CN9" s="207">
        <f t="shared" si="44"/>
        <v>12638.151180000001</v>
      </c>
      <c r="CO9" s="210">
        <v>1229000</v>
      </c>
      <c r="CP9" s="207">
        <f t="shared" si="45"/>
        <v>1229</v>
      </c>
      <c r="CQ9" s="207">
        <f t="shared" si="14"/>
        <v>-3928.3398500000003</v>
      </c>
      <c r="CR9" s="207">
        <f t="shared" si="15"/>
        <v>1164.9670000000001</v>
      </c>
      <c r="CS9" s="207">
        <f t="shared" si="16"/>
        <v>-15098.217999999993</v>
      </c>
      <c r="CT9" s="207">
        <f t="shared" si="17"/>
        <v>-3928.339849999873</v>
      </c>
      <c r="CW9" s="207">
        <f t="shared" si="46"/>
        <v>0</v>
      </c>
      <c r="CX9" s="206">
        <v>0</v>
      </c>
      <c r="CY9" s="206">
        <v>345760272.13</v>
      </c>
      <c r="CZ9" s="206">
        <v>0</v>
      </c>
      <c r="DA9" s="206">
        <v>37753500</v>
      </c>
      <c r="DB9" s="207">
        <f t="shared" si="47"/>
        <v>383513.77213</v>
      </c>
      <c r="DC9" s="206">
        <v>0</v>
      </c>
      <c r="DD9" s="206">
        <v>345516225.13</v>
      </c>
      <c r="DE9" s="206">
        <v>0</v>
      </c>
      <c r="DF9" s="206">
        <v>36576919.600000001</v>
      </c>
      <c r="DG9" s="207">
        <f t="shared" si="48"/>
        <v>382093.14473</v>
      </c>
      <c r="DH9" s="211">
        <f t="shared" si="18"/>
        <v>337278.27213</v>
      </c>
      <c r="DI9" s="211">
        <f t="shared" si="19"/>
        <v>337034.22513000004</v>
      </c>
      <c r="DJ9" s="207">
        <f t="shared" si="49"/>
        <v>99.927642240794597</v>
      </c>
      <c r="DK9" s="206">
        <v>40568000</v>
      </c>
      <c r="DL9" s="207">
        <f t="shared" si="50"/>
        <v>40568</v>
      </c>
      <c r="DM9" s="206">
        <v>42673900.579999998</v>
      </c>
      <c r="DN9" s="207">
        <f t="shared" si="50"/>
        <v>42673.900580000001</v>
      </c>
      <c r="DO9" s="210">
        <v>495863.29</v>
      </c>
      <c r="DP9" s="207">
        <f t="shared" si="50"/>
        <v>495.86329000000001</v>
      </c>
      <c r="DQ9" s="210">
        <v>613152.65</v>
      </c>
      <c r="DR9" s="207">
        <f t="shared" si="50"/>
        <v>613.15264999999999</v>
      </c>
      <c r="DS9" s="207">
        <f t="shared" si="51"/>
        <v>117.28935999999999</v>
      </c>
      <c r="DT9" s="207">
        <v>3709.9925400000002</v>
      </c>
      <c r="DU9" s="207">
        <v>82</v>
      </c>
      <c r="DV9" s="207">
        <v>4733.0988399999997</v>
      </c>
      <c r="DW9" s="207">
        <v>0</v>
      </c>
      <c r="DX9" s="207">
        <f t="shared" si="52"/>
        <v>1023.1062999999995</v>
      </c>
      <c r="DY9" s="207">
        <f t="shared" si="53"/>
        <v>-82</v>
      </c>
    </row>
    <row r="10" spans="1:129" s="207" customFormat="1" x14ac:dyDescent="0.25">
      <c r="A10" s="205" t="s">
        <v>166</v>
      </c>
      <c r="B10" s="206">
        <v>0</v>
      </c>
      <c r="C10" s="206">
        <v>506387259.61000001</v>
      </c>
      <c r="D10" s="206">
        <v>36060498.460000001</v>
      </c>
      <c r="E10" s="206">
        <v>43709119.840000004</v>
      </c>
      <c r="F10" s="207">
        <f t="shared" si="20"/>
        <v>586156.87791000004</v>
      </c>
      <c r="G10" s="206">
        <v>0</v>
      </c>
      <c r="H10" s="206">
        <v>504106052.29000002</v>
      </c>
      <c r="I10" s="206">
        <v>34999188.520000003</v>
      </c>
      <c r="J10" s="206">
        <v>43651047.75</v>
      </c>
      <c r="K10" s="207">
        <f t="shared" si="0"/>
        <v>582756.28856000002</v>
      </c>
      <c r="L10" s="206">
        <v>48021161.530000001</v>
      </c>
      <c r="M10" s="206">
        <v>1000</v>
      </c>
      <c r="N10" s="206">
        <v>4000</v>
      </c>
      <c r="O10" s="207">
        <f t="shared" si="21"/>
        <v>48026.161529999998</v>
      </c>
      <c r="P10" s="206">
        <v>47653888.580000006</v>
      </c>
      <c r="Q10" s="206">
        <v>1000</v>
      </c>
      <c r="R10" s="206">
        <v>3000</v>
      </c>
      <c r="S10" s="207">
        <f t="shared" si="22"/>
        <v>47657.888580000006</v>
      </c>
      <c r="T10" s="206">
        <v>0</v>
      </c>
      <c r="U10" s="206">
        <v>515196622.67000002</v>
      </c>
      <c r="V10" s="206">
        <v>36591911.939999998</v>
      </c>
      <c r="W10" s="206">
        <v>44544774.759999998</v>
      </c>
      <c r="X10" s="207">
        <f t="shared" si="1"/>
        <v>596333.30937000003</v>
      </c>
      <c r="Y10" s="206">
        <v>0</v>
      </c>
      <c r="Z10" s="206">
        <v>503076602.24000001</v>
      </c>
      <c r="AA10" s="206">
        <v>35134850.460000001</v>
      </c>
      <c r="AB10" s="206">
        <v>42609914.549999997</v>
      </c>
      <c r="AC10" s="207">
        <f t="shared" si="23"/>
        <v>580821.36725000001</v>
      </c>
      <c r="AD10" s="207">
        <f t="shared" si="2"/>
        <v>538130.71638</v>
      </c>
      <c r="AE10" s="207">
        <f t="shared" si="3"/>
        <v>535098.39997999999</v>
      </c>
      <c r="AF10" s="207">
        <f t="shared" si="24"/>
        <v>99.436509326135777</v>
      </c>
      <c r="AG10" s="208">
        <v>538131</v>
      </c>
      <c r="AH10" s="208">
        <f t="shared" si="25"/>
        <v>0.2836200000019744</v>
      </c>
      <c r="AI10" s="208">
        <v>535098</v>
      </c>
      <c r="AJ10" s="208">
        <f t="shared" si="26"/>
        <v>-0.39997999998740852</v>
      </c>
      <c r="AK10" s="207">
        <f t="shared" si="4"/>
        <v>548307.14783999999</v>
      </c>
      <c r="AL10" s="207">
        <f t="shared" si="5"/>
        <v>533163.47866999998</v>
      </c>
      <c r="AM10" s="207">
        <f t="shared" si="27"/>
        <v>97.238104732054481</v>
      </c>
      <c r="AN10" s="206">
        <v>0</v>
      </c>
      <c r="AO10" s="206">
        <v>428965459.61000001</v>
      </c>
      <c r="AP10" s="206">
        <v>11872398.460000001</v>
      </c>
      <c r="AQ10" s="206">
        <v>36148763.07</v>
      </c>
      <c r="AR10" s="209">
        <f t="shared" si="6"/>
        <v>0</v>
      </c>
      <c r="AS10" s="207">
        <f t="shared" si="28"/>
        <v>476986.62114</v>
      </c>
      <c r="AT10" s="206">
        <v>0</v>
      </c>
      <c r="AU10" s="206">
        <v>428594047.13999999</v>
      </c>
      <c r="AV10" s="206">
        <v>11860246.279999999</v>
      </c>
      <c r="AW10" s="206">
        <v>35793642.299999997</v>
      </c>
      <c r="AX10" s="209">
        <f t="shared" si="7"/>
        <v>0</v>
      </c>
      <c r="AY10" s="207">
        <f t="shared" si="29"/>
        <v>476247.93571999995</v>
      </c>
      <c r="AZ10" s="207">
        <f t="shared" si="8"/>
        <v>428960.45961000002</v>
      </c>
      <c r="BA10" s="207">
        <f t="shared" si="9"/>
        <v>428590.04713999992</v>
      </c>
      <c r="BB10" s="207">
        <f t="shared" si="30"/>
        <v>99.913648808019076</v>
      </c>
      <c r="BC10" s="206">
        <v>0</v>
      </c>
      <c r="BD10" s="206">
        <v>77325900</v>
      </c>
      <c r="BE10" s="206">
        <v>24194800</v>
      </c>
      <c r="BF10" s="206">
        <v>7571887</v>
      </c>
      <c r="BG10" s="207">
        <f t="shared" si="31"/>
        <v>109092.587</v>
      </c>
      <c r="BH10" s="206">
        <v>0</v>
      </c>
      <c r="BI10" s="206">
        <v>75416105.150000006</v>
      </c>
      <c r="BJ10" s="206">
        <v>23135642.239999998</v>
      </c>
      <c r="BK10" s="206">
        <v>7705935.6799999997</v>
      </c>
      <c r="BL10" s="207">
        <f t="shared" si="32"/>
        <v>106257.68307</v>
      </c>
      <c r="BM10" s="210">
        <v>11611100</v>
      </c>
      <c r="BN10" s="207">
        <f t="shared" si="33"/>
        <v>11611.1</v>
      </c>
      <c r="BO10" s="210">
        <v>10635703.25</v>
      </c>
      <c r="BP10" s="207">
        <f t="shared" si="34"/>
        <v>10635.70325</v>
      </c>
      <c r="BQ10" s="207">
        <f t="shared" si="10"/>
        <v>91.599445788943342</v>
      </c>
      <c r="BR10" s="210">
        <v>3982000</v>
      </c>
      <c r="BS10" s="207">
        <f t="shared" si="35"/>
        <v>3982</v>
      </c>
      <c r="BT10" s="363">
        <v>344107.65</v>
      </c>
      <c r="BU10" s="207">
        <f t="shared" si="36"/>
        <v>344.10765000000004</v>
      </c>
      <c r="BV10" s="207">
        <f t="shared" si="11"/>
        <v>8.6415783525866399</v>
      </c>
      <c r="BW10" s="210">
        <v>8760200</v>
      </c>
      <c r="BX10" s="207">
        <f t="shared" si="37"/>
        <v>8760.2000000000007</v>
      </c>
      <c r="BY10" s="210">
        <v>3865799.73</v>
      </c>
      <c r="BZ10" s="207">
        <f t="shared" si="38"/>
        <v>3865.7997300000002</v>
      </c>
      <c r="CA10" s="210">
        <v>8824101.9600000009</v>
      </c>
      <c r="CB10" s="207">
        <f t="shared" si="39"/>
        <v>8824.1019600000018</v>
      </c>
      <c r="CC10" s="207">
        <f t="shared" si="12"/>
        <v>100.72945777493666</v>
      </c>
      <c r="CD10" s="207">
        <f t="shared" si="40"/>
        <v>4958.3022300000011</v>
      </c>
      <c r="CE10" s="207">
        <f t="shared" si="41"/>
        <v>128.26071127073106</v>
      </c>
      <c r="CF10" s="210">
        <v>18121200</v>
      </c>
      <c r="CG10" s="207">
        <f t="shared" si="42"/>
        <v>18121.2</v>
      </c>
      <c r="CH10" s="210">
        <v>18416730.010000002</v>
      </c>
      <c r="CI10" s="207">
        <f t="shared" si="43"/>
        <v>18416.730010000003</v>
      </c>
      <c r="CJ10" s="207">
        <f t="shared" si="13"/>
        <v>101.63085231662363</v>
      </c>
      <c r="CK10" s="207">
        <v>6804.6165499999997</v>
      </c>
      <c r="CL10" s="207">
        <v>658.34322999999995</v>
      </c>
      <c r="CM10" s="210">
        <v>8739.5378600000004</v>
      </c>
      <c r="CN10" s="207">
        <f t="shared" si="44"/>
        <v>8739.5378600000004</v>
      </c>
      <c r="CO10" s="210">
        <v>3556000</v>
      </c>
      <c r="CP10" s="207">
        <f t="shared" si="45"/>
        <v>3556</v>
      </c>
      <c r="CQ10" s="207">
        <f t="shared" si="14"/>
        <v>1934.9213100000006</v>
      </c>
      <c r="CR10" s="207">
        <f t="shared" si="15"/>
        <v>2897.6567700000001</v>
      </c>
      <c r="CS10" s="207">
        <f t="shared" si="16"/>
        <v>-10176.431459999993</v>
      </c>
      <c r="CT10" s="207">
        <f t="shared" si="17"/>
        <v>1934.9213100000052</v>
      </c>
      <c r="CW10" s="207">
        <f t="shared" si="46"/>
        <v>0</v>
      </c>
      <c r="CX10" s="206">
        <v>0</v>
      </c>
      <c r="CY10" s="206">
        <v>429061359.61000001</v>
      </c>
      <c r="CZ10" s="206">
        <v>11865698.460000001</v>
      </c>
      <c r="DA10" s="206">
        <v>36137232.840000004</v>
      </c>
      <c r="DB10" s="207">
        <f t="shared" si="47"/>
        <v>477064.29090999998</v>
      </c>
      <c r="DC10" s="206">
        <v>0</v>
      </c>
      <c r="DD10" s="206">
        <v>428689947.13999999</v>
      </c>
      <c r="DE10" s="206">
        <v>11863546.279999999</v>
      </c>
      <c r="DF10" s="206">
        <v>35945112.07</v>
      </c>
      <c r="DG10" s="207">
        <f t="shared" si="48"/>
        <v>476498.60548999993</v>
      </c>
      <c r="DH10" s="211">
        <f t="shared" si="18"/>
        <v>429038.12938</v>
      </c>
      <c r="DI10" s="211">
        <f t="shared" si="19"/>
        <v>428840.7169099999</v>
      </c>
      <c r="DJ10" s="207">
        <f t="shared" si="49"/>
        <v>99.953987196829019</v>
      </c>
      <c r="DK10" s="206">
        <v>54172100</v>
      </c>
      <c r="DL10" s="207">
        <f t="shared" si="50"/>
        <v>54172.1</v>
      </c>
      <c r="DM10" s="206">
        <v>55932916.659999996</v>
      </c>
      <c r="DN10" s="207">
        <f t="shared" si="50"/>
        <v>55932.916659999995</v>
      </c>
      <c r="DO10" s="210">
        <v>131287.56</v>
      </c>
      <c r="DP10" s="207">
        <f t="shared" si="50"/>
        <v>131.28755999999998</v>
      </c>
      <c r="DQ10" s="210">
        <v>151911.26999999999</v>
      </c>
      <c r="DR10" s="207">
        <f t="shared" si="50"/>
        <v>151.91127</v>
      </c>
      <c r="DS10" s="207">
        <f t="shared" si="51"/>
        <v>20.623710000000017</v>
      </c>
      <c r="DT10" s="207">
        <v>12034.802830000001</v>
      </c>
      <c r="DU10" s="207">
        <v>4549.0469999999996</v>
      </c>
      <c r="DV10" s="207">
        <v>13687.797500000001</v>
      </c>
      <c r="DW10" s="207">
        <v>3284.9434700000002</v>
      </c>
      <c r="DX10" s="207">
        <f t="shared" si="52"/>
        <v>1652.99467</v>
      </c>
      <c r="DY10" s="207">
        <f t="shared" si="53"/>
        <v>-1264.1035299999994</v>
      </c>
    </row>
    <row r="11" spans="1:129" s="207" customFormat="1" x14ac:dyDescent="0.25">
      <c r="A11" s="205" t="s">
        <v>167</v>
      </c>
      <c r="B11" s="206">
        <v>0</v>
      </c>
      <c r="C11" s="206">
        <v>651703961.60000002</v>
      </c>
      <c r="D11" s="206">
        <v>62286109.299999997</v>
      </c>
      <c r="E11" s="206">
        <v>14363790</v>
      </c>
      <c r="F11" s="207">
        <f t="shared" si="20"/>
        <v>728353.86089999997</v>
      </c>
      <c r="G11" s="206">
        <v>0</v>
      </c>
      <c r="H11" s="206">
        <v>657223550.23000002</v>
      </c>
      <c r="I11" s="206">
        <v>62980610</v>
      </c>
      <c r="J11" s="206">
        <v>14409631.039999999</v>
      </c>
      <c r="K11" s="207">
        <f t="shared" si="0"/>
        <v>734613.79126999993</v>
      </c>
      <c r="L11" s="206">
        <v>42174599.310000002</v>
      </c>
      <c r="M11" s="206">
        <v>0</v>
      </c>
      <c r="N11" s="206">
        <v>0</v>
      </c>
      <c r="O11" s="207">
        <f t="shared" si="21"/>
        <v>42174.599310000005</v>
      </c>
      <c r="P11" s="206">
        <v>40280208.799999997</v>
      </c>
      <c r="Q11" s="206">
        <v>0</v>
      </c>
      <c r="R11" s="206">
        <v>0</v>
      </c>
      <c r="S11" s="207">
        <f t="shared" si="22"/>
        <v>40280.2088</v>
      </c>
      <c r="T11" s="206">
        <v>0</v>
      </c>
      <c r="U11" s="206">
        <v>715242618.55999994</v>
      </c>
      <c r="V11" s="206">
        <v>63419960.270000003</v>
      </c>
      <c r="W11" s="206">
        <v>15136351.380000001</v>
      </c>
      <c r="X11" s="207">
        <f t="shared" si="1"/>
        <v>793798.9302099999</v>
      </c>
      <c r="Y11" s="206">
        <v>0</v>
      </c>
      <c r="Z11" s="206">
        <v>606165265.35000002</v>
      </c>
      <c r="AA11" s="206">
        <v>60131834.329999998</v>
      </c>
      <c r="AB11" s="206">
        <v>14261974.689999999</v>
      </c>
      <c r="AC11" s="207">
        <f t="shared" si="23"/>
        <v>680559.07437000016</v>
      </c>
      <c r="AD11" s="207">
        <f t="shared" si="2"/>
        <v>686179.26159000001</v>
      </c>
      <c r="AE11" s="207">
        <f t="shared" si="3"/>
        <v>694333.58246999991</v>
      </c>
      <c r="AF11" s="207">
        <f t="shared" si="24"/>
        <v>101.18836597613063</v>
      </c>
      <c r="AG11" s="208">
        <v>686179</v>
      </c>
      <c r="AH11" s="208">
        <f t="shared" si="25"/>
        <v>-0.26159000000916421</v>
      </c>
      <c r="AI11" s="208">
        <v>694334</v>
      </c>
      <c r="AJ11" s="208">
        <f t="shared" si="26"/>
        <v>0.41753000009339303</v>
      </c>
      <c r="AK11" s="207">
        <f t="shared" si="4"/>
        <v>751624.33089999994</v>
      </c>
      <c r="AL11" s="207">
        <f t="shared" si="5"/>
        <v>640278.86557000014</v>
      </c>
      <c r="AM11" s="207">
        <f t="shared" si="27"/>
        <v>85.186021692954782</v>
      </c>
      <c r="AN11" s="206">
        <v>0</v>
      </c>
      <c r="AO11" s="206">
        <v>572513961.13999999</v>
      </c>
      <c r="AP11" s="206">
        <v>36780309.310000002</v>
      </c>
      <c r="AQ11" s="206">
        <v>5394290</v>
      </c>
      <c r="AR11" s="209">
        <f t="shared" si="6"/>
        <v>0</v>
      </c>
      <c r="AS11" s="207">
        <f t="shared" si="28"/>
        <v>614688.56044999999</v>
      </c>
      <c r="AT11" s="206">
        <v>0</v>
      </c>
      <c r="AU11" s="206">
        <v>572228709.98000002</v>
      </c>
      <c r="AV11" s="206">
        <v>34885918.799999997</v>
      </c>
      <c r="AW11" s="206">
        <v>5394290</v>
      </c>
      <c r="AX11" s="209">
        <f t="shared" si="7"/>
        <v>0</v>
      </c>
      <c r="AY11" s="207">
        <f t="shared" si="29"/>
        <v>612508.91877999995</v>
      </c>
      <c r="AZ11" s="207">
        <f t="shared" si="8"/>
        <v>572513.96114000003</v>
      </c>
      <c r="BA11" s="207">
        <f t="shared" si="9"/>
        <v>572228.70997999993</v>
      </c>
      <c r="BB11" s="207">
        <f t="shared" si="30"/>
        <v>99.950175684898227</v>
      </c>
      <c r="BC11" s="206">
        <v>0</v>
      </c>
      <c r="BD11" s="206">
        <v>120304662.48</v>
      </c>
      <c r="BE11" s="206">
        <v>25505800</v>
      </c>
      <c r="BF11" s="206">
        <v>8746000</v>
      </c>
      <c r="BG11" s="207">
        <f t="shared" si="31"/>
        <v>154556.46248000002</v>
      </c>
      <c r="BH11" s="206">
        <v>0</v>
      </c>
      <c r="BI11" s="206">
        <v>125867509.27</v>
      </c>
      <c r="BJ11" s="206">
        <v>28094691.210000001</v>
      </c>
      <c r="BK11" s="206">
        <v>8791841.0399999991</v>
      </c>
      <c r="BL11" s="207">
        <f t="shared" si="32"/>
        <v>162754.04151999997</v>
      </c>
      <c r="BM11" s="210">
        <v>18901420</v>
      </c>
      <c r="BN11" s="207">
        <f t="shared" si="33"/>
        <v>18901.419999999998</v>
      </c>
      <c r="BO11" s="210">
        <v>18009146.219999999</v>
      </c>
      <c r="BP11" s="207">
        <f t="shared" si="34"/>
        <v>18009.146219999999</v>
      </c>
      <c r="BQ11" s="207">
        <f t="shared" si="10"/>
        <v>95.279329383718263</v>
      </c>
      <c r="BR11" s="210">
        <v>17744100</v>
      </c>
      <c r="BS11" s="207">
        <f t="shared" si="35"/>
        <v>17744.099999999999</v>
      </c>
      <c r="BT11" s="363">
        <v>19085609.629999999</v>
      </c>
      <c r="BU11" s="207">
        <f t="shared" si="36"/>
        <v>19085.609629999999</v>
      </c>
      <c r="BV11" s="207">
        <f t="shared" si="11"/>
        <v>107.5603137380876</v>
      </c>
      <c r="BW11" s="210">
        <v>10239000</v>
      </c>
      <c r="BX11" s="207">
        <f t="shared" si="37"/>
        <v>10239</v>
      </c>
      <c r="BY11" s="210">
        <v>8690774.2599999998</v>
      </c>
      <c r="BZ11" s="207">
        <f t="shared" si="38"/>
        <v>8690.7742600000001</v>
      </c>
      <c r="CA11" s="210">
        <v>11058120.4</v>
      </c>
      <c r="CB11" s="207">
        <f t="shared" si="39"/>
        <v>11058.1204</v>
      </c>
      <c r="CC11" s="207">
        <f t="shared" si="12"/>
        <v>108.00000390663151</v>
      </c>
      <c r="CD11" s="207">
        <f t="shared" si="40"/>
        <v>2367.3461399999997</v>
      </c>
      <c r="CE11" s="207">
        <f t="shared" si="41"/>
        <v>27.239761029070834</v>
      </c>
      <c r="CF11" s="210">
        <v>13171553.49</v>
      </c>
      <c r="CG11" s="207">
        <f t="shared" si="42"/>
        <v>13171.55349</v>
      </c>
      <c r="CH11" s="210">
        <v>15740763.74</v>
      </c>
      <c r="CI11" s="207">
        <f t="shared" si="43"/>
        <v>15740.76374</v>
      </c>
      <c r="CJ11" s="207">
        <f t="shared" si="13"/>
        <v>119.50574965929854</v>
      </c>
      <c r="CK11" s="207">
        <v>57692.796060000001</v>
      </c>
      <c r="CL11" s="207">
        <v>45581.435380000003</v>
      </c>
      <c r="CM11" s="210">
        <v>116297.51295999999</v>
      </c>
      <c r="CN11" s="207">
        <f t="shared" si="44"/>
        <v>116297.51295999999</v>
      </c>
      <c r="CO11" s="210">
        <v>100338343.59999999</v>
      </c>
      <c r="CP11" s="207">
        <f t="shared" si="45"/>
        <v>100338.34359999999</v>
      </c>
      <c r="CQ11" s="207">
        <f t="shared" si="14"/>
        <v>58604.716899999992</v>
      </c>
      <c r="CR11" s="207">
        <f t="shared" si="15"/>
        <v>54756.90821999999</v>
      </c>
      <c r="CS11" s="207">
        <f t="shared" si="16"/>
        <v>-65445.069309999933</v>
      </c>
      <c r="CT11" s="207">
        <f t="shared" si="17"/>
        <v>54054.716899999767</v>
      </c>
      <c r="CV11" s="207">
        <v>4550</v>
      </c>
      <c r="CW11" s="207">
        <f t="shared" si="46"/>
        <v>4550</v>
      </c>
      <c r="CX11" s="206">
        <v>0</v>
      </c>
      <c r="CY11" s="206">
        <v>531399299.12</v>
      </c>
      <c r="CZ11" s="206">
        <v>36780309.299999997</v>
      </c>
      <c r="DA11" s="206">
        <v>5617790</v>
      </c>
      <c r="DB11" s="207">
        <f t="shared" si="47"/>
        <v>573797.39841999998</v>
      </c>
      <c r="DC11" s="206">
        <v>0</v>
      </c>
      <c r="DD11" s="206">
        <v>531356040.95999998</v>
      </c>
      <c r="DE11" s="206">
        <v>34885918.789999999</v>
      </c>
      <c r="DF11" s="206">
        <v>5617790</v>
      </c>
      <c r="DG11" s="207">
        <f t="shared" si="48"/>
        <v>571859.74974999996</v>
      </c>
      <c r="DH11" s="211">
        <f t="shared" si="18"/>
        <v>531622.79911000002</v>
      </c>
      <c r="DI11" s="211">
        <f t="shared" si="19"/>
        <v>531579.54094999994</v>
      </c>
      <c r="DJ11" s="207">
        <f t="shared" si="49"/>
        <v>99.9918629975854</v>
      </c>
      <c r="DK11" s="206">
        <v>52467800</v>
      </c>
      <c r="DL11" s="207">
        <f t="shared" si="50"/>
        <v>52467.8</v>
      </c>
      <c r="DM11" s="206">
        <v>56126010.32</v>
      </c>
      <c r="DN11" s="207">
        <f t="shared" si="50"/>
        <v>56126.010320000001</v>
      </c>
      <c r="DO11" s="210">
        <v>354882.98</v>
      </c>
      <c r="DP11" s="207">
        <f t="shared" si="50"/>
        <v>354.88297999999998</v>
      </c>
      <c r="DQ11" s="210">
        <v>165451</v>
      </c>
      <c r="DR11" s="207">
        <f t="shared" si="50"/>
        <v>165.45099999999999</v>
      </c>
      <c r="DS11" s="207">
        <f t="shared" si="51"/>
        <v>-189.43197999999998</v>
      </c>
      <c r="DT11" s="207">
        <v>104640.31874</v>
      </c>
      <c r="DU11" s="207">
        <v>46895.488530000002</v>
      </c>
      <c r="DV11" s="207">
        <v>120447.02301999999</v>
      </c>
      <c r="DW11" s="207">
        <v>8359.8310399999991</v>
      </c>
      <c r="DX11" s="207">
        <f t="shared" si="52"/>
        <v>15806.704279999991</v>
      </c>
      <c r="DY11" s="207">
        <f t="shared" si="53"/>
        <v>-38535.657490000005</v>
      </c>
    </row>
    <row r="12" spans="1:129" s="207" customFormat="1" x14ac:dyDescent="0.25">
      <c r="A12" s="205" t="s">
        <v>168</v>
      </c>
      <c r="B12" s="206">
        <v>0</v>
      </c>
      <c r="C12" s="206">
        <v>772819576.30999994</v>
      </c>
      <c r="D12" s="206">
        <v>146331731.22999999</v>
      </c>
      <c r="E12" s="206">
        <v>51684238.409999996</v>
      </c>
      <c r="F12" s="207">
        <f t="shared" si="20"/>
        <v>970835.54594999994</v>
      </c>
      <c r="G12" s="206">
        <v>0</v>
      </c>
      <c r="H12" s="206">
        <v>781111098.94000006</v>
      </c>
      <c r="I12" s="206">
        <v>150412579.11000001</v>
      </c>
      <c r="J12" s="206">
        <v>52204656.18</v>
      </c>
      <c r="K12" s="207">
        <f t="shared" si="0"/>
        <v>983728.33423000004</v>
      </c>
      <c r="L12" s="206">
        <v>151012158.70999998</v>
      </c>
      <c r="M12" s="206">
        <v>0</v>
      </c>
      <c r="N12" s="206">
        <v>0</v>
      </c>
      <c r="O12" s="207">
        <f t="shared" si="21"/>
        <v>151012.15870999999</v>
      </c>
      <c r="P12" s="206">
        <v>151011108.20999998</v>
      </c>
      <c r="Q12" s="206">
        <v>0</v>
      </c>
      <c r="R12" s="206">
        <v>0</v>
      </c>
      <c r="S12" s="207">
        <f t="shared" si="22"/>
        <v>151011.10820999998</v>
      </c>
      <c r="T12" s="206">
        <v>0</v>
      </c>
      <c r="U12" s="206">
        <v>785710286.32000005</v>
      </c>
      <c r="V12" s="206">
        <v>224503392.61000001</v>
      </c>
      <c r="W12" s="206">
        <v>52305438.409999996</v>
      </c>
      <c r="X12" s="207">
        <f t="shared" si="1"/>
        <v>1062519.1173400001</v>
      </c>
      <c r="Y12" s="206">
        <v>0</v>
      </c>
      <c r="Z12" s="206">
        <v>783043483.85000002</v>
      </c>
      <c r="AA12" s="206">
        <v>221886497.41999999</v>
      </c>
      <c r="AB12" s="206">
        <v>51271910.850000001</v>
      </c>
      <c r="AC12" s="207">
        <f t="shared" si="23"/>
        <v>1056201.89212</v>
      </c>
      <c r="AD12" s="207">
        <f t="shared" si="2"/>
        <v>819823.38723999995</v>
      </c>
      <c r="AE12" s="207">
        <f t="shared" si="3"/>
        <v>832717.22602000006</v>
      </c>
      <c r="AF12" s="207">
        <f t="shared" si="24"/>
        <v>101.57275810628045</v>
      </c>
      <c r="AG12" s="208">
        <v>819823</v>
      </c>
      <c r="AH12" s="208">
        <f t="shared" si="25"/>
        <v>-0.38723999995272607</v>
      </c>
      <c r="AI12" s="208">
        <v>832717</v>
      </c>
      <c r="AJ12" s="208">
        <f t="shared" si="26"/>
        <v>-0.22602000006008893</v>
      </c>
      <c r="AK12" s="207">
        <f t="shared" si="4"/>
        <v>911506.95863000012</v>
      </c>
      <c r="AL12" s="207">
        <f t="shared" si="5"/>
        <v>905190.78391</v>
      </c>
      <c r="AM12" s="207">
        <f t="shared" si="27"/>
        <v>99.307062369606768</v>
      </c>
      <c r="AN12" s="206">
        <v>0</v>
      </c>
      <c r="AO12" s="206">
        <v>662724916.30999994</v>
      </c>
      <c r="AP12" s="206">
        <v>111765248.70999999</v>
      </c>
      <c r="AQ12" s="206">
        <v>39246910</v>
      </c>
      <c r="AR12" s="209">
        <f t="shared" si="6"/>
        <v>0</v>
      </c>
      <c r="AS12" s="207">
        <f t="shared" si="28"/>
        <v>813737.07501999999</v>
      </c>
      <c r="AT12" s="206">
        <v>0</v>
      </c>
      <c r="AU12" s="206">
        <v>662569074.80999994</v>
      </c>
      <c r="AV12" s="206">
        <v>111765248.70999999</v>
      </c>
      <c r="AW12" s="206">
        <v>39245859.5</v>
      </c>
      <c r="AX12" s="209">
        <f t="shared" si="7"/>
        <v>0</v>
      </c>
      <c r="AY12" s="207">
        <f t="shared" si="29"/>
        <v>813580.18302</v>
      </c>
      <c r="AZ12" s="207">
        <f t="shared" si="8"/>
        <v>662724.91631</v>
      </c>
      <c r="BA12" s="207">
        <f t="shared" si="9"/>
        <v>662569.07481000002</v>
      </c>
      <c r="BB12" s="207">
        <f t="shared" si="30"/>
        <v>99.976484738061799</v>
      </c>
      <c r="BC12" s="206">
        <v>0</v>
      </c>
      <c r="BD12" s="206">
        <v>110161900</v>
      </c>
      <c r="BE12" s="206">
        <v>34500000</v>
      </c>
      <c r="BF12" s="206">
        <v>12758528.41</v>
      </c>
      <c r="BG12" s="207">
        <f t="shared" si="31"/>
        <v>157420.42840999999</v>
      </c>
      <c r="BH12" s="206">
        <v>0</v>
      </c>
      <c r="BI12" s="206">
        <v>118609264.13</v>
      </c>
      <c r="BJ12" s="206">
        <v>38642080.960000001</v>
      </c>
      <c r="BK12" s="206">
        <v>13279996.68</v>
      </c>
      <c r="BL12" s="207">
        <f t="shared" si="32"/>
        <v>170531.34177</v>
      </c>
      <c r="BM12" s="210">
        <v>17499000</v>
      </c>
      <c r="BN12" s="207">
        <f t="shared" si="33"/>
        <v>17499</v>
      </c>
      <c r="BO12" s="210">
        <v>17963535.640000001</v>
      </c>
      <c r="BP12" s="207">
        <f t="shared" si="34"/>
        <v>17963.535640000002</v>
      </c>
      <c r="BQ12" s="207">
        <f t="shared" si="10"/>
        <v>102.65464106520373</v>
      </c>
      <c r="BR12" s="210">
        <v>9384000</v>
      </c>
      <c r="BS12" s="207">
        <f t="shared" si="35"/>
        <v>9384</v>
      </c>
      <c r="BT12" s="363">
        <v>9831558.4600000009</v>
      </c>
      <c r="BU12" s="207">
        <f t="shared" si="36"/>
        <v>9831.5584600000002</v>
      </c>
      <c r="BV12" s="207">
        <f t="shared" si="11"/>
        <v>104.76937830349532</v>
      </c>
      <c r="BW12" s="210">
        <v>11591558.77</v>
      </c>
      <c r="BX12" s="207">
        <f t="shared" si="37"/>
        <v>11591.55877</v>
      </c>
      <c r="BY12" s="210">
        <v>8965630.8100000005</v>
      </c>
      <c r="BZ12" s="207">
        <f t="shared" si="38"/>
        <v>8965.6308100000006</v>
      </c>
      <c r="CA12" s="210">
        <v>12578697.119999999</v>
      </c>
      <c r="CB12" s="207">
        <f t="shared" si="39"/>
        <v>12578.697119999999</v>
      </c>
      <c r="CC12" s="207">
        <f t="shared" si="12"/>
        <v>108.51601039676218</v>
      </c>
      <c r="CD12" s="207">
        <f t="shared" si="40"/>
        <v>3613.0663099999983</v>
      </c>
      <c r="CE12" s="207">
        <f t="shared" si="41"/>
        <v>40.299075286148195</v>
      </c>
      <c r="CF12" s="210">
        <v>10302249.640000001</v>
      </c>
      <c r="CG12" s="207">
        <f t="shared" si="42"/>
        <v>10302.24964</v>
      </c>
      <c r="CH12" s="210">
        <v>11723575.49</v>
      </c>
      <c r="CI12" s="207">
        <f t="shared" si="43"/>
        <v>11723.575490000001</v>
      </c>
      <c r="CJ12" s="207">
        <f t="shared" si="13"/>
        <v>113.79626683167815</v>
      </c>
      <c r="CK12" s="207">
        <v>89301.083920000005</v>
      </c>
      <c r="CL12" s="207">
        <v>74713.59964</v>
      </c>
      <c r="CM12" s="210">
        <v>16827.526030000001</v>
      </c>
      <c r="CN12" s="207">
        <f t="shared" si="44"/>
        <v>16827.526030000001</v>
      </c>
      <c r="CO12" s="210">
        <v>1984926.63</v>
      </c>
      <c r="CP12" s="207">
        <f t="shared" si="45"/>
        <v>1984.9266299999999</v>
      </c>
      <c r="CQ12" s="207">
        <f t="shared" si="14"/>
        <v>-72473.557889999996</v>
      </c>
      <c r="CR12" s="207">
        <f t="shared" si="15"/>
        <v>-72728.673009999999</v>
      </c>
      <c r="CS12" s="207">
        <f t="shared" si="16"/>
        <v>-91683.571390000172</v>
      </c>
      <c r="CT12" s="207">
        <f t="shared" si="17"/>
        <v>-72473.557889999938</v>
      </c>
      <c r="CW12" s="207">
        <f t="shared" si="46"/>
        <v>0</v>
      </c>
      <c r="CX12" s="206">
        <v>0</v>
      </c>
      <c r="CY12" s="206">
        <v>662657676.30999994</v>
      </c>
      <c r="CZ12" s="206">
        <v>111831731.23</v>
      </c>
      <c r="DA12" s="206">
        <v>38925710</v>
      </c>
      <c r="DB12" s="207">
        <f t="shared" si="47"/>
        <v>813415.11754000001</v>
      </c>
      <c r="DC12" s="206">
        <v>0</v>
      </c>
      <c r="DD12" s="206">
        <v>662501834.80999994</v>
      </c>
      <c r="DE12" s="206">
        <v>111770498.15000001</v>
      </c>
      <c r="DF12" s="206">
        <v>38924659.5</v>
      </c>
      <c r="DG12" s="207">
        <f t="shared" si="48"/>
        <v>813196.99245999986</v>
      </c>
      <c r="DH12" s="211">
        <f t="shared" si="18"/>
        <v>662402.95883000002</v>
      </c>
      <c r="DI12" s="211">
        <f t="shared" si="19"/>
        <v>662185.88424999989</v>
      </c>
      <c r="DJ12" s="207">
        <f t="shared" si="49"/>
        <v>99.967229225487827</v>
      </c>
      <c r="DK12" s="206">
        <v>91117900</v>
      </c>
      <c r="DL12" s="207">
        <f t="shared" si="50"/>
        <v>91117.9</v>
      </c>
      <c r="DM12" s="206">
        <v>100501556.59999999</v>
      </c>
      <c r="DN12" s="207">
        <f t="shared" si="50"/>
        <v>100501.5566</v>
      </c>
      <c r="DO12" s="210">
        <v>170290.84</v>
      </c>
      <c r="DP12" s="207">
        <f t="shared" si="50"/>
        <v>170.29084</v>
      </c>
      <c r="DQ12" s="210">
        <v>292568</v>
      </c>
      <c r="DR12" s="207">
        <f t="shared" si="50"/>
        <v>292.56799999999998</v>
      </c>
      <c r="DS12" s="207">
        <f t="shared" si="51"/>
        <v>122.27715999999998</v>
      </c>
      <c r="DT12" s="207">
        <v>179898.50122999999</v>
      </c>
      <c r="DU12" s="207">
        <v>20729.255960000002</v>
      </c>
      <c r="DV12" s="207">
        <v>30269.45004</v>
      </c>
      <c r="DW12" s="207">
        <v>15909.975259999999</v>
      </c>
      <c r="DX12" s="207">
        <f t="shared" si="52"/>
        <v>-149629.05119</v>
      </c>
      <c r="DY12" s="207">
        <f t="shared" si="53"/>
        <v>-4819.280700000003</v>
      </c>
    </row>
    <row r="13" spans="1:129" s="207" customFormat="1" x14ac:dyDescent="0.25">
      <c r="A13" s="205" t="s">
        <v>169</v>
      </c>
      <c r="B13" s="206">
        <v>0</v>
      </c>
      <c r="C13" s="206">
        <v>533021310.05000001</v>
      </c>
      <c r="D13" s="206">
        <v>113371854.2</v>
      </c>
      <c r="E13" s="206">
        <v>24798815.870000001</v>
      </c>
      <c r="F13" s="207">
        <f t="shared" si="20"/>
        <v>671191.98011999996</v>
      </c>
      <c r="G13" s="206">
        <v>0</v>
      </c>
      <c r="H13" s="206">
        <v>540591215.05999994</v>
      </c>
      <c r="I13" s="206">
        <v>111299255.31999999</v>
      </c>
      <c r="J13" s="206">
        <v>24278152.23</v>
      </c>
      <c r="K13" s="207">
        <f t="shared" si="0"/>
        <v>676168.62260999985</v>
      </c>
      <c r="L13" s="206">
        <v>60567572.060000002</v>
      </c>
      <c r="M13" s="206">
        <v>0</v>
      </c>
      <c r="N13" s="206">
        <v>0</v>
      </c>
      <c r="O13" s="207">
        <f t="shared" si="21"/>
        <v>60567.572060000006</v>
      </c>
      <c r="P13" s="206">
        <v>59225200.759999998</v>
      </c>
      <c r="Q13" s="206">
        <v>0</v>
      </c>
      <c r="R13" s="206">
        <v>0</v>
      </c>
      <c r="S13" s="207">
        <f t="shared" si="22"/>
        <v>59225.20076</v>
      </c>
      <c r="T13" s="206">
        <v>0</v>
      </c>
      <c r="U13" s="206">
        <v>548382295.33000004</v>
      </c>
      <c r="V13" s="206">
        <v>117745961</v>
      </c>
      <c r="W13" s="206">
        <v>25109106.859999999</v>
      </c>
      <c r="X13" s="207">
        <f t="shared" si="1"/>
        <v>691237.36319000006</v>
      </c>
      <c r="Y13" s="206">
        <v>0</v>
      </c>
      <c r="Z13" s="206">
        <v>541965743.36000001</v>
      </c>
      <c r="AA13" s="206">
        <v>110648111.01000001</v>
      </c>
      <c r="AB13" s="206">
        <v>23477504.640000001</v>
      </c>
      <c r="AC13" s="207">
        <f t="shared" si="23"/>
        <v>676091.35901000001</v>
      </c>
      <c r="AD13" s="207">
        <f t="shared" si="2"/>
        <v>610624.40805999993</v>
      </c>
      <c r="AE13" s="207">
        <f t="shared" si="3"/>
        <v>616943.42184999981</v>
      </c>
      <c r="AF13" s="207">
        <f t="shared" si="24"/>
        <v>101.03484461259514</v>
      </c>
      <c r="AG13" s="208">
        <v>610624</v>
      </c>
      <c r="AH13" s="208">
        <f t="shared" si="25"/>
        <v>-0.4080599999288097</v>
      </c>
      <c r="AI13" s="208">
        <v>616943</v>
      </c>
      <c r="AJ13" s="208">
        <f t="shared" si="26"/>
        <v>-0.42184999980963767</v>
      </c>
      <c r="AK13" s="207">
        <f t="shared" si="4"/>
        <v>630669.79113000003</v>
      </c>
      <c r="AL13" s="207">
        <f t="shared" si="5"/>
        <v>616866.15824999998</v>
      </c>
      <c r="AM13" s="207">
        <f t="shared" si="27"/>
        <v>97.811274128848396</v>
      </c>
      <c r="AN13" s="206">
        <v>0</v>
      </c>
      <c r="AO13" s="206">
        <v>415553906.57999998</v>
      </c>
      <c r="AP13" s="206">
        <v>43087256.189999998</v>
      </c>
      <c r="AQ13" s="206">
        <v>17480315.870000001</v>
      </c>
      <c r="AR13" s="209">
        <f t="shared" si="6"/>
        <v>0</v>
      </c>
      <c r="AS13" s="207">
        <f t="shared" si="28"/>
        <v>476121.47863999999</v>
      </c>
      <c r="AT13" s="206">
        <v>0</v>
      </c>
      <c r="AU13" s="206">
        <v>414280990.69</v>
      </c>
      <c r="AV13" s="206">
        <v>42885728.719999999</v>
      </c>
      <c r="AW13" s="206">
        <v>16339472.039999999</v>
      </c>
      <c r="AX13" s="209">
        <f t="shared" si="7"/>
        <v>0</v>
      </c>
      <c r="AY13" s="207">
        <f t="shared" si="29"/>
        <v>473506.19144999998</v>
      </c>
      <c r="AZ13" s="207">
        <f t="shared" si="8"/>
        <v>415553.90657999995</v>
      </c>
      <c r="BA13" s="207">
        <f t="shared" si="9"/>
        <v>414280.99069000001</v>
      </c>
      <c r="BB13" s="207">
        <f t="shared" si="30"/>
        <v>99.693682126471629</v>
      </c>
      <c r="BC13" s="206">
        <v>0</v>
      </c>
      <c r="BD13" s="206">
        <v>117959399.36</v>
      </c>
      <c r="BE13" s="206">
        <v>70104286.420000002</v>
      </c>
      <c r="BF13" s="206">
        <v>7318500</v>
      </c>
      <c r="BG13" s="207">
        <f t="shared" si="31"/>
        <v>195382.18578</v>
      </c>
      <c r="BH13" s="206">
        <v>0</v>
      </c>
      <c r="BI13" s="206">
        <v>126804056.8</v>
      </c>
      <c r="BJ13" s="206">
        <v>68213215.010000005</v>
      </c>
      <c r="BK13" s="206">
        <v>7938680.1900000004</v>
      </c>
      <c r="BL13" s="207">
        <f t="shared" si="32"/>
        <v>202955.95199999999</v>
      </c>
      <c r="BM13" s="210">
        <v>7705112</v>
      </c>
      <c r="BN13" s="207">
        <f t="shared" si="33"/>
        <v>7705.1120000000001</v>
      </c>
      <c r="BO13" s="210">
        <v>7250378.96</v>
      </c>
      <c r="BP13" s="207">
        <f t="shared" si="34"/>
        <v>7250.37896</v>
      </c>
      <c r="BQ13" s="207">
        <f t="shared" si="10"/>
        <v>94.09829422336756</v>
      </c>
      <c r="BR13" s="210">
        <v>3801194.6</v>
      </c>
      <c r="BS13" s="207">
        <f t="shared" si="35"/>
        <v>3801.1946000000003</v>
      </c>
      <c r="BT13" s="363">
        <v>3079611.13</v>
      </c>
      <c r="BU13" s="207">
        <f t="shared" si="36"/>
        <v>3079.6111299999998</v>
      </c>
      <c r="BV13" s="207">
        <f t="shared" si="11"/>
        <v>81.016928993848396</v>
      </c>
      <c r="BW13" s="210">
        <v>24777972</v>
      </c>
      <c r="BX13" s="207">
        <f t="shared" si="37"/>
        <v>24777.972000000002</v>
      </c>
      <c r="BY13" s="210">
        <v>20876533.16</v>
      </c>
      <c r="BZ13" s="207">
        <f t="shared" si="38"/>
        <v>20876.533159999999</v>
      </c>
      <c r="CA13" s="210">
        <v>19898823.789999999</v>
      </c>
      <c r="CB13" s="207">
        <f t="shared" si="39"/>
        <v>19898.823789999999</v>
      </c>
      <c r="CC13" s="207">
        <f t="shared" si="12"/>
        <v>80.308524805823481</v>
      </c>
      <c r="CD13" s="207">
        <f t="shared" si="40"/>
        <v>-977.70937000000049</v>
      </c>
      <c r="CE13" s="207">
        <f t="shared" si="41"/>
        <v>-4.6832937370718213</v>
      </c>
      <c r="CF13" s="210">
        <v>27758428.129999999</v>
      </c>
      <c r="CG13" s="207">
        <f t="shared" si="42"/>
        <v>27758.42813</v>
      </c>
      <c r="CH13" s="210">
        <v>25791738.73</v>
      </c>
      <c r="CI13" s="207">
        <f t="shared" si="43"/>
        <v>25791.738730000001</v>
      </c>
      <c r="CJ13" s="207">
        <f t="shared" si="13"/>
        <v>92.914982826875232</v>
      </c>
      <c r="CK13" s="207">
        <v>9012.1987899999986</v>
      </c>
      <c r="CL13" s="207">
        <v>508.50269000000003</v>
      </c>
      <c r="CM13" s="210">
        <v>20817.462390000001</v>
      </c>
      <c r="CN13" s="207">
        <f t="shared" si="44"/>
        <v>20817.462390000001</v>
      </c>
      <c r="CO13" s="210">
        <v>630232.59</v>
      </c>
      <c r="CP13" s="207">
        <f t="shared" si="45"/>
        <v>630.23258999999996</v>
      </c>
      <c r="CQ13" s="207">
        <f t="shared" si="14"/>
        <v>11805.263600000002</v>
      </c>
      <c r="CR13" s="207">
        <f t="shared" si="15"/>
        <v>121.72989999999993</v>
      </c>
      <c r="CS13" s="207">
        <f t="shared" si="16"/>
        <v>-20045.383070000098</v>
      </c>
      <c r="CT13" s="207">
        <f t="shared" si="17"/>
        <v>77.263599999831058</v>
      </c>
      <c r="CU13" s="207">
        <v>35614.9</v>
      </c>
      <c r="CV13" s="207">
        <v>47342.9</v>
      </c>
      <c r="CW13" s="207">
        <f t="shared" si="46"/>
        <v>11728</v>
      </c>
      <c r="CX13" s="206">
        <v>0</v>
      </c>
      <c r="CY13" s="206">
        <v>415061910.69</v>
      </c>
      <c r="CZ13" s="206">
        <v>43267567.780000001</v>
      </c>
      <c r="DA13" s="206">
        <v>17480315.870000001</v>
      </c>
      <c r="DB13" s="207">
        <f t="shared" si="47"/>
        <v>475809.79434000002</v>
      </c>
      <c r="DC13" s="206">
        <v>0</v>
      </c>
      <c r="DD13" s="206">
        <v>413787158.25999999</v>
      </c>
      <c r="DE13" s="206">
        <v>43086040.310000002</v>
      </c>
      <c r="DF13" s="206">
        <v>16339472.039999999</v>
      </c>
      <c r="DG13" s="207">
        <f t="shared" si="48"/>
        <v>473212.67061000003</v>
      </c>
      <c r="DH13" s="211">
        <f t="shared" si="18"/>
        <v>415242.22227999999</v>
      </c>
      <c r="DI13" s="211">
        <f t="shared" si="19"/>
        <v>413987.46985000005</v>
      </c>
      <c r="DJ13" s="207">
        <f t="shared" si="49"/>
        <v>99.697826385980122</v>
      </c>
      <c r="DK13" s="206">
        <v>109772168.17</v>
      </c>
      <c r="DL13" s="207">
        <f t="shared" si="50"/>
        <v>109772.16817</v>
      </c>
      <c r="DM13" s="206">
        <v>125019312.73999999</v>
      </c>
      <c r="DN13" s="207">
        <f t="shared" si="50"/>
        <v>125019.31273999999</v>
      </c>
      <c r="DO13" s="210">
        <v>279528.68</v>
      </c>
      <c r="DP13" s="207">
        <f t="shared" si="50"/>
        <v>279.52868000000001</v>
      </c>
      <c r="DQ13" s="210">
        <v>406705.57</v>
      </c>
      <c r="DR13" s="207">
        <f t="shared" si="50"/>
        <v>406.70557000000002</v>
      </c>
      <c r="DS13" s="207">
        <f t="shared" si="51"/>
        <v>127.17689000000001</v>
      </c>
      <c r="DT13" s="207">
        <v>73280.976599999995</v>
      </c>
      <c r="DU13" s="207">
        <v>58097.597540000002</v>
      </c>
      <c r="DV13" s="207">
        <v>56594.036139999997</v>
      </c>
      <c r="DW13" s="207">
        <v>33649.094400000002</v>
      </c>
      <c r="DX13" s="207">
        <f t="shared" si="52"/>
        <v>-16686.940459999998</v>
      </c>
      <c r="DY13" s="207">
        <f t="shared" si="53"/>
        <v>-24448.503140000001</v>
      </c>
    </row>
    <row r="14" spans="1:129" s="207" customFormat="1" x14ac:dyDescent="0.25">
      <c r="A14" s="205" t="s">
        <v>170</v>
      </c>
      <c r="B14" s="206">
        <v>0</v>
      </c>
      <c r="C14" s="206">
        <v>664468420.46000004</v>
      </c>
      <c r="D14" s="206">
        <v>0</v>
      </c>
      <c r="E14" s="206">
        <v>46246611.439999998</v>
      </c>
      <c r="F14" s="207">
        <f t="shared" si="20"/>
        <v>710715.03190000006</v>
      </c>
      <c r="G14" s="206">
        <v>0</v>
      </c>
      <c r="H14" s="206">
        <v>662742357.88999999</v>
      </c>
      <c r="I14" s="206">
        <v>0</v>
      </c>
      <c r="J14" s="206">
        <v>45087388.670000002</v>
      </c>
      <c r="K14" s="207">
        <f t="shared" si="0"/>
        <v>707829.74656</v>
      </c>
      <c r="L14" s="206">
        <v>28940371.969999999</v>
      </c>
      <c r="M14" s="206">
        <v>0</v>
      </c>
      <c r="N14" s="206">
        <v>350000</v>
      </c>
      <c r="O14" s="207">
        <f t="shared" si="21"/>
        <v>29290.37197</v>
      </c>
      <c r="P14" s="206">
        <v>28913014.25</v>
      </c>
      <c r="Q14" s="206">
        <v>0</v>
      </c>
      <c r="R14" s="206">
        <v>350000</v>
      </c>
      <c r="S14" s="207">
        <f t="shared" si="22"/>
        <v>29263.01425</v>
      </c>
      <c r="T14" s="206">
        <v>0</v>
      </c>
      <c r="U14" s="206">
        <v>671152521.12</v>
      </c>
      <c r="V14" s="206">
        <v>0</v>
      </c>
      <c r="W14" s="206">
        <v>47531627.390000001</v>
      </c>
      <c r="X14" s="207">
        <f t="shared" si="1"/>
        <v>718684.14850999997</v>
      </c>
      <c r="Y14" s="206">
        <v>0</v>
      </c>
      <c r="Z14" s="206">
        <v>661726424.75</v>
      </c>
      <c r="AA14" s="206">
        <v>0</v>
      </c>
      <c r="AB14" s="206">
        <v>45824487.159999996</v>
      </c>
      <c r="AC14" s="207">
        <f t="shared" si="23"/>
        <v>707550.91191000002</v>
      </c>
      <c r="AD14" s="207">
        <f t="shared" si="2"/>
        <v>681424.65993000008</v>
      </c>
      <c r="AE14" s="207">
        <f t="shared" si="3"/>
        <v>678566.73230999999</v>
      </c>
      <c r="AF14" s="207">
        <f t="shared" si="24"/>
        <v>99.580595216455237</v>
      </c>
      <c r="AG14" s="208">
        <v>681425</v>
      </c>
      <c r="AH14" s="208">
        <f t="shared" si="25"/>
        <v>0.34006999991834164</v>
      </c>
      <c r="AI14" s="208">
        <v>678567</v>
      </c>
      <c r="AJ14" s="208">
        <f t="shared" si="26"/>
        <v>0.26769000000786036</v>
      </c>
      <c r="AK14" s="207">
        <f t="shared" si="4"/>
        <v>689393.77653999999</v>
      </c>
      <c r="AL14" s="207">
        <f t="shared" si="5"/>
        <v>678287.89766000002</v>
      </c>
      <c r="AM14" s="207">
        <f t="shared" si="27"/>
        <v>98.389036968720646</v>
      </c>
      <c r="AN14" s="206">
        <v>0</v>
      </c>
      <c r="AO14" s="206">
        <v>586228128.25999999</v>
      </c>
      <c r="AP14" s="206">
        <v>0</v>
      </c>
      <c r="AQ14" s="206">
        <v>28940371.969999999</v>
      </c>
      <c r="AR14" s="209">
        <f t="shared" si="6"/>
        <v>0</v>
      </c>
      <c r="AS14" s="207">
        <f t="shared" si="28"/>
        <v>615168.50023000001</v>
      </c>
      <c r="AT14" s="206">
        <v>0</v>
      </c>
      <c r="AU14" s="206">
        <v>585324635.13</v>
      </c>
      <c r="AV14" s="206">
        <v>0</v>
      </c>
      <c r="AW14" s="206">
        <v>28913014.25</v>
      </c>
      <c r="AX14" s="209">
        <f t="shared" si="7"/>
        <v>0</v>
      </c>
      <c r="AY14" s="207">
        <f t="shared" si="29"/>
        <v>614237.64937999996</v>
      </c>
      <c r="AZ14" s="207">
        <f t="shared" si="8"/>
        <v>585878.12826000003</v>
      </c>
      <c r="BA14" s="207">
        <f t="shared" si="9"/>
        <v>584974.63512999995</v>
      </c>
      <c r="BB14" s="207">
        <f t="shared" si="30"/>
        <v>99.845788213210255</v>
      </c>
      <c r="BC14" s="206">
        <v>0</v>
      </c>
      <c r="BD14" s="206">
        <v>75674892.200000003</v>
      </c>
      <c r="BE14" s="206">
        <v>0</v>
      </c>
      <c r="BF14" s="206">
        <v>17192739.469999999</v>
      </c>
      <c r="BG14" s="207">
        <f t="shared" si="31"/>
        <v>92867.631670000002</v>
      </c>
      <c r="BH14" s="206">
        <v>0</v>
      </c>
      <c r="BI14" s="206">
        <v>74852322.760000005</v>
      </c>
      <c r="BJ14" s="206">
        <v>0</v>
      </c>
      <c r="BK14" s="206">
        <v>16060874.42</v>
      </c>
      <c r="BL14" s="207">
        <f t="shared" si="32"/>
        <v>90913.197180000003</v>
      </c>
      <c r="BM14" s="210">
        <v>10628000</v>
      </c>
      <c r="BN14" s="207">
        <f t="shared" si="33"/>
        <v>10628</v>
      </c>
      <c r="BO14" s="210">
        <v>10645870.15</v>
      </c>
      <c r="BP14" s="207">
        <f t="shared" si="34"/>
        <v>10645.870150000001</v>
      </c>
      <c r="BQ14" s="207">
        <f t="shared" si="10"/>
        <v>100.16814217162214</v>
      </c>
      <c r="BR14" s="210">
        <v>1792000</v>
      </c>
      <c r="BS14" s="207">
        <f t="shared" si="35"/>
        <v>1792</v>
      </c>
      <c r="BT14" s="363">
        <v>913638.05</v>
      </c>
      <c r="BU14" s="207">
        <f t="shared" si="36"/>
        <v>913.63805000000002</v>
      </c>
      <c r="BV14" s="207">
        <f t="shared" si="11"/>
        <v>50.984266183035707</v>
      </c>
      <c r="BW14" s="210">
        <v>9746204.1300000008</v>
      </c>
      <c r="BX14" s="207">
        <f t="shared" si="37"/>
        <v>9746.2041300000001</v>
      </c>
      <c r="BY14" s="210">
        <v>8717885.8399999999</v>
      </c>
      <c r="BZ14" s="207">
        <f t="shared" si="38"/>
        <v>8717.885839999999</v>
      </c>
      <c r="CA14" s="210">
        <v>9036550.7300000004</v>
      </c>
      <c r="CB14" s="207">
        <f t="shared" si="39"/>
        <v>9036.5507300000008</v>
      </c>
      <c r="CC14" s="207">
        <f t="shared" si="12"/>
        <v>92.718668821889338</v>
      </c>
      <c r="CD14" s="207">
        <f t="shared" si="40"/>
        <v>318.66489000000183</v>
      </c>
      <c r="CE14" s="207">
        <f t="shared" si="41"/>
        <v>3.6553001019797904</v>
      </c>
      <c r="CF14" s="210">
        <v>8204142.0599999996</v>
      </c>
      <c r="CG14" s="207">
        <f t="shared" si="42"/>
        <v>8204.1420600000001</v>
      </c>
      <c r="CH14" s="210">
        <v>7929037.3099999996</v>
      </c>
      <c r="CI14" s="207">
        <f t="shared" si="43"/>
        <v>7929.0373099999997</v>
      </c>
      <c r="CJ14" s="207">
        <f t="shared" si="13"/>
        <v>96.64675784514634</v>
      </c>
      <c r="CK14" s="207">
        <v>13311.204039999999</v>
      </c>
      <c r="CL14" s="207">
        <v>248.49199999999999</v>
      </c>
      <c r="CM14" s="210">
        <v>13590.038689999999</v>
      </c>
      <c r="CN14" s="207">
        <f t="shared" si="44"/>
        <v>13590.038689999999</v>
      </c>
      <c r="CO14" s="210">
        <v>494468.68</v>
      </c>
      <c r="CP14" s="207">
        <f t="shared" si="45"/>
        <v>494.46868000000001</v>
      </c>
      <c r="CQ14" s="207">
        <f t="shared" si="14"/>
        <v>278.83465000000069</v>
      </c>
      <c r="CR14" s="207">
        <f t="shared" si="15"/>
        <v>245.97668000000002</v>
      </c>
      <c r="CS14" s="207">
        <f t="shared" si="16"/>
        <v>-7969.11660999991</v>
      </c>
      <c r="CT14" s="207">
        <f t="shared" si="17"/>
        <v>278.83464999997523</v>
      </c>
      <c r="CU14" s="207">
        <v>0</v>
      </c>
      <c r="CW14" s="207">
        <f t="shared" si="46"/>
        <v>0</v>
      </c>
      <c r="CX14" s="206">
        <v>0</v>
      </c>
      <c r="CY14" s="206">
        <v>588793528.25999999</v>
      </c>
      <c r="CZ14" s="206">
        <v>0</v>
      </c>
      <c r="DA14" s="206">
        <v>29053871.969999999</v>
      </c>
      <c r="DB14" s="207">
        <f t="shared" si="47"/>
        <v>617847.40023000003</v>
      </c>
      <c r="DC14" s="206">
        <v>0</v>
      </c>
      <c r="DD14" s="206">
        <v>587890035.13</v>
      </c>
      <c r="DE14" s="206">
        <v>0</v>
      </c>
      <c r="DF14" s="206">
        <v>29026514.25</v>
      </c>
      <c r="DG14" s="207">
        <f t="shared" si="48"/>
        <v>616916.54937999998</v>
      </c>
      <c r="DH14" s="211">
        <f t="shared" si="18"/>
        <v>588557.02826000005</v>
      </c>
      <c r="DI14" s="211">
        <f t="shared" si="19"/>
        <v>587653.53512999997</v>
      </c>
      <c r="DJ14" s="207">
        <f t="shared" si="49"/>
        <v>99.846490129822911</v>
      </c>
      <c r="DK14" s="206">
        <v>44097485.210000001</v>
      </c>
      <c r="DL14" s="207">
        <f t="shared" si="50"/>
        <v>44097.485209999999</v>
      </c>
      <c r="DM14" s="206">
        <v>44826267.200000003</v>
      </c>
      <c r="DN14" s="207">
        <f t="shared" si="50"/>
        <v>44826.267200000002</v>
      </c>
      <c r="DO14" s="210">
        <v>62246.080000000002</v>
      </c>
      <c r="DP14" s="207">
        <f t="shared" si="50"/>
        <v>62.246079999999999</v>
      </c>
      <c r="DQ14" s="210">
        <v>44948.08</v>
      </c>
      <c r="DR14" s="207">
        <f t="shared" si="50"/>
        <v>44.948080000000004</v>
      </c>
      <c r="DS14" s="207">
        <f t="shared" si="51"/>
        <v>-17.297999999999995</v>
      </c>
      <c r="DT14" s="207">
        <v>16576.221529999999</v>
      </c>
      <c r="DU14" s="207">
        <v>2428.0206000000003</v>
      </c>
      <c r="DV14" s="207">
        <v>13738.57223</v>
      </c>
      <c r="DW14" s="207">
        <v>5567.6757600000001</v>
      </c>
      <c r="DX14" s="207">
        <f t="shared" si="52"/>
        <v>-2837.6492999999991</v>
      </c>
      <c r="DY14" s="207">
        <f t="shared" si="53"/>
        <v>3139.6551599999998</v>
      </c>
    </row>
    <row r="15" spans="1:129" s="207" customFormat="1" x14ac:dyDescent="0.25">
      <c r="A15" s="205" t="s">
        <v>171</v>
      </c>
      <c r="B15" s="206">
        <v>0</v>
      </c>
      <c r="C15" s="206">
        <v>493762494.57999998</v>
      </c>
      <c r="D15" s="206">
        <v>33245256.870000001</v>
      </c>
      <c r="E15" s="206">
        <v>15457095.310000001</v>
      </c>
      <c r="F15" s="207">
        <f t="shared" si="20"/>
        <v>542464.84675999999</v>
      </c>
      <c r="G15" s="206">
        <v>0</v>
      </c>
      <c r="H15" s="206">
        <v>496991861.92000002</v>
      </c>
      <c r="I15" s="206">
        <v>36625896.990000002</v>
      </c>
      <c r="J15" s="206">
        <v>14841758.470000001</v>
      </c>
      <c r="K15" s="207">
        <f t="shared" si="0"/>
        <v>548459.51737999998</v>
      </c>
      <c r="L15" s="206">
        <v>16337597</v>
      </c>
      <c r="M15" s="206">
        <v>27178</v>
      </c>
      <c r="N15" s="206">
        <v>850000</v>
      </c>
      <c r="O15" s="207">
        <f t="shared" si="21"/>
        <v>17214.775000000001</v>
      </c>
      <c r="P15" s="206">
        <v>16058747.66</v>
      </c>
      <c r="Q15" s="206">
        <v>27178</v>
      </c>
      <c r="R15" s="206">
        <v>850000</v>
      </c>
      <c r="S15" s="207">
        <f t="shared" si="22"/>
        <v>16935.925660000001</v>
      </c>
      <c r="T15" s="206">
        <v>0</v>
      </c>
      <c r="U15" s="206">
        <v>514313730.30000001</v>
      </c>
      <c r="V15" s="206">
        <v>37107477.729999997</v>
      </c>
      <c r="W15" s="206">
        <v>15717189.02</v>
      </c>
      <c r="X15" s="207">
        <f t="shared" si="1"/>
        <v>567138.39704999991</v>
      </c>
      <c r="Y15" s="206">
        <v>0</v>
      </c>
      <c r="Z15" s="206">
        <v>509527459.30000001</v>
      </c>
      <c r="AA15" s="206">
        <v>34115423.920000002</v>
      </c>
      <c r="AB15" s="206">
        <v>14792683.279999999</v>
      </c>
      <c r="AC15" s="207">
        <f t="shared" si="23"/>
        <v>558435.56649999996</v>
      </c>
      <c r="AD15" s="207">
        <f t="shared" si="2"/>
        <v>525250.07175999996</v>
      </c>
      <c r="AE15" s="207">
        <f t="shared" si="3"/>
        <v>531523.59172000003</v>
      </c>
      <c r="AF15" s="207">
        <f t="shared" si="24"/>
        <v>101.19438726376158</v>
      </c>
      <c r="AG15" s="208">
        <v>525250</v>
      </c>
      <c r="AH15" s="208">
        <f t="shared" si="25"/>
        <v>-7.175999996252358E-2</v>
      </c>
      <c r="AI15" s="208">
        <v>531524</v>
      </c>
      <c r="AJ15" s="208">
        <f t="shared" si="26"/>
        <v>0.40827999997418374</v>
      </c>
      <c r="AK15" s="207">
        <f t="shared" si="4"/>
        <v>549923.62204999989</v>
      </c>
      <c r="AL15" s="207">
        <f t="shared" si="5"/>
        <v>541499.64084000001</v>
      </c>
      <c r="AM15" s="207">
        <f t="shared" si="27"/>
        <v>98.46815432685051</v>
      </c>
      <c r="AN15" s="206">
        <v>0</v>
      </c>
      <c r="AO15" s="206">
        <v>397470842.72000003</v>
      </c>
      <c r="AP15" s="206">
        <v>8790325</v>
      </c>
      <c r="AQ15" s="206">
        <v>7547272</v>
      </c>
      <c r="AR15" s="209">
        <f t="shared" si="6"/>
        <v>0</v>
      </c>
      <c r="AS15" s="207">
        <f t="shared" si="28"/>
        <v>413808.43972000002</v>
      </c>
      <c r="AT15" s="206">
        <v>0</v>
      </c>
      <c r="AU15" s="206">
        <v>397162284.81</v>
      </c>
      <c r="AV15" s="206">
        <v>8690325</v>
      </c>
      <c r="AW15" s="206">
        <v>7368422.6600000001</v>
      </c>
      <c r="AX15" s="209">
        <f t="shared" si="7"/>
        <v>0</v>
      </c>
      <c r="AY15" s="207">
        <f t="shared" si="29"/>
        <v>413221.03247000003</v>
      </c>
      <c r="AZ15" s="207">
        <f t="shared" si="8"/>
        <v>396593.66472</v>
      </c>
      <c r="BA15" s="207">
        <f t="shared" si="9"/>
        <v>396285.10681000003</v>
      </c>
      <c r="BB15" s="207">
        <f t="shared" si="30"/>
        <v>99.92219797302667</v>
      </c>
      <c r="BC15" s="206">
        <v>0</v>
      </c>
      <c r="BD15" s="206">
        <v>96219037.519999996</v>
      </c>
      <c r="BE15" s="206">
        <v>24227373.420000002</v>
      </c>
      <c r="BF15" s="206">
        <v>7808076.3799999999</v>
      </c>
      <c r="BG15" s="207">
        <f t="shared" si="31"/>
        <v>128254.48731999999</v>
      </c>
      <c r="BH15" s="206">
        <v>0</v>
      </c>
      <c r="BI15" s="206">
        <v>99790992.769999996</v>
      </c>
      <c r="BJ15" s="206">
        <v>27708013.539999999</v>
      </c>
      <c r="BK15" s="206">
        <v>7371588.8799999999</v>
      </c>
      <c r="BL15" s="207">
        <f t="shared" si="32"/>
        <v>134870.59518999999</v>
      </c>
      <c r="BM15" s="210">
        <v>9375900</v>
      </c>
      <c r="BN15" s="207">
        <f t="shared" si="33"/>
        <v>9375.9</v>
      </c>
      <c r="BO15" s="210">
        <v>9474847.8599999994</v>
      </c>
      <c r="BP15" s="207">
        <f t="shared" si="34"/>
        <v>9474.8478599999999</v>
      </c>
      <c r="BQ15" s="207">
        <f t="shared" si="10"/>
        <v>101.05534252711739</v>
      </c>
      <c r="BR15" s="210">
        <v>1163300</v>
      </c>
      <c r="BS15" s="207">
        <f t="shared" si="35"/>
        <v>1163.3</v>
      </c>
      <c r="BT15" s="363">
        <v>1304557.25</v>
      </c>
      <c r="BU15" s="207">
        <f t="shared" si="36"/>
        <v>1304.5572500000001</v>
      </c>
      <c r="BV15" s="207">
        <f t="shared" si="11"/>
        <v>112.14280495143129</v>
      </c>
      <c r="BW15" s="210">
        <v>9479000</v>
      </c>
      <c r="BX15" s="207">
        <f t="shared" si="37"/>
        <v>9479</v>
      </c>
      <c r="BY15" s="210">
        <v>8091178.9400000004</v>
      </c>
      <c r="BZ15" s="207">
        <f t="shared" si="38"/>
        <v>8091.1789400000007</v>
      </c>
      <c r="CA15" s="210">
        <v>9052648.3699999992</v>
      </c>
      <c r="CB15" s="207">
        <f t="shared" si="39"/>
        <v>9052.648369999999</v>
      </c>
      <c r="CC15" s="207">
        <f t="shared" si="12"/>
        <v>95.502145479480944</v>
      </c>
      <c r="CD15" s="207">
        <f t="shared" si="40"/>
        <v>961.46942999999828</v>
      </c>
      <c r="CE15" s="207">
        <f t="shared" si="41"/>
        <v>11.882933712500474</v>
      </c>
      <c r="CF15" s="210">
        <v>11082100</v>
      </c>
      <c r="CG15" s="207">
        <f t="shared" si="42"/>
        <v>11082.1</v>
      </c>
      <c r="CH15" s="210">
        <v>13838667.59</v>
      </c>
      <c r="CI15" s="207">
        <f t="shared" si="43"/>
        <v>13838.667589999999</v>
      </c>
      <c r="CJ15" s="207">
        <f t="shared" si="13"/>
        <v>124.87405446621128</v>
      </c>
      <c r="CK15" s="207">
        <v>16135.272720000001</v>
      </c>
      <c r="CL15" s="207">
        <v>548.24193000000002</v>
      </c>
      <c r="CM15" s="210">
        <v>8159.2236000000003</v>
      </c>
      <c r="CN15" s="207">
        <f t="shared" si="44"/>
        <v>8159.2236000000003</v>
      </c>
      <c r="CO15" s="210">
        <v>100000</v>
      </c>
      <c r="CP15" s="207">
        <f t="shared" si="45"/>
        <v>100</v>
      </c>
      <c r="CQ15" s="207">
        <f t="shared" si="14"/>
        <v>-7976.0491200000006</v>
      </c>
      <c r="CR15" s="207">
        <f t="shared" si="15"/>
        <v>-448.24193000000002</v>
      </c>
      <c r="CS15" s="207">
        <f t="shared" si="16"/>
        <v>-24673.550289999926</v>
      </c>
      <c r="CT15" s="207">
        <f t="shared" si="17"/>
        <v>-9976.0491199999815</v>
      </c>
      <c r="CU15" s="207">
        <v>16144.1</v>
      </c>
      <c r="CV15" s="207">
        <v>18144.099999999999</v>
      </c>
      <c r="CW15" s="207">
        <f t="shared" si="46"/>
        <v>1999.9999999999982</v>
      </c>
      <c r="CX15" s="206">
        <v>0</v>
      </c>
      <c r="CY15" s="206">
        <v>397543457.06</v>
      </c>
      <c r="CZ15" s="206">
        <v>9017883.4499999993</v>
      </c>
      <c r="DA15" s="206">
        <v>7649018.9299999997</v>
      </c>
      <c r="DB15" s="207">
        <f t="shared" si="47"/>
        <v>414210.35943999997</v>
      </c>
      <c r="DC15" s="206">
        <v>0</v>
      </c>
      <c r="DD15" s="206">
        <v>397200869.14999998</v>
      </c>
      <c r="DE15" s="206">
        <v>8917883.4499999993</v>
      </c>
      <c r="DF15" s="206">
        <v>7470169.5899999999</v>
      </c>
      <c r="DG15" s="207">
        <f t="shared" si="48"/>
        <v>413588.92218999995</v>
      </c>
      <c r="DH15" s="211">
        <f t="shared" si="18"/>
        <v>396995.58443999995</v>
      </c>
      <c r="DI15" s="211">
        <f t="shared" si="19"/>
        <v>396652.99652999995</v>
      </c>
      <c r="DJ15" s="207">
        <f t="shared" si="49"/>
        <v>99.91370485631893</v>
      </c>
      <c r="DK15" s="206">
        <v>86601006.700000003</v>
      </c>
      <c r="DL15" s="207">
        <f t="shared" si="50"/>
        <v>86601.006699999998</v>
      </c>
      <c r="DM15" s="206">
        <v>90415725.079999998</v>
      </c>
      <c r="DN15" s="207">
        <f t="shared" si="50"/>
        <v>90415.725080000004</v>
      </c>
      <c r="DO15" s="210">
        <v>33691.99</v>
      </c>
      <c r="DP15" s="207">
        <f t="shared" si="50"/>
        <v>33.691989999999997</v>
      </c>
      <c r="DQ15" s="210">
        <v>23531</v>
      </c>
      <c r="DR15" s="207">
        <f t="shared" si="50"/>
        <v>23.530999999999999</v>
      </c>
      <c r="DS15" s="207">
        <f t="shared" si="51"/>
        <v>-10.160989999999998</v>
      </c>
      <c r="DT15" s="207">
        <v>8886.3400500000007</v>
      </c>
      <c r="DU15" s="207">
        <v>106.10716000000001</v>
      </c>
      <c r="DV15" s="207">
        <v>25046.990040000001</v>
      </c>
      <c r="DW15" s="207">
        <v>19028.30759</v>
      </c>
      <c r="DX15" s="207">
        <f t="shared" si="52"/>
        <v>16160.64999</v>
      </c>
      <c r="DY15" s="207">
        <f t="shared" si="53"/>
        <v>18922.200430000001</v>
      </c>
    </row>
    <row r="16" spans="1:129" s="207" customFormat="1" x14ac:dyDescent="0.25">
      <c r="A16" s="205" t="s">
        <v>172</v>
      </c>
      <c r="B16" s="206">
        <v>0</v>
      </c>
      <c r="C16" s="206">
        <v>370952916.62</v>
      </c>
      <c r="D16" s="206">
        <v>0</v>
      </c>
      <c r="E16" s="206">
        <v>40531077.359999999</v>
      </c>
      <c r="F16" s="207">
        <f t="shared" si="20"/>
        <v>411483.99398000003</v>
      </c>
      <c r="G16" s="206">
        <v>0</v>
      </c>
      <c r="H16" s="206">
        <v>369962422.81</v>
      </c>
      <c r="I16" s="206">
        <v>0</v>
      </c>
      <c r="J16" s="206">
        <v>39884368.960000001</v>
      </c>
      <c r="K16" s="207">
        <f t="shared" si="0"/>
        <v>409846.79176999995</v>
      </c>
      <c r="L16" s="206">
        <v>33770100</v>
      </c>
      <c r="M16" s="206">
        <v>0</v>
      </c>
      <c r="N16" s="206">
        <v>3051000</v>
      </c>
      <c r="O16" s="207">
        <f t="shared" si="21"/>
        <v>36821.1</v>
      </c>
      <c r="P16" s="206">
        <v>32536404.809999999</v>
      </c>
      <c r="Q16" s="206">
        <v>0</v>
      </c>
      <c r="R16" s="206">
        <v>3051000</v>
      </c>
      <c r="S16" s="207">
        <f t="shared" si="22"/>
        <v>35587.40481</v>
      </c>
      <c r="T16" s="206">
        <v>0</v>
      </c>
      <c r="U16" s="206">
        <v>375424294.57999998</v>
      </c>
      <c r="V16" s="206">
        <v>0</v>
      </c>
      <c r="W16" s="206">
        <v>41566856.840000004</v>
      </c>
      <c r="X16" s="207">
        <f t="shared" si="1"/>
        <v>416991.15141999995</v>
      </c>
      <c r="Y16" s="206">
        <v>0</v>
      </c>
      <c r="Z16" s="206">
        <v>370390601.69999999</v>
      </c>
      <c r="AA16" s="206">
        <v>0</v>
      </c>
      <c r="AB16" s="206">
        <v>39346366.829999998</v>
      </c>
      <c r="AC16" s="207">
        <f t="shared" si="23"/>
        <v>409736.96852999995</v>
      </c>
      <c r="AD16" s="207">
        <f t="shared" si="2"/>
        <v>374662.89398000005</v>
      </c>
      <c r="AE16" s="207">
        <f t="shared" si="3"/>
        <v>374259.38695999997</v>
      </c>
      <c r="AF16" s="207">
        <f t="shared" si="24"/>
        <v>99.892301312330758</v>
      </c>
      <c r="AG16" s="208">
        <v>374663</v>
      </c>
      <c r="AH16" s="208">
        <f t="shared" si="25"/>
        <v>0.10601999994833022</v>
      </c>
      <c r="AI16" s="208">
        <v>374259</v>
      </c>
      <c r="AJ16" s="208">
        <f t="shared" si="26"/>
        <v>-0.38695999997435138</v>
      </c>
      <c r="AK16" s="207">
        <f t="shared" si="4"/>
        <v>380170.05141999997</v>
      </c>
      <c r="AL16" s="207">
        <f t="shared" si="5"/>
        <v>374149.56371999998</v>
      </c>
      <c r="AM16" s="207">
        <f t="shared" si="27"/>
        <v>98.416369812005854</v>
      </c>
      <c r="AN16" s="206">
        <v>0</v>
      </c>
      <c r="AO16" s="206">
        <v>324490706.23000002</v>
      </c>
      <c r="AP16" s="206">
        <v>0</v>
      </c>
      <c r="AQ16" s="206">
        <v>33770100</v>
      </c>
      <c r="AR16" s="209">
        <f t="shared" si="6"/>
        <v>0</v>
      </c>
      <c r="AS16" s="207">
        <f t="shared" si="28"/>
        <v>358260.80623000005</v>
      </c>
      <c r="AT16" s="206">
        <v>0</v>
      </c>
      <c r="AU16" s="206">
        <v>323817115.37</v>
      </c>
      <c r="AV16" s="206">
        <v>0</v>
      </c>
      <c r="AW16" s="206">
        <v>32536404.809999999</v>
      </c>
      <c r="AX16" s="209">
        <f t="shared" si="7"/>
        <v>0</v>
      </c>
      <c r="AY16" s="207">
        <f t="shared" si="29"/>
        <v>356353.52017999999</v>
      </c>
      <c r="AZ16" s="207">
        <f t="shared" si="8"/>
        <v>321439.70623000007</v>
      </c>
      <c r="BA16" s="207">
        <f t="shared" si="9"/>
        <v>320766.11537000001</v>
      </c>
      <c r="BB16" s="207">
        <f t="shared" si="30"/>
        <v>99.790445658409709</v>
      </c>
      <c r="BC16" s="206">
        <v>0</v>
      </c>
      <c r="BD16" s="206">
        <v>46462000</v>
      </c>
      <c r="BE16" s="206">
        <v>0</v>
      </c>
      <c r="BF16" s="206">
        <v>6798900</v>
      </c>
      <c r="BG16" s="207">
        <f t="shared" si="31"/>
        <v>53260.9</v>
      </c>
      <c r="BH16" s="206">
        <v>0</v>
      </c>
      <c r="BI16" s="206">
        <v>46145097.049999997</v>
      </c>
      <c r="BJ16" s="206">
        <v>0</v>
      </c>
      <c r="BK16" s="206">
        <v>7385886.79</v>
      </c>
      <c r="BL16" s="207">
        <f t="shared" si="32"/>
        <v>53530.983839999994</v>
      </c>
      <c r="BM16" s="210">
        <v>3331500</v>
      </c>
      <c r="BN16" s="207">
        <f t="shared" si="33"/>
        <v>3331.5</v>
      </c>
      <c r="BO16" s="210">
        <v>3134465.31</v>
      </c>
      <c r="BP16" s="207">
        <f t="shared" si="34"/>
        <v>3134.46531</v>
      </c>
      <c r="BQ16" s="207">
        <f t="shared" si="10"/>
        <v>94.085706438541209</v>
      </c>
      <c r="BR16" s="210">
        <v>693000</v>
      </c>
      <c r="BS16" s="207">
        <f t="shared" si="35"/>
        <v>693</v>
      </c>
      <c r="BT16" s="363">
        <v>714197.63</v>
      </c>
      <c r="BU16" s="207">
        <f t="shared" si="36"/>
        <v>714.19763</v>
      </c>
      <c r="BV16" s="207">
        <f t="shared" si="11"/>
        <v>103.05882106782107</v>
      </c>
      <c r="BW16" s="210">
        <v>1007700</v>
      </c>
      <c r="BX16" s="207">
        <f t="shared" si="37"/>
        <v>1007.7</v>
      </c>
      <c r="BY16" s="210">
        <v>557370.68999999994</v>
      </c>
      <c r="BZ16" s="207">
        <f t="shared" si="38"/>
        <v>557.37068999999997</v>
      </c>
      <c r="CA16" s="210">
        <v>1219688.1100000001</v>
      </c>
      <c r="CB16" s="207">
        <f t="shared" si="39"/>
        <v>1219.6881100000001</v>
      </c>
      <c r="CC16" s="207">
        <f t="shared" si="12"/>
        <v>121.03682742879826</v>
      </c>
      <c r="CD16" s="207">
        <f t="shared" si="40"/>
        <v>662.31742000000008</v>
      </c>
      <c r="CE16" s="207">
        <f t="shared" si="41"/>
        <v>118.82889285046548</v>
      </c>
      <c r="CF16" s="210">
        <v>10757000</v>
      </c>
      <c r="CG16" s="207">
        <f t="shared" si="42"/>
        <v>10757</v>
      </c>
      <c r="CH16" s="210">
        <v>12656370.529999999</v>
      </c>
      <c r="CI16" s="207">
        <f t="shared" si="43"/>
        <v>12656.37053</v>
      </c>
      <c r="CJ16" s="207">
        <f t="shared" si="13"/>
        <v>117.65706544575626</v>
      </c>
      <c r="CK16" s="207">
        <v>1507.15744</v>
      </c>
      <c r="CL16" s="207">
        <v>37.712249999999997</v>
      </c>
      <c r="CM16" s="210">
        <v>5616.9806799999997</v>
      </c>
      <c r="CN16" s="207">
        <f t="shared" si="44"/>
        <v>5616.9806799999997</v>
      </c>
      <c r="CO16" s="210">
        <v>1223812.8</v>
      </c>
      <c r="CP16" s="207">
        <f t="shared" si="45"/>
        <v>1223.8128000000002</v>
      </c>
      <c r="CQ16" s="207">
        <f t="shared" si="14"/>
        <v>4109.8232399999997</v>
      </c>
      <c r="CR16" s="207">
        <f t="shared" si="15"/>
        <v>1186.1005500000001</v>
      </c>
      <c r="CS16" s="207">
        <f t="shared" si="16"/>
        <v>-5507.1574399999226</v>
      </c>
      <c r="CT16" s="207">
        <f t="shared" si="17"/>
        <v>109.8232399999979</v>
      </c>
      <c r="CU16" s="207">
        <v>4300</v>
      </c>
      <c r="CV16" s="207">
        <v>8300</v>
      </c>
      <c r="CW16" s="207">
        <f t="shared" si="46"/>
        <v>4000</v>
      </c>
      <c r="CX16" s="206">
        <v>0</v>
      </c>
      <c r="CY16" s="206">
        <v>324490916.62</v>
      </c>
      <c r="CZ16" s="206">
        <v>0</v>
      </c>
      <c r="DA16" s="206">
        <v>33732177.359999999</v>
      </c>
      <c r="DB16" s="207">
        <f t="shared" si="47"/>
        <v>358223.09398000001</v>
      </c>
      <c r="DC16" s="206">
        <v>0</v>
      </c>
      <c r="DD16" s="206">
        <v>323817325.75999999</v>
      </c>
      <c r="DE16" s="206">
        <v>0</v>
      </c>
      <c r="DF16" s="206">
        <v>32498482.170000002</v>
      </c>
      <c r="DG16" s="207">
        <f t="shared" si="48"/>
        <v>356315.80793000001</v>
      </c>
      <c r="DH16" s="211">
        <f t="shared" si="18"/>
        <v>321401.99398000003</v>
      </c>
      <c r="DI16" s="211">
        <f t="shared" si="19"/>
        <v>320728.40312000003</v>
      </c>
      <c r="DJ16" s="207">
        <f t="shared" si="49"/>
        <v>99.79042106999438</v>
      </c>
      <c r="DK16" s="206">
        <v>31485600</v>
      </c>
      <c r="DL16" s="207">
        <f t="shared" si="50"/>
        <v>31485.599999999999</v>
      </c>
      <c r="DM16" s="206">
        <v>29625842.890000001</v>
      </c>
      <c r="DN16" s="207">
        <f t="shared" si="50"/>
        <v>29625.84289</v>
      </c>
      <c r="DO16" s="210">
        <v>0</v>
      </c>
      <c r="DP16" s="207">
        <f t="shared" si="50"/>
        <v>0</v>
      </c>
      <c r="DQ16" s="210">
        <v>0</v>
      </c>
      <c r="DR16" s="207">
        <f t="shared" si="50"/>
        <v>0</v>
      </c>
      <c r="DS16" s="207">
        <f t="shared" si="51"/>
        <v>0</v>
      </c>
      <c r="DT16" s="207">
        <v>9290.5306199999995</v>
      </c>
      <c r="DU16" s="207">
        <v>4370.4796399999996</v>
      </c>
      <c r="DV16" s="207">
        <v>6362.7908500000003</v>
      </c>
      <c r="DW16" s="207">
        <v>1901.8915300000001</v>
      </c>
      <c r="DX16" s="207">
        <f t="shared" si="52"/>
        <v>-2927.7397699999992</v>
      </c>
      <c r="DY16" s="207">
        <f t="shared" si="53"/>
        <v>-2468.5881099999997</v>
      </c>
    </row>
    <row r="17" spans="1:129" s="207" customFormat="1" x14ac:dyDescent="0.25">
      <c r="A17" s="205" t="s">
        <v>173</v>
      </c>
      <c r="B17" s="206">
        <v>0</v>
      </c>
      <c r="C17" s="206">
        <v>513064898.54000002</v>
      </c>
      <c r="D17" s="206">
        <v>40545040.299999997</v>
      </c>
      <c r="E17" s="206">
        <v>49638050.939999998</v>
      </c>
      <c r="F17" s="207">
        <f t="shared" si="20"/>
        <v>603247.98977999995</v>
      </c>
      <c r="G17" s="206">
        <v>0</v>
      </c>
      <c r="H17" s="206">
        <v>492785777.17000002</v>
      </c>
      <c r="I17" s="206">
        <v>40255000.859999999</v>
      </c>
      <c r="J17" s="206">
        <v>49737132.049999997</v>
      </c>
      <c r="K17" s="207">
        <f t="shared" si="0"/>
        <v>582777.91008000006</v>
      </c>
      <c r="L17" s="206">
        <v>55365670.18</v>
      </c>
      <c r="M17" s="206">
        <v>134465</v>
      </c>
      <c r="N17" s="206">
        <v>5662000</v>
      </c>
      <c r="O17" s="207">
        <f t="shared" si="21"/>
        <v>61162.135179999997</v>
      </c>
      <c r="P17" s="206">
        <v>53626514.519999996</v>
      </c>
      <c r="Q17" s="206">
        <v>134465</v>
      </c>
      <c r="R17" s="206">
        <v>5625000</v>
      </c>
      <c r="S17" s="207">
        <f t="shared" si="22"/>
        <v>59385.979519999993</v>
      </c>
      <c r="T17" s="206">
        <v>0</v>
      </c>
      <c r="U17" s="206">
        <v>522116961.94999999</v>
      </c>
      <c r="V17" s="206">
        <v>41098211.380000003</v>
      </c>
      <c r="W17" s="206">
        <v>54254232.030000001</v>
      </c>
      <c r="X17" s="207">
        <f t="shared" si="1"/>
        <v>617469.40535999998</v>
      </c>
      <c r="Y17" s="206">
        <v>0</v>
      </c>
      <c r="Z17" s="206">
        <v>514456841.44999999</v>
      </c>
      <c r="AA17" s="206">
        <v>39933838.439999998</v>
      </c>
      <c r="AB17" s="206">
        <v>50940548.030000001</v>
      </c>
      <c r="AC17" s="207">
        <f t="shared" si="23"/>
        <v>605331.22791999998</v>
      </c>
      <c r="AD17" s="207">
        <f t="shared" si="2"/>
        <v>542085.85459999996</v>
      </c>
      <c r="AE17" s="207">
        <f t="shared" si="3"/>
        <v>523391.93056000007</v>
      </c>
      <c r="AF17" s="207">
        <f t="shared" si="24"/>
        <v>96.551482780565465</v>
      </c>
      <c r="AG17" s="208">
        <v>542086</v>
      </c>
      <c r="AH17" s="208">
        <f t="shared" si="25"/>
        <v>0.14540000003762543</v>
      </c>
      <c r="AI17" s="208">
        <v>523392</v>
      </c>
      <c r="AJ17" s="208">
        <f t="shared" si="26"/>
        <v>6.9439999933820218E-2</v>
      </c>
      <c r="AK17" s="207">
        <f t="shared" si="4"/>
        <v>556307.27017999999</v>
      </c>
      <c r="AL17" s="207">
        <f t="shared" si="5"/>
        <v>545945.24839999992</v>
      </c>
      <c r="AM17" s="207">
        <f t="shared" si="27"/>
        <v>98.137356397185442</v>
      </c>
      <c r="AN17" s="206">
        <v>0</v>
      </c>
      <c r="AO17" s="206">
        <v>350955849.08999997</v>
      </c>
      <c r="AP17" s="206">
        <v>19676467.84</v>
      </c>
      <c r="AQ17" s="206">
        <v>35689202.340000004</v>
      </c>
      <c r="AR17" s="209">
        <f t="shared" si="6"/>
        <v>0</v>
      </c>
      <c r="AS17" s="207">
        <f t="shared" si="28"/>
        <v>406321.51926999999</v>
      </c>
      <c r="AT17" s="206">
        <v>0</v>
      </c>
      <c r="AU17" s="206">
        <v>350554571.67000002</v>
      </c>
      <c r="AV17" s="206">
        <v>19246566.18</v>
      </c>
      <c r="AW17" s="206">
        <v>34379948.340000004</v>
      </c>
      <c r="AX17" s="209">
        <f t="shared" si="7"/>
        <v>0</v>
      </c>
      <c r="AY17" s="207">
        <f t="shared" si="29"/>
        <v>404181.08619000006</v>
      </c>
      <c r="AZ17" s="207">
        <f t="shared" si="8"/>
        <v>345159.38409000001</v>
      </c>
      <c r="BA17" s="207">
        <f t="shared" si="9"/>
        <v>344795.10667000007</v>
      </c>
      <c r="BB17" s="207">
        <f t="shared" si="30"/>
        <v>99.894461099193251</v>
      </c>
      <c r="BC17" s="206">
        <v>0</v>
      </c>
      <c r="BD17" s="206">
        <v>161049169</v>
      </c>
      <c r="BE17" s="206">
        <v>20795091</v>
      </c>
      <c r="BF17" s="206">
        <v>13729249.16</v>
      </c>
      <c r="BG17" s="207">
        <f t="shared" si="31"/>
        <v>195573.50915999999</v>
      </c>
      <c r="BH17" s="206">
        <v>0</v>
      </c>
      <c r="BI17" s="206">
        <v>141171325.05000001</v>
      </c>
      <c r="BJ17" s="206">
        <v>20934953.219999999</v>
      </c>
      <c r="BK17" s="206">
        <v>15137584.27</v>
      </c>
      <c r="BL17" s="207">
        <f t="shared" si="32"/>
        <v>177243.86254000003</v>
      </c>
      <c r="BM17" s="210">
        <v>31597074</v>
      </c>
      <c r="BN17" s="207">
        <f t="shared" si="33"/>
        <v>31597.074000000001</v>
      </c>
      <c r="BO17" s="210">
        <v>34802497.5</v>
      </c>
      <c r="BP17" s="207">
        <f t="shared" si="34"/>
        <v>34802.497499999998</v>
      </c>
      <c r="BQ17" s="207">
        <f t="shared" si="10"/>
        <v>110.14468459959299</v>
      </c>
      <c r="BR17" s="210">
        <v>729147.27</v>
      </c>
      <c r="BS17" s="207">
        <f t="shared" si="35"/>
        <v>729.14727000000005</v>
      </c>
      <c r="BT17" s="363">
        <v>799499.4</v>
      </c>
      <c r="BU17" s="207">
        <f t="shared" si="36"/>
        <v>799.49940000000004</v>
      </c>
      <c r="BV17" s="207">
        <f t="shared" si="11"/>
        <v>109.64854877671009</v>
      </c>
      <c r="BW17" s="210">
        <v>3120492.73</v>
      </c>
      <c r="BX17" s="207">
        <f t="shared" si="37"/>
        <v>3120.4927299999999</v>
      </c>
      <c r="BY17" s="210">
        <v>3362617.54</v>
      </c>
      <c r="BZ17" s="207">
        <f t="shared" si="38"/>
        <v>3362.6175400000002</v>
      </c>
      <c r="CA17" s="210">
        <v>3489980.15</v>
      </c>
      <c r="CB17" s="207">
        <f t="shared" si="39"/>
        <v>3489.9801499999999</v>
      </c>
      <c r="CC17" s="207">
        <f t="shared" si="12"/>
        <v>111.84067555895251</v>
      </c>
      <c r="CD17" s="207">
        <f t="shared" si="40"/>
        <v>127.36260999999968</v>
      </c>
      <c r="CE17" s="207">
        <f t="shared" si="41"/>
        <v>3.7876032134180662</v>
      </c>
      <c r="CF17" s="210">
        <v>16706837.6</v>
      </c>
      <c r="CG17" s="207">
        <f t="shared" si="42"/>
        <v>16706.837599999999</v>
      </c>
      <c r="CH17" s="210">
        <v>15852272.74</v>
      </c>
      <c r="CI17" s="207">
        <f t="shared" si="43"/>
        <v>15852.27274</v>
      </c>
      <c r="CJ17" s="207">
        <f t="shared" si="13"/>
        <v>94.884939445392106</v>
      </c>
      <c r="CK17" s="207">
        <v>17356.646530000002</v>
      </c>
      <c r="CL17" s="207">
        <v>1640.88933</v>
      </c>
      <c r="CM17" s="210">
        <v>9303.3286900000003</v>
      </c>
      <c r="CN17" s="207">
        <f t="shared" si="44"/>
        <v>9303.3286900000003</v>
      </c>
      <c r="CO17" s="210">
        <v>617025.21</v>
      </c>
      <c r="CP17" s="207">
        <f t="shared" si="45"/>
        <v>617.02521000000002</v>
      </c>
      <c r="CQ17" s="207">
        <f t="shared" si="14"/>
        <v>-8053.3178400000015</v>
      </c>
      <c r="CR17" s="207">
        <f t="shared" si="15"/>
        <v>-1023.86412</v>
      </c>
      <c r="CS17" s="207">
        <f t="shared" si="16"/>
        <v>-14221.41558000003</v>
      </c>
      <c r="CT17" s="207">
        <f t="shared" si="17"/>
        <v>-22553.317839999858</v>
      </c>
      <c r="CU17" s="207">
        <v>7000</v>
      </c>
      <c r="CV17" s="207">
        <v>21500</v>
      </c>
      <c r="CW17" s="207">
        <f t="shared" si="46"/>
        <v>14500</v>
      </c>
      <c r="CX17" s="206">
        <v>0</v>
      </c>
      <c r="CY17" s="206">
        <v>352015729.54000002</v>
      </c>
      <c r="CZ17" s="206">
        <v>19749949.300000001</v>
      </c>
      <c r="DA17" s="206">
        <v>35908801.780000001</v>
      </c>
      <c r="DB17" s="207">
        <f t="shared" si="47"/>
        <v>407674.48061999999</v>
      </c>
      <c r="DC17" s="206">
        <v>0</v>
      </c>
      <c r="DD17" s="206">
        <v>351614452.12</v>
      </c>
      <c r="DE17" s="206">
        <v>19320047.640000001</v>
      </c>
      <c r="DF17" s="206">
        <v>34599547.780000001</v>
      </c>
      <c r="DG17" s="207">
        <f t="shared" si="48"/>
        <v>405534.04753999994</v>
      </c>
      <c r="DH17" s="211">
        <f t="shared" si="18"/>
        <v>346512.34544</v>
      </c>
      <c r="DI17" s="211">
        <f t="shared" si="19"/>
        <v>346148.06801999995</v>
      </c>
      <c r="DJ17" s="207">
        <f t="shared" si="49"/>
        <v>99.894873177018411</v>
      </c>
      <c r="DK17" s="206">
        <v>104940600</v>
      </c>
      <c r="DL17" s="207">
        <f t="shared" si="50"/>
        <v>104940.6</v>
      </c>
      <c r="DM17" s="206">
        <v>104404224.39</v>
      </c>
      <c r="DN17" s="207">
        <f t="shared" si="50"/>
        <v>104404.22439</v>
      </c>
      <c r="DO17" s="210">
        <v>16785545.91</v>
      </c>
      <c r="DP17" s="207">
        <f t="shared" si="50"/>
        <v>16785.545910000001</v>
      </c>
      <c r="DQ17" s="210">
        <v>28854611.420000002</v>
      </c>
      <c r="DR17" s="207">
        <f t="shared" si="50"/>
        <v>28854.611420000001</v>
      </c>
      <c r="DS17" s="207">
        <f t="shared" si="51"/>
        <v>12069.06551</v>
      </c>
      <c r="DT17" s="207">
        <v>19359.411029999999</v>
      </c>
      <c r="DU17" s="207">
        <v>8421.4002300000011</v>
      </c>
      <c r="DV17" s="207">
        <v>21673.73717</v>
      </c>
      <c r="DW17" s="207">
        <v>11800.47523</v>
      </c>
      <c r="DX17" s="207">
        <f t="shared" si="52"/>
        <v>2314.326140000001</v>
      </c>
      <c r="DY17" s="207">
        <f t="shared" si="53"/>
        <v>3379.0749999999989</v>
      </c>
    </row>
    <row r="18" spans="1:129" s="207" customFormat="1" x14ac:dyDescent="0.25">
      <c r="A18" s="205" t="s">
        <v>174</v>
      </c>
      <c r="B18" s="206">
        <v>0</v>
      </c>
      <c r="C18" s="206">
        <v>682193269.61000001</v>
      </c>
      <c r="D18" s="206">
        <v>96212549.099999994</v>
      </c>
      <c r="E18" s="206">
        <v>20057307</v>
      </c>
      <c r="F18" s="207">
        <f t="shared" si="20"/>
        <v>798463.12571000005</v>
      </c>
      <c r="G18" s="206">
        <v>0</v>
      </c>
      <c r="H18" s="206">
        <v>683441481.80999994</v>
      </c>
      <c r="I18" s="206">
        <v>94341113.620000005</v>
      </c>
      <c r="J18" s="206">
        <v>20791568.629999999</v>
      </c>
      <c r="K18" s="207">
        <f t="shared" si="0"/>
        <v>798574.16405999998</v>
      </c>
      <c r="L18" s="206">
        <v>31933369</v>
      </c>
      <c r="M18" s="206">
        <v>37265488.329999998</v>
      </c>
      <c r="N18" s="206">
        <v>118600</v>
      </c>
      <c r="O18" s="207">
        <f t="shared" si="21"/>
        <v>69317.457330000005</v>
      </c>
      <c r="P18" s="206">
        <v>31862589</v>
      </c>
      <c r="Q18" s="206">
        <v>37263412.850000001</v>
      </c>
      <c r="R18" s="206">
        <v>118600</v>
      </c>
      <c r="S18" s="207">
        <f t="shared" si="22"/>
        <v>69244.601849999992</v>
      </c>
      <c r="T18" s="206">
        <v>0</v>
      </c>
      <c r="U18" s="206">
        <v>702275685.75</v>
      </c>
      <c r="V18" s="206">
        <v>104598831.79000001</v>
      </c>
      <c r="W18" s="206">
        <v>20601402.18</v>
      </c>
      <c r="X18" s="207">
        <f t="shared" si="1"/>
        <v>827475.91971999989</v>
      </c>
      <c r="Y18" s="206">
        <v>0</v>
      </c>
      <c r="Z18" s="206">
        <v>695015487.94000006</v>
      </c>
      <c r="AA18" s="206">
        <v>101621998.33</v>
      </c>
      <c r="AB18" s="206">
        <v>20053842.140000001</v>
      </c>
      <c r="AC18" s="207">
        <f t="shared" si="23"/>
        <v>816691.32841000007</v>
      </c>
      <c r="AD18" s="207">
        <f t="shared" si="2"/>
        <v>729145.66838000005</v>
      </c>
      <c r="AE18" s="207">
        <f t="shared" si="3"/>
        <v>729329.56221</v>
      </c>
      <c r="AF18" s="207">
        <f t="shared" si="24"/>
        <v>100.02522045154689</v>
      </c>
      <c r="AG18" s="208">
        <v>729146</v>
      </c>
      <c r="AH18" s="208">
        <f t="shared" si="25"/>
        <v>0.33161999995354563</v>
      </c>
      <c r="AI18" s="208">
        <v>729330</v>
      </c>
      <c r="AJ18" s="208">
        <f t="shared" si="26"/>
        <v>0.43778999999631196</v>
      </c>
      <c r="AK18" s="207">
        <f t="shared" si="4"/>
        <v>758158.46238999988</v>
      </c>
      <c r="AL18" s="207">
        <f t="shared" si="5"/>
        <v>747446.7265600001</v>
      </c>
      <c r="AM18" s="207">
        <f t="shared" si="27"/>
        <v>98.587137602311742</v>
      </c>
      <c r="AN18" s="206">
        <v>0</v>
      </c>
      <c r="AO18" s="206">
        <v>514515851.70999998</v>
      </c>
      <c r="AP18" s="206">
        <v>17099069</v>
      </c>
      <c r="AQ18" s="206">
        <v>14834300</v>
      </c>
      <c r="AR18" s="209">
        <f t="shared" si="6"/>
        <v>0</v>
      </c>
      <c r="AS18" s="207">
        <f t="shared" si="28"/>
        <v>546449.22071000002</v>
      </c>
      <c r="AT18" s="206">
        <v>0</v>
      </c>
      <c r="AU18" s="206">
        <v>512635967.69999999</v>
      </c>
      <c r="AV18" s="206">
        <v>17028289</v>
      </c>
      <c r="AW18" s="206">
        <v>14834300</v>
      </c>
      <c r="AX18" s="209">
        <f t="shared" si="7"/>
        <v>0</v>
      </c>
      <c r="AY18" s="207">
        <f t="shared" si="29"/>
        <v>544498.55670000007</v>
      </c>
      <c r="AZ18" s="207">
        <f t="shared" si="8"/>
        <v>477131.76338000002</v>
      </c>
      <c r="BA18" s="207">
        <f t="shared" si="9"/>
        <v>475253.9548500001</v>
      </c>
      <c r="BB18" s="207">
        <f t="shared" si="30"/>
        <v>99.606438163601283</v>
      </c>
      <c r="BC18" s="206">
        <v>0</v>
      </c>
      <c r="BD18" s="206">
        <v>167396000</v>
      </c>
      <c r="BE18" s="206">
        <v>78727800</v>
      </c>
      <c r="BF18" s="206">
        <v>5223007</v>
      </c>
      <c r="BG18" s="207">
        <f t="shared" si="31"/>
        <v>251346.807</v>
      </c>
      <c r="BH18" s="206">
        <v>0</v>
      </c>
      <c r="BI18" s="206">
        <v>170071600.09</v>
      </c>
      <c r="BJ18" s="206">
        <v>76927144.519999996</v>
      </c>
      <c r="BK18" s="206">
        <v>5957268.6299999999</v>
      </c>
      <c r="BL18" s="207">
        <f t="shared" si="32"/>
        <v>252956.01324</v>
      </c>
      <c r="BM18" s="210">
        <v>31044000</v>
      </c>
      <c r="BN18" s="207">
        <f t="shared" si="33"/>
        <v>31044</v>
      </c>
      <c r="BO18" s="210">
        <v>30532372.09</v>
      </c>
      <c r="BP18" s="207">
        <f t="shared" si="34"/>
        <v>30532.372090000001</v>
      </c>
      <c r="BQ18" s="207">
        <f t="shared" si="10"/>
        <v>98.351926588068551</v>
      </c>
      <c r="BR18" s="210">
        <v>3270000</v>
      </c>
      <c r="BS18" s="207">
        <f t="shared" si="35"/>
        <v>3270</v>
      </c>
      <c r="BT18" s="363">
        <v>4933400.08</v>
      </c>
      <c r="BU18" s="207">
        <f t="shared" si="36"/>
        <v>4933.4000800000003</v>
      </c>
      <c r="BV18" s="207">
        <f t="shared" si="11"/>
        <v>150.86850397553516</v>
      </c>
      <c r="BW18" s="210">
        <v>18823000</v>
      </c>
      <c r="BX18" s="207">
        <f t="shared" si="37"/>
        <v>18823</v>
      </c>
      <c r="BY18" s="210">
        <v>18063761</v>
      </c>
      <c r="BZ18" s="207">
        <f t="shared" si="38"/>
        <v>18063.760999999999</v>
      </c>
      <c r="CA18" s="210">
        <v>20241890.449999999</v>
      </c>
      <c r="CB18" s="207">
        <f t="shared" si="39"/>
        <v>20241.890449999999</v>
      </c>
      <c r="CC18" s="207">
        <f t="shared" si="12"/>
        <v>107.5380675237741</v>
      </c>
      <c r="CD18" s="207">
        <f t="shared" si="40"/>
        <v>2178.1294500000004</v>
      </c>
      <c r="CE18" s="207">
        <f t="shared" si="41"/>
        <v>12.058006358697952</v>
      </c>
      <c r="CF18" s="210">
        <v>34171407</v>
      </c>
      <c r="CG18" s="207">
        <f t="shared" si="42"/>
        <v>34171.406999999999</v>
      </c>
      <c r="CH18" s="210">
        <v>27436479.039999999</v>
      </c>
      <c r="CI18" s="207">
        <f t="shared" si="43"/>
        <v>27436.479039999998</v>
      </c>
      <c r="CJ18" s="207">
        <f t="shared" si="13"/>
        <v>80.290750216986964</v>
      </c>
      <c r="CK18" s="207">
        <v>7912.3301799999999</v>
      </c>
      <c r="CL18" s="207">
        <v>3374.5380399999999</v>
      </c>
      <c r="CM18" s="210">
        <v>5995.1658299999999</v>
      </c>
      <c r="CN18" s="207">
        <f t="shared" si="44"/>
        <v>5995.1658299999999</v>
      </c>
      <c r="CO18" s="210">
        <v>349543.97</v>
      </c>
      <c r="CP18" s="207">
        <f t="shared" si="45"/>
        <v>349.54396999999994</v>
      </c>
      <c r="CQ18" s="207">
        <f t="shared" si="14"/>
        <v>-1917.16435</v>
      </c>
      <c r="CR18" s="207">
        <f t="shared" si="15"/>
        <v>-3024.9940699999997</v>
      </c>
      <c r="CS18" s="207">
        <f t="shared" si="16"/>
        <v>-29012.794009999838</v>
      </c>
      <c r="CT18" s="207">
        <f t="shared" si="17"/>
        <v>-18117.164350000094</v>
      </c>
      <c r="CU18" s="207">
        <v>103500</v>
      </c>
      <c r="CV18" s="207">
        <v>119700</v>
      </c>
      <c r="CW18" s="207">
        <f t="shared" si="46"/>
        <v>16200</v>
      </c>
      <c r="CX18" s="206">
        <v>0</v>
      </c>
      <c r="CY18" s="206">
        <v>514797269.61000001</v>
      </c>
      <c r="CZ18" s="206">
        <v>17484749.100000001</v>
      </c>
      <c r="DA18" s="206">
        <v>14834300</v>
      </c>
      <c r="DB18" s="207">
        <f t="shared" si="47"/>
        <v>547116.31871000002</v>
      </c>
      <c r="DC18" s="206">
        <v>0</v>
      </c>
      <c r="DD18" s="206">
        <v>513369881.72000003</v>
      </c>
      <c r="DE18" s="206">
        <v>17413969.100000001</v>
      </c>
      <c r="DF18" s="206">
        <v>14834300</v>
      </c>
      <c r="DG18" s="207">
        <f t="shared" si="48"/>
        <v>545618.1508200001</v>
      </c>
      <c r="DH18" s="211">
        <f t="shared" si="18"/>
        <v>477798.86138000002</v>
      </c>
      <c r="DI18" s="211">
        <f t="shared" si="19"/>
        <v>476373.54897000012</v>
      </c>
      <c r="DJ18" s="207">
        <f t="shared" si="49"/>
        <v>99.701691961784249</v>
      </c>
      <c r="DK18" s="206">
        <v>148978000</v>
      </c>
      <c r="DL18" s="207">
        <f t="shared" si="50"/>
        <v>148978</v>
      </c>
      <c r="DM18" s="206">
        <v>154296388.97</v>
      </c>
      <c r="DN18" s="207">
        <f t="shared" si="50"/>
        <v>154296.38897</v>
      </c>
      <c r="DO18" s="210">
        <v>137575</v>
      </c>
      <c r="DP18" s="207">
        <f t="shared" si="50"/>
        <v>137.57499999999999</v>
      </c>
      <c r="DQ18" s="210">
        <v>61360</v>
      </c>
      <c r="DR18" s="207">
        <f t="shared" si="50"/>
        <v>61.36</v>
      </c>
      <c r="DS18" s="207">
        <f t="shared" si="51"/>
        <v>-76.214999999999989</v>
      </c>
      <c r="DT18" s="207">
        <v>29495.688020000001</v>
      </c>
      <c r="DU18" s="207">
        <v>14181.029930000001</v>
      </c>
      <c r="DV18" s="207">
        <v>17722.747039999998</v>
      </c>
      <c r="DW18" s="207">
        <v>8471.2423299999991</v>
      </c>
      <c r="DX18" s="207">
        <f t="shared" si="52"/>
        <v>-11772.940980000003</v>
      </c>
      <c r="DY18" s="207">
        <f t="shared" si="53"/>
        <v>-5709.7876000000015</v>
      </c>
    </row>
    <row r="19" spans="1:129" s="207" customFormat="1" x14ac:dyDescent="0.25">
      <c r="A19" s="205" t="s">
        <v>175</v>
      </c>
      <c r="B19" s="206">
        <v>0</v>
      </c>
      <c r="C19" s="206">
        <v>783797778.95000005</v>
      </c>
      <c r="D19" s="206">
        <v>158604980.86000001</v>
      </c>
      <c r="E19" s="206">
        <v>42734205.579999998</v>
      </c>
      <c r="F19" s="207">
        <f t="shared" si="20"/>
        <v>985136.96539000014</v>
      </c>
      <c r="G19" s="206">
        <v>0</v>
      </c>
      <c r="H19" s="206">
        <v>781929290.89999998</v>
      </c>
      <c r="I19" s="206">
        <v>156863142.61000001</v>
      </c>
      <c r="J19" s="206">
        <v>42661793.399999999</v>
      </c>
      <c r="K19" s="207">
        <f t="shared" si="0"/>
        <v>981454.22690999997</v>
      </c>
      <c r="L19" s="206">
        <v>122945501.72999999</v>
      </c>
      <c r="M19" s="206">
        <v>0</v>
      </c>
      <c r="N19" s="206">
        <v>15536710.130000001</v>
      </c>
      <c r="O19" s="207">
        <f t="shared" si="21"/>
        <v>138482.21185999998</v>
      </c>
      <c r="P19" s="206">
        <v>122740899.96999998</v>
      </c>
      <c r="Q19" s="206">
        <v>0</v>
      </c>
      <c r="R19" s="206">
        <v>15536710.130000001</v>
      </c>
      <c r="S19" s="207">
        <f t="shared" si="22"/>
        <v>138277.61009999999</v>
      </c>
      <c r="T19" s="206">
        <v>0</v>
      </c>
      <c r="U19" s="206">
        <v>797223667.22000003</v>
      </c>
      <c r="V19" s="206">
        <v>176773605.5</v>
      </c>
      <c r="W19" s="206">
        <v>43754003.609999999</v>
      </c>
      <c r="X19" s="207">
        <f t="shared" si="1"/>
        <v>1017751.27633</v>
      </c>
      <c r="Y19" s="206">
        <v>0</v>
      </c>
      <c r="Z19" s="206">
        <v>794677315.64999998</v>
      </c>
      <c r="AA19" s="206">
        <v>153391642.00999999</v>
      </c>
      <c r="AB19" s="206">
        <v>42453849.82</v>
      </c>
      <c r="AC19" s="207">
        <f t="shared" si="23"/>
        <v>990522.80748000008</v>
      </c>
      <c r="AD19" s="207">
        <f t="shared" si="2"/>
        <v>846654.7535300001</v>
      </c>
      <c r="AE19" s="207">
        <f t="shared" si="3"/>
        <v>843176.61681000004</v>
      </c>
      <c r="AF19" s="207">
        <f t="shared" si="24"/>
        <v>99.589190670046037</v>
      </c>
      <c r="AG19" s="208">
        <v>846655</v>
      </c>
      <c r="AH19" s="208">
        <f t="shared" si="25"/>
        <v>0.24646999989636242</v>
      </c>
      <c r="AI19" s="208">
        <v>843177</v>
      </c>
      <c r="AJ19" s="208">
        <f t="shared" si="26"/>
        <v>0.3831899999640882</v>
      </c>
      <c r="AK19" s="207">
        <f t="shared" si="4"/>
        <v>879269.0644700001</v>
      </c>
      <c r="AL19" s="207">
        <f t="shared" si="5"/>
        <v>852245.19738000003</v>
      </c>
      <c r="AM19" s="207">
        <f t="shared" si="27"/>
        <v>96.926553181273448</v>
      </c>
      <c r="AN19" s="206">
        <v>0</v>
      </c>
      <c r="AO19" s="206">
        <v>614850173.47000003</v>
      </c>
      <c r="AP19" s="206">
        <v>87358322.370000005</v>
      </c>
      <c r="AQ19" s="206">
        <v>35587179.359999999</v>
      </c>
      <c r="AR19" s="209">
        <f t="shared" si="6"/>
        <v>0</v>
      </c>
      <c r="AS19" s="207">
        <f t="shared" si="28"/>
        <v>737795.67520000006</v>
      </c>
      <c r="AT19" s="206">
        <v>0</v>
      </c>
      <c r="AU19" s="206">
        <v>614212104.64999998</v>
      </c>
      <c r="AV19" s="206">
        <v>87153720.609999999</v>
      </c>
      <c r="AW19" s="206">
        <v>35587179.359999999</v>
      </c>
      <c r="AX19" s="209">
        <f t="shared" si="7"/>
        <v>0</v>
      </c>
      <c r="AY19" s="207">
        <f t="shared" si="29"/>
        <v>736953.00462000002</v>
      </c>
      <c r="AZ19" s="207">
        <f t="shared" si="8"/>
        <v>599313.46334000002</v>
      </c>
      <c r="BA19" s="207">
        <f t="shared" si="9"/>
        <v>598675.39452000009</v>
      </c>
      <c r="BB19" s="207">
        <f t="shared" si="30"/>
        <v>99.893533374597666</v>
      </c>
      <c r="BC19" s="206">
        <v>0</v>
      </c>
      <c r="BD19" s="206">
        <v>168944215.36000001</v>
      </c>
      <c r="BE19" s="206">
        <v>70649798.950000003</v>
      </c>
      <c r="BF19" s="206">
        <v>7314870.46</v>
      </c>
      <c r="BG19" s="207">
        <f t="shared" si="31"/>
        <v>246908.88477</v>
      </c>
      <c r="BH19" s="206">
        <v>0</v>
      </c>
      <c r="BI19" s="206">
        <v>167713796.13</v>
      </c>
      <c r="BJ19" s="206">
        <v>69112562.459999993</v>
      </c>
      <c r="BK19" s="206">
        <v>7242458.2800000003</v>
      </c>
      <c r="BL19" s="207">
        <f t="shared" si="32"/>
        <v>244068.81686999998</v>
      </c>
      <c r="BM19" s="210">
        <v>27442174.719999999</v>
      </c>
      <c r="BN19" s="207">
        <f t="shared" si="33"/>
        <v>27442.174719999999</v>
      </c>
      <c r="BO19" s="210">
        <v>25360205.870000001</v>
      </c>
      <c r="BP19" s="207">
        <f t="shared" si="34"/>
        <v>25360.205870000002</v>
      </c>
      <c r="BQ19" s="207">
        <f t="shared" si="10"/>
        <v>92.41325124104452</v>
      </c>
      <c r="BR19" s="210">
        <v>19088039.77</v>
      </c>
      <c r="BS19" s="207">
        <f t="shared" si="35"/>
        <v>19088.039769999999</v>
      </c>
      <c r="BT19" s="363">
        <v>19992019.989999998</v>
      </c>
      <c r="BU19" s="207">
        <f t="shared" si="36"/>
        <v>19992.019989999997</v>
      </c>
      <c r="BV19" s="207">
        <f t="shared" si="11"/>
        <v>104.73584627280979</v>
      </c>
      <c r="BW19" s="210">
        <v>13821989.07</v>
      </c>
      <c r="BX19" s="207">
        <f t="shared" si="37"/>
        <v>13821.98907</v>
      </c>
      <c r="BY19" s="210">
        <v>13352491.77</v>
      </c>
      <c r="BZ19" s="207">
        <f t="shared" si="38"/>
        <v>13352.491769999999</v>
      </c>
      <c r="CA19" s="210">
        <v>14535297.300000001</v>
      </c>
      <c r="CB19" s="207">
        <f t="shared" si="39"/>
        <v>14535.2973</v>
      </c>
      <c r="CC19" s="207">
        <f t="shared" si="12"/>
        <v>105.16067713834474</v>
      </c>
      <c r="CD19" s="207">
        <f t="shared" si="40"/>
        <v>1182.8055300000015</v>
      </c>
      <c r="CE19" s="207">
        <f t="shared" si="41"/>
        <v>8.8583131176871177</v>
      </c>
      <c r="CF19" s="210">
        <v>27977239.370000001</v>
      </c>
      <c r="CG19" s="207">
        <f t="shared" si="42"/>
        <v>27977.239369999999</v>
      </c>
      <c r="CH19" s="210">
        <v>26204061.829999998</v>
      </c>
      <c r="CI19" s="207">
        <f t="shared" si="43"/>
        <v>26204.061829999999</v>
      </c>
      <c r="CJ19" s="207">
        <f t="shared" si="13"/>
        <v>93.662071098046283</v>
      </c>
      <c r="CK19" s="207">
        <v>19263.066199999997</v>
      </c>
      <c r="CL19" s="207">
        <v>12663.722599999999</v>
      </c>
      <c r="CM19" s="210">
        <v>23994.485629999999</v>
      </c>
      <c r="CN19" s="207">
        <f t="shared" si="44"/>
        <v>23994.485629999999</v>
      </c>
      <c r="CO19" s="210">
        <v>14501891.209999999</v>
      </c>
      <c r="CP19" s="207">
        <f t="shared" si="45"/>
        <v>14501.89121</v>
      </c>
      <c r="CQ19" s="207">
        <f t="shared" si="14"/>
        <v>4731.4194300000017</v>
      </c>
      <c r="CR19" s="207">
        <f t="shared" si="15"/>
        <v>1838.1686100000006</v>
      </c>
      <c r="CS19" s="207">
        <f t="shared" si="16"/>
        <v>-32614.310939999996</v>
      </c>
      <c r="CT19" s="207">
        <f t="shared" si="17"/>
        <v>-9068.580569999991</v>
      </c>
      <c r="CU19" s="207">
        <v>8000</v>
      </c>
      <c r="CV19" s="207">
        <v>21800</v>
      </c>
      <c r="CW19" s="207">
        <f t="shared" si="46"/>
        <v>13800</v>
      </c>
      <c r="CX19" s="206">
        <v>0</v>
      </c>
      <c r="CY19" s="206">
        <v>614853563.59000003</v>
      </c>
      <c r="CZ19" s="206">
        <v>87955181.909999996</v>
      </c>
      <c r="DA19" s="206">
        <v>35419335.119999997</v>
      </c>
      <c r="DB19" s="207">
        <f t="shared" si="47"/>
        <v>738228.08062000002</v>
      </c>
      <c r="DC19" s="206">
        <v>0</v>
      </c>
      <c r="DD19" s="206">
        <v>614215494.76999998</v>
      </c>
      <c r="DE19" s="206">
        <v>87750580.150000006</v>
      </c>
      <c r="DF19" s="206">
        <v>35419335.119999997</v>
      </c>
      <c r="DG19" s="207">
        <f t="shared" si="48"/>
        <v>737385.41003999999</v>
      </c>
      <c r="DH19" s="211">
        <f t="shared" si="18"/>
        <v>599745.86875999998</v>
      </c>
      <c r="DI19" s="211">
        <f t="shared" si="19"/>
        <v>599107.79994000006</v>
      </c>
      <c r="DJ19" s="207">
        <f t="shared" si="49"/>
        <v>99.8936101350195</v>
      </c>
      <c r="DK19" s="206">
        <v>136861500</v>
      </c>
      <c r="DL19" s="207">
        <f t="shared" si="50"/>
        <v>136861.5</v>
      </c>
      <c r="DM19" s="206">
        <v>134318078.91</v>
      </c>
      <c r="DN19" s="207">
        <f t="shared" si="50"/>
        <v>134318.07890999998</v>
      </c>
      <c r="DO19" s="210">
        <v>8861691.8000000007</v>
      </c>
      <c r="DP19" s="207">
        <f t="shared" si="50"/>
        <v>8861.6918000000005</v>
      </c>
      <c r="DQ19" s="210">
        <v>3106664.22</v>
      </c>
      <c r="DR19" s="207">
        <f t="shared" si="50"/>
        <v>3106.6642200000001</v>
      </c>
      <c r="DS19" s="207">
        <f t="shared" si="51"/>
        <v>-5755.0275799999999</v>
      </c>
      <c r="DT19" s="207">
        <v>51686.854859999999</v>
      </c>
      <c r="DU19" s="207">
        <v>2302.7566299999999</v>
      </c>
      <c r="DV19" s="207">
        <v>54643.744440000002</v>
      </c>
      <c r="DW19" s="207">
        <v>2186.9348300000001</v>
      </c>
      <c r="DX19" s="207">
        <f t="shared" si="52"/>
        <v>2956.8895800000028</v>
      </c>
      <c r="DY19" s="207">
        <f t="shared" si="53"/>
        <v>-115.82179999999971</v>
      </c>
    </row>
    <row r="20" spans="1:129" s="207" customFormat="1" x14ac:dyDescent="0.25">
      <c r="A20" s="205" t="s">
        <v>176</v>
      </c>
      <c r="B20" s="206">
        <v>0</v>
      </c>
      <c r="C20" s="206">
        <v>1023195339.24</v>
      </c>
      <c r="D20" s="206">
        <v>0</v>
      </c>
      <c r="E20" s="206">
        <v>104732652.06999999</v>
      </c>
      <c r="F20" s="207">
        <f t="shared" si="20"/>
        <v>1127927.99131</v>
      </c>
      <c r="G20" s="206">
        <v>0</v>
      </c>
      <c r="H20" s="206">
        <v>1024931427.09</v>
      </c>
      <c r="I20" s="206">
        <v>0</v>
      </c>
      <c r="J20" s="206">
        <v>99670749.840000004</v>
      </c>
      <c r="K20" s="207">
        <f t="shared" si="0"/>
        <v>1124602.1769300001</v>
      </c>
      <c r="L20" s="206">
        <v>79685644</v>
      </c>
      <c r="M20" s="206">
        <v>0</v>
      </c>
      <c r="N20" s="206">
        <v>17399900</v>
      </c>
      <c r="O20" s="207">
        <f t="shared" si="21"/>
        <v>97085.543999999994</v>
      </c>
      <c r="P20" s="206">
        <v>77153570.170000002</v>
      </c>
      <c r="Q20" s="206">
        <v>0</v>
      </c>
      <c r="R20" s="206">
        <v>17233700</v>
      </c>
      <c r="S20" s="207">
        <f t="shared" si="22"/>
        <v>94387.270170000003</v>
      </c>
      <c r="T20" s="206">
        <v>0</v>
      </c>
      <c r="U20" s="206">
        <v>1044452700.17</v>
      </c>
      <c r="V20" s="206">
        <v>0</v>
      </c>
      <c r="W20" s="206">
        <v>106521787.47</v>
      </c>
      <c r="X20" s="207">
        <f t="shared" si="1"/>
        <v>1150974.4876399999</v>
      </c>
      <c r="Y20" s="206">
        <v>0</v>
      </c>
      <c r="Z20" s="206">
        <v>1025755866.04</v>
      </c>
      <c r="AA20" s="206">
        <v>0</v>
      </c>
      <c r="AB20" s="206">
        <v>99229141.75</v>
      </c>
      <c r="AC20" s="207">
        <f t="shared" si="23"/>
        <v>1124985.0077899999</v>
      </c>
      <c r="AD20" s="207">
        <f t="shared" si="2"/>
        <v>1030842.44731</v>
      </c>
      <c r="AE20" s="207">
        <f t="shared" si="3"/>
        <v>1030214.90676</v>
      </c>
      <c r="AF20" s="207">
        <f t="shared" si="24"/>
        <v>99.939123524488394</v>
      </c>
      <c r="AG20" s="208">
        <v>1031592</v>
      </c>
      <c r="AH20" s="208">
        <f t="shared" si="25"/>
        <v>749.55269000004046</v>
      </c>
      <c r="AI20" s="208">
        <v>1030215</v>
      </c>
      <c r="AJ20" s="208">
        <f t="shared" si="26"/>
        <v>9.3239999958314002E-2</v>
      </c>
      <c r="AK20" s="207">
        <f t="shared" si="4"/>
        <v>1053888.94364</v>
      </c>
      <c r="AL20" s="207">
        <f t="shared" si="5"/>
        <v>1030597.7376199999</v>
      </c>
      <c r="AM20" s="207">
        <f t="shared" si="27"/>
        <v>97.789975294782479</v>
      </c>
      <c r="AN20" s="206">
        <v>0</v>
      </c>
      <c r="AO20" s="206">
        <v>893772526</v>
      </c>
      <c r="AP20" s="206">
        <v>0</v>
      </c>
      <c r="AQ20" s="206">
        <v>78935644</v>
      </c>
      <c r="AR20" s="209">
        <f t="shared" si="6"/>
        <v>750000</v>
      </c>
      <c r="AS20" s="207">
        <f t="shared" si="28"/>
        <v>972708.17</v>
      </c>
      <c r="AT20" s="206">
        <v>0</v>
      </c>
      <c r="AU20" s="206">
        <v>890641276.33000004</v>
      </c>
      <c r="AV20" s="206">
        <v>0</v>
      </c>
      <c r="AW20" s="206">
        <v>77153570.170000002</v>
      </c>
      <c r="AX20" s="209">
        <f t="shared" si="7"/>
        <v>0</v>
      </c>
      <c r="AY20" s="207">
        <f t="shared" si="29"/>
        <v>967794.84649999999</v>
      </c>
      <c r="AZ20" s="207">
        <f t="shared" si="8"/>
        <v>875622.62600000005</v>
      </c>
      <c r="BA20" s="207">
        <f t="shared" si="9"/>
        <v>873407.57632999995</v>
      </c>
      <c r="BB20" s="207">
        <f t="shared" si="30"/>
        <v>99.747031471751825</v>
      </c>
      <c r="BC20" s="206">
        <v>0</v>
      </c>
      <c r="BD20" s="206">
        <v>132516832.95</v>
      </c>
      <c r="BE20" s="206">
        <v>0</v>
      </c>
      <c r="BF20" s="206">
        <v>26065081.43</v>
      </c>
      <c r="BG20" s="207">
        <f t="shared" si="31"/>
        <v>158581.91438</v>
      </c>
      <c r="BH20" s="206">
        <v>0</v>
      </c>
      <c r="BI20" s="206">
        <v>137384170.47</v>
      </c>
      <c r="BJ20" s="206">
        <v>0</v>
      </c>
      <c r="BK20" s="206">
        <v>22785253.030000001</v>
      </c>
      <c r="BL20" s="207">
        <f t="shared" si="32"/>
        <v>160169.4235</v>
      </c>
      <c r="BM20" s="210">
        <v>13299975.9</v>
      </c>
      <c r="BN20" s="207">
        <f t="shared" si="33"/>
        <v>13299.975900000001</v>
      </c>
      <c r="BO20" s="210">
        <v>12217391.43</v>
      </c>
      <c r="BP20" s="207">
        <f t="shared" si="34"/>
        <v>12217.39143</v>
      </c>
      <c r="BQ20" s="207">
        <f t="shared" si="10"/>
        <v>91.860252393389658</v>
      </c>
      <c r="BR20" s="210">
        <v>2380824</v>
      </c>
      <c r="BS20" s="207">
        <f t="shared" si="35"/>
        <v>2380.8240000000001</v>
      </c>
      <c r="BT20" s="363">
        <v>1661335.7</v>
      </c>
      <c r="BU20" s="207">
        <f t="shared" si="36"/>
        <v>1661.3356999999999</v>
      </c>
      <c r="BV20" s="207">
        <f t="shared" si="11"/>
        <v>69.779861930155263</v>
      </c>
      <c r="BW20" s="210">
        <v>10796015.630000001</v>
      </c>
      <c r="BX20" s="207">
        <f t="shared" si="37"/>
        <v>10796.015630000002</v>
      </c>
      <c r="BY20" s="210">
        <v>10352413.449999999</v>
      </c>
      <c r="BZ20" s="207">
        <f t="shared" si="38"/>
        <v>10352.41345</v>
      </c>
      <c r="CA20" s="210">
        <v>10307230.449999999</v>
      </c>
      <c r="CB20" s="207">
        <f t="shared" si="39"/>
        <v>10307.230449999999</v>
      </c>
      <c r="CC20" s="207">
        <f t="shared" si="12"/>
        <v>95.472541011873261</v>
      </c>
      <c r="CD20" s="207">
        <f t="shared" si="40"/>
        <v>-45.183000000000902</v>
      </c>
      <c r="CE20" s="207">
        <f t="shared" si="41"/>
        <v>-0.43644895191083322</v>
      </c>
      <c r="CF20" s="210">
        <v>13039834.52</v>
      </c>
      <c r="CG20" s="207">
        <f t="shared" si="42"/>
        <v>13039.83452</v>
      </c>
      <c r="CH20" s="210">
        <v>14724422.220000001</v>
      </c>
      <c r="CI20" s="207">
        <f t="shared" si="43"/>
        <v>14724.42222</v>
      </c>
      <c r="CJ20" s="207">
        <f t="shared" si="13"/>
        <v>112.91878127300039</v>
      </c>
      <c r="CK20" s="207">
        <v>39248.833049999994</v>
      </c>
      <c r="CL20" s="207">
        <v>2286.0284999999999</v>
      </c>
      <c r="CM20" s="210">
        <v>38866.002189999999</v>
      </c>
      <c r="CN20" s="207">
        <f t="shared" si="44"/>
        <v>38866.002189999999</v>
      </c>
      <c r="CO20" s="210">
        <v>945940.5</v>
      </c>
      <c r="CP20" s="207">
        <f t="shared" si="45"/>
        <v>945.94050000000004</v>
      </c>
      <c r="CQ20" s="207">
        <f t="shared" si="14"/>
        <v>-382.83085999999457</v>
      </c>
      <c r="CR20" s="207">
        <f t="shared" si="15"/>
        <v>-1340.0879999999997</v>
      </c>
      <c r="CS20" s="207">
        <f t="shared" si="16"/>
        <v>-23046.496329999994</v>
      </c>
      <c r="CT20" s="207">
        <f t="shared" si="17"/>
        <v>-382.83085999987088</v>
      </c>
      <c r="CW20" s="207">
        <f t="shared" si="46"/>
        <v>0</v>
      </c>
      <c r="CX20" s="206">
        <v>0</v>
      </c>
      <c r="CY20" s="206">
        <v>890678506.28999996</v>
      </c>
      <c r="CZ20" s="206">
        <v>0</v>
      </c>
      <c r="DA20" s="206">
        <v>78667570.640000001</v>
      </c>
      <c r="DB20" s="207">
        <f t="shared" si="47"/>
        <v>969346.07692999998</v>
      </c>
      <c r="DC20" s="206">
        <v>0</v>
      </c>
      <c r="DD20" s="206">
        <v>887547256.62</v>
      </c>
      <c r="DE20" s="206">
        <v>0</v>
      </c>
      <c r="DF20" s="206">
        <v>76885496.810000002</v>
      </c>
      <c r="DG20" s="207">
        <f t="shared" si="48"/>
        <v>964432.75343000004</v>
      </c>
      <c r="DH20" s="211">
        <f t="shared" si="18"/>
        <v>872260.53292999999</v>
      </c>
      <c r="DI20" s="211">
        <f t="shared" si="19"/>
        <v>870045.48326000001</v>
      </c>
      <c r="DJ20" s="207">
        <f t="shared" si="49"/>
        <v>99.746056414754946</v>
      </c>
      <c r="DK20" s="206">
        <v>95782060</v>
      </c>
      <c r="DL20" s="207">
        <f t="shared" si="50"/>
        <v>95782.06</v>
      </c>
      <c r="DM20" s="206">
        <v>96730620.430000007</v>
      </c>
      <c r="DN20" s="207">
        <f t="shared" si="50"/>
        <v>96730.62043000001</v>
      </c>
      <c r="DO20" s="210">
        <v>42975.17</v>
      </c>
      <c r="DP20" s="207">
        <f t="shared" si="50"/>
        <v>42.975169999999999</v>
      </c>
      <c r="DQ20" s="210">
        <v>20152.8</v>
      </c>
      <c r="DR20" s="207">
        <f t="shared" si="50"/>
        <v>20.152799999999999</v>
      </c>
      <c r="DS20" s="207">
        <f t="shared" si="51"/>
        <v>-22.822369999999999</v>
      </c>
      <c r="DT20" s="207">
        <v>13464.38445</v>
      </c>
      <c r="DU20" s="207">
        <v>2594.11591</v>
      </c>
      <c r="DV20" s="207">
        <v>9994.8952599999993</v>
      </c>
      <c r="DW20" s="207">
        <v>619.9</v>
      </c>
      <c r="DX20" s="207">
        <f t="shared" si="52"/>
        <v>-3469.4891900000002</v>
      </c>
      <c r="DY20" s="207">
        <f t="shared" si="53"/>
        <v>-1974.2159099999999</v>
      </c>
    </row>
    <row r="21" spans="1:129" s="207" customFormat="1" x14ac:dyDescent="0.25">
      <c r="A21" s="205" t="s">
        <v>177</v>
      </c>
      <c r="B21" s="206">
        <v>0</v>
      </c>
      <c r="C21" s="206">
        <v>1051986669.4</v>
      </c>
      <c r="D21" s="206">
        <v>157177815.65000001</v>
      </c>
      <c r="E21" s="206">
        <v>14087774.08</v>
      </c>
      <c r="F21" s="207">
        <f t="shared" si="20"/>
        <v>1223252.2591299999</v>
      </c>
      <c r="G21" s="206">
        <v>0</v>
      </c>
      <c r="H21" s="206">
        <v>1041237748.99</v>
      </c>
      <c r="I21" s="206">
        <v>158980120.81999999</v>
      </c>
      <c r="J21" s="206">
        <v>13311182.26</v>
      </c>
      <c r="K21" s="207">
        <f t="shared" si="0"/>
        <v>1213529.05207</v>
      </c>
      <c r="L21" s="206">
        <v>53178571.980000004</v>
      </c>
      <c r="M21" s="206">
        <v>0</v>
      </c>
      <c r="N21" s="206">
        <v>355773.98</v>
      </c>
      <c r="O21" s="207">
        <f t="shared" si="21"/>
        <v>53534.345959999999</v>
      </c>
      <c r="P21" s="206">
        <v>51181188.159999996</v>
      </c>
      <c r="Q21" s="206">
        <v>0</v>
      </c>
      <c r="R21" s="206">
        <v>241436.41</v>
      </c>
      <c r="S21" s="207">
        <f t="shared" si="22"/>
        <v>51422.624569999993</v>
      </c>
      <c r="T21" s="206">
        <v>0</v>
      </c>
      <c r="U21" s="206">
        <v>1061446590.55</v>
      </c>
      <c r="V21" s="206">
        <v>172352930.94999999</v>
      </c>
      <c r="W21" s="206">
        <v>36510893.829999998</v>
      </c>
      <c r="X21" s="207">
        <f t="shared" si="1"/>
        <v>1270310.41533</v>
      </c>
      <c r="Y21" s="206">
        <v>0</v>
      </c>
      <c r="Z21" s="206">
        <v>1043891532.34</v>
      </c>
      <c r="AA21" s="206">
        <v>157272994.03999999</v>
      </c>
      <c r="AB21" s="206">
        <v>34378180.020000003</v>
      </c>
      <c r="AC21" s="207">
        <f t="shared" si="23"/>
        <v>1235542.7064</v>
      </c>
      <c r="AD21" s="207">
        <f t="shared" si="2"/>
        <v>1169717.9131699998</v>
      </c>
      <c r="AE21" s="207">
        <f t="shared" si="3"/>
        <v>1162106.4275</v>
      </c>
      <c r="AF21" s="207">
        <f t="shared" si="24"/>
        <v>99.349288782850877</v>
      </c>
      <c r="AG21" s="208">
        <v>1169718</v>
      </c>
      <c r="AH21" s="208">
        <f t="shared" si="25"/>
        <v>8.6830000160261989E-2</v>
      </c>
      <c r="AI21" s="208">
        <v>1162106</v>
      </c>
      <c r="AJ21" s="208">
        <f t="shared" si="26"/>
        <v>-0.42749999999068677</v>
      </c>
      <c r="AK21" s="207">
        <f t="shared" si="4"/>
        <v>1216776.0693699999</v>
      </c>
      <c r="AL21" s="207">
        <f t="shared" si="5"/>
        <v>1184120.08183</v>
      </c>
      <c r="AM21" s="207">
        <f t="shared" si="27"/>
        <v>97.316187558084707</v>
      </c>
      <c r="AN21" s="206">
        <v>0</v>
      </c>
      <c r="AO21" s="206">
        <v>812633530.88</v>
      </c>
      <c r="AP21" s="206">
        <v>30760738.359999999</v>
      </c>
      <c r="AQ21" s="206">
        <v>22417833.620000001</v>
      </c>
      <c r="AR21" s="209">
        <f t="shared" si="6"/>
        <v>0</v>
      </c>
      <c r="AS21" s="207">
        <f t="shared" si="28"/>
        <v>865812.10285999998</v>
      </c>
      <c r="AT21" s="206">
        <v>0</v>
      </c>
      <c r="AU21" s="206">
        <v>808628030.96000004</v>
      </c>
      <c r="AV21" s="206">
        <v>29170932.440000001</v>
      </c>
      <c r="AW21" s="206">
        <v>22010255.719999999</v>
      </c>
      <c r="AX21" s="209">
        <f t="shared" si="7"/>
        <v>0</v>
      </c>
      <c r="AY21" s="207">
        <f t="shared" si="29"/>
        <v>859809.21912000014</v>
      </c>
      <c r="AZ21" s="207">
        <f t="shared" si="8"/>
        <v>812277.75690000004</v>
      </c>
      <c r="BA21" s="207">
        <f t="shared" si="9"/>
        <v>808386.59455000015</v>
      </c>
      <c r="BB21" s="207">
        <f t="shared" si="30"/>
        <v>99.520956678064138</v>
      </c>
      <c r="BC21" s="206">
        <v>0</v>
      </c>
      <c r="BD21" s="206">
        <v>214448245.38999999</v>
      </c>
      <c r="BE21" s="206">
        <v>121868557.09</v>
      </c>
      <c r="BF21" s="206">
        <v>12834718.17</v>
      </c>
      <c r="BG21" s="207">
        <f t="shared" si="31"/>
        <v>349151.52065000002</v>
      </c>
      <c r="BH21" s="206">
        <v>0</v>
      </c>
      <c r="BI21" s="206">
        <v>209727888.96000001</v>
      </c>
      <c r="BJ21" s="206">
        <v>125259668.18000001</v>
      </c>
      <c r="BK21" s="206">
        <v>12461704.25</v>
      </c>
      <c r="BL21" s="207">
        <f t="shared" si="32"/>
        <v>347449.26139</v>
      </c>
      <c r="BM21" s="210">
        <v>26380000</v>
      </c>
      <c r="BN21" s="207">
        <f t="shared" si="33"/>
        <v>26380</v>
      </c>
      <c r="BO21" s="210">
        <v>26051877.420000002</v>
      </c>
      <c r="BP21" s="207">
        <f t="shared" si="34"/>
        <v>26051.877420000001</v>
      </c>
      <c r="BQ21" s="207">
        <f t="shared" si="10"/>
        <v>98.756169143290364</v>
      </c>
      <c r="BR21" s="210">
        <v>18926901.32</v>
      </c>
      <c r="BS21" s="207">
        <f t="shared" si="35"/>
        <v>18926.901320000001</v>
      </c>
      <c r="BT21" s="363">
        <v>17339199.640000001</v>
      </c>
      <c r="BU21" s="207">
        <f t="shared" si="36"/>
        <v>17339.199639999999</v>
      </c>
      <c r="BV21" s="207">
        <f t="shared" si="11"/>
        <v>91.611401923872862</v>
      </c>
      <c r="BW21" s="210">
        <v>43104895.670000002</v>
      </c>
      <c r="BX21" s="207">
        <f t="shared" si="37"/>
        <v>43104.895670000005</v>
      </c>
      <c r="BY21" s="210">
        <v>40884802.969999999</v>
      </c>
      <c r="BZ21" s="207">
        <f t="shared" si="38"/>
        <v>40884.802969999997</v>
      </c>
      <c r="CA21" s="210">
        <v>44900351.890000001</v>
      </c>
      <c r="CB21" s="207">
        <f t="shared" si="39"/>
        <v>44900.351889999998</v>
      </c>
      <c r="CC21" s="207">
        <f t="shared" si="12"/>
        <v>104.16531856090209</v>
      </c>
      <c r="CD21" s="207">
        <f t="shared" si="40"/>
        <v>4015.5489200000011</v>
      </c>
      <c r="CE21" s="207">
        <f t="shared" si="41"/>
        <v>9.8216173939898539</v>
      </c>
      <c r="CF21" s="210">
        <v>37917798.640000001</v>
      </c>
      <c r="CG21" s="207">
        <f t="shared" si="42"/>
        <v>37917.798640000001</v>
      </c>
      <c r="CH21" s="210">
        <v>32907840.149999999</v>
      </c>
      <c r="CI21" s="207">
        <f t="shared" si="43"/>
        <v>32907.840149999996</v>
      </c>
      <c r="CJ21" s="207">
        <f t="shared" si="13"/>
        <v>86.78731711836528</v>
      </c>
      <c r="CK21" s="207">
        <v>41180.996850000003</v>
      </c>
      <c r="CL21" s="207">
        <v>21139.249949999998</v>
      </c>
      <c r="CM21" s="210">
        <v>19167.342519999998</v>
      </c>
      <c r="CN21" s="207">
        <f t="shared" si="44"/>
        <v>19167.342519999998</v>
      </c>
      <c r="CO21" s="210">
        <v>53480.29</v>
      </c>
      <c r="CP21" s="207">
        <f t="shared" si="45"/>
        <v>53.480290000000004</v>
      </c>
      <c r="CQ21" s="207">
        <f t="shared" si="14"/>
        <v>-22013.654330000005</v>
      </c>
      <c r="CR21" s="207">
        <f t="shared" si="15"/>
        <v>-21085.769659999998</v>
      </c>
      <c r="CS21" s="207">
        <f t="shared" si="16"/>
        <v>-47058.156200000085</v>
      </c>
      <c r="CT21" s="207">
        <f t="shared" si="17"/>
        <v>-22013.654330000049</v>
      </c>
      <c r="CU21" s="207">
        <v>97000</v>
      </c>
      <c r="CV21" s="207">
        <v>97000</v>
      </c>
      <c r="CW21" s="207">
        <f t="shared" si="46"/>
        <v>0</v>
      </c>
      <c r="CX21" s="206">
        <v>0</v>
      </c>
      <c r="CY21" s="206">
        <v>837538424.00999999</v>
      </c>
      <c r="CZ21" s="206">
        <v>35309258.560000002</v>
      </c>
      <c r="DA21" s="206">
        <v>1253055.9099999999</v>
      </c>
      <c r="DB21" s="207">
        <f t="shared" si="47"/>
        <v>874100.73847999994</v>
      </c>
      <c r="DC21" s="206">
        <v>0</v>
      </c>
      <c r="DD21" s="206">
        <v>831509860.02999997</v>
      </c>
      <c r="DE21" s="206">
        <v>33720452.640000001</v>
      </c>
      <c r="DF21" s="206">
        <v>849478.01</v>
      </c>
      <c r="DG21" s="207">
        <f t="shared" si="48"/>
        <v>866079.79067999998</v>
      </c>
      <c r="DH21" s="211">
        <f t="shared" si="18"/>
        <v>820566.39251999999</v>
      </c>
      <c r="DI21" s="211">
        <f t="shared" si="19"/>
        <v>814657.16610999999</v>
      </c>
      <c r="DJ21" s="207">
        <f t="shared" si="49"/>
        <v>99.279860049855017</v>
      </c>
      <c r="DK21" s="206">
        <v>195524622</v>
      </c>
      <c r="DL21" s="207">
        <f t="shared" si="50"/>
        <v>195524.622</v>
      </c>
      <c r="DM21" s="206">
        <v>198273331.31999999</v>
      </c>
      <c r="DN21" s="207">
        <f t="shared" si="50"/>
        <v>198273.33132</v>
      </c>
      <c r="DO21" s="210">
        <v>1000</v>
      </c>
      <c r="DP21" s="207">
        <f t="shared" si="50"/>
        <v>1</v>
      </c>
      <c r="DQ21" s="210">
        <v>0.01</v>
      </c>
      <c r="DR21" s="207">
        <f t="shared" si="50"/>
        <v>1.0000000000000001E-5</v>
      </c>
      <c r="DS21" s="207">
        <f t="shared" si="51"/>
        <v>-0.99999000000000005</v>
      </c>
      <c r="DT21" s="207">
        <v>182794.70295000001</v>
      </c>
      <c r="DU21" s="207">
        <v>91769.900500000003</v>
      </c>
      <c r="DV21" s="207">
        <v>122004.61497</v>
      </c>
      <c r="DW21" s="207">
        <v>67968.822899999999</v>
      </c>
      <c r="DX21" s="207">
        <f t="shared" si="52"/>
        <v>-60790.087980000011</v>
      </c>
      <c r="DY21" s="207">
        <f t="shared" si="53"/>
        <v>-23801.077600000004</v>
      </c>
    </row>
    <row r="22" spans="1:129" s="207" customFormat="1" x14ac:dyDescent="0.25">
      <c r="A22" s="205" t="s">
        <v>178</v>
      </c>
      <c r="B22" s="206">
        <v>0</v>
      </c>
      <c r="C22" s="206">
        <v>975407421.44000006</v>
      </c>
      <c r="D22" s="206">
        <v>0</v>
      </c>
      <c r="E22" s="206">
        <v>241362167.43000001</v>
      </c>
      <c r="F22" s="207">
        <f t="shared" si="20"/>
        <v>1216769.5888700001</v>
      </c>
      <c r="G22" s="206">
        <v>0</v>
      </c>
      <c r="H22" s="206">
        <v>936698157.11000001</v>
      </c>
      <c r="I22" s="206">
        <v>0</v>
      </c>
      <c r="J22" s="206">
        <v>195536081.69999999</v>
      </c>
      <c r="K22" s="207">
        <f t="shared" si="0"/>
        <v>1132234.23881</v>
      </c>
      <c r="L22" s="206">
        <v>166158074.39000002</v>
      </c>
      <c r="M22" s="206">
        <v>0</v>
      </c>
      <c r="N22" s="206">
        <v>440000</v>
      </c>
      <c r="O22" s="207">
        <f t="shared" si="21"/>
        <v>166598.07439000002</v>
      </c>
      <c r="P22" s="206">
        <v>116804781.76000002</v>
      </c>
      <c r="Q22" s="206">
        <v>0</v>
      </c>
      <c r="R22" s="206">
        <v>440000</v>
      </c>
      <c r="S22" s="207">
        <f t="shared" si="22"/>
        <v>117244.78176000003</v>
      </c>
      <c r="T22" s="206">
        <v>0</v>
      </c>
      <c r="U22" s="206">
        <v>999543620.17999995</v>
      </c>
      <c r="V22" s="206">
        <v>0</v>
      </c>
      <c r="W22" s="206">
        <v>249840129.47999999</v>
      </c>
      <c r="X22" s="207">
        <f t="shared" si="1"/>
        <v>1249383.7496599997</v>
      </c>
      <c r="Y22" s="206">
        <v>0</v>
      </c>
      <c r="Z22" s="206">
        <v>947606219.90999997</v>
      </c>
      <c r="AA22" s="206">
        <v>0</v>
      </c>
      <c r="AB22" s="206">
        <v>183218874.53</v>
      </c>
      <c r="AC22" s="207">
        <f t="shared" si="23"/>
        <v>1130825.0944400001</v>
      </c>
      <c r="AD22" s="207">
        <f t="shared" si="2"/>
        <v>1050171.5144800001</v>
      </c>
      <c r="AE22" s="207">
        <f t="shared" si="3"/>
        <v>1014989.45705</v>
      </c>
      <c r="AF22" s="207">
        <f t="shared" si="24"/>
        <v>96.649875097076816</v>
      </c>
      <c r="AG22" s="208">
        <v>1050172</v>
      </c>
      <c r="AH22" s="208">
        <f t="shared" si="25"/>
        <v>0.48551999987103045</v>
      </c>
      <c r="AI22" s="208">
        <v>1014989</v>
      </c>
      <c r="AJ22" s="208">
        <f t="shared" si="26"/>
        <v>-0.45704999996814877</v>
      </c>
      <c r="AK22" s="207">
        <f t="shared" si="4"/>
        <v>1082785.6752699998</v>
      </c>
      <c r="AL22" s="207">
        <f t="shared" si="5"/>
        <v>1013580.3126800001</v>
      </c>
      <c r="AM22" s="207">
        <f t="shared" si="27"/>
        <v>93.608581626946361</v>
      </c>
      <c r="AN22" s="206">
        <v>0</v>
      </c>
      <c r="AO22" s="206">
        <v>636998687.72000003</v>
      </c>
      <c r="AP22" s="206">
        <v>0</v>
      </c>
      <c r="AQ22" s="206">
        <v>166158074.38999999</v>
      </c>
      <c r="AR22" s="209">
        <f t="shared" si="6"/>
        <v>0</v>
      </c>
      <c r="AS22" s="207">
        <f t="shared" si="28"/>
        <v>803156.76211000001</v>
      </c>
      <c r="AT22" s="206">
        <v>0</v>
      </c>
      <c r="AU22" s="206">
        <v>586866284.63</v>
      </c>
      <c r="AV22" s="206">
        <v>0</v>
      </c>
      <c r="AW22" s="206">
        <v>116804781.76000001</v>
      </c>
      <c r="AX22" s="209">
        <f t="shared" si="7"/>
        <v>0</v>
      </c>
      <c r="AY22" s="207">
        <f t="shared" si="29"/>
        <v>703671.06638999993</v>
      </c>
      <c r="AZ22" s="207">
        <f t="shared" si="8"/>
        <v>636558.68772000005</v>
      </c>
      <c r="BA22" s="207">
        <f t="shared" si="9"/>
        <v>586426.28462999989</v>
      </c>
      <c r="BB22" s="207">
        <f t="shared" si="30"/>
        <v>92.124464867558032</v>
      </c>
      <c r="BC22" s="206">
        <v>0</v>
      </c>
      <c r="BD22" s="206">
        <v>331129319.82999998</v>
      </c>
      <c r="BE22" s="206">
        <v>0</v>
      </c>
      <c r="BF22" s="206">
        <v>75014316.930000007</v>
      </c>
      <c r="BG22" s="207">
        <f t="shared" si="31"/>
        <v>406143.63675999996</v>
      </c>
      <c r="BH22" s="206">
        <v>0</v>
      </c>
      <c r="BI22" s="206">
        <v>342548036.58999997</v>
      </c>
      <c r="BJ22" s="206">
        <v>0</v>
      </c>
      <c r="BK22" s="206">
        <v>78541523.829999998</v>
      </c>
      <c r="BL22" s="207">
        <f t="shared" si="32"/>
        <v>421089.56041999994</v>
      </c>
      <c r="BM22" s="210">
        <v>14311181.810000001</v>
      </c>
      <c r="BN22" s="207">
        <f t="shared" si="33"/>
        <v>14311.18181</v>
      </c>
      <c r="BO22" s="210">
        <v>14399830.039999999</v>
      </c>
      <c r="BP22" s="207">
        <f t="shared" si="34"/>
        <v>14399.830039999999</v>
      </c>
      <c r="BQ22" s="207">
        <f t="shared" si="10"/>
        <v>100.61943332966433</v>
      </c>
      <c r="BR22" s="210">
        <v>75226286.109999999</v>
      </c>
      <c r="BS22" s="207">
        <f t="shared" si="35"/>
        <v>75226.286110000001</v>
      </c>
      <c r="BT22" s="363">
        <v>76035945.349999994</v>
      </c>
      <c r="BU22" s="207">
        <f t="shared" si="36"/>
        <v>76035.945349999995</v>
      </c>
      <c r="BV22" s="207">
        <f t="shared" si="11"/>
        <v>101.07629830192077</v>
      </c>
      <c r="BW22" s="210">
        <v>30058225.649999999</v>
      </c>
      <c r="BX22" s="207">
        <f t="shared" si="37"/>
        <v>30058.22565</v>
      </c>
      <c r="BY22" s="210">
        <v>26486861.219999999</v>
      </c>
      <c r="BZ22" s="207">
        <f t="shared" si="38"/>
        <v>26486.861219999999</v>
      </c>
      <c r="CA22" s="210">
        <v>32449114.859999999</v>
      </c>
      <c r="CB22" s="207">
        <f t="shared" si="39"/>
        <v>32449.114859999998</v>
      </c>
      <c r="CC22" s="207">
        <f t="shared" si="12"/>
        <v>107.95419276520067</v>
      </c>
      <c r="CD22" s="207">
        <f t="shared" si="40"/>
        <v>5962.253639999999</v>
      </c>
      <c r="CE22" s="207">
        <f t="shared" si="41"/>
        <v>22.510230980097987</v>
      </c>
      <c r="CF22" s="210">
        <v>30528330.449999999</v>
      </c>
      <c r="CG22" s="207">
        <f t="shared" si="42"/>
        <v>30528.330449999998</v>
      </c>
      <c r="CH22" s="210">
        <v>31443716.829999998</v>
      </c>
      <c r="CI22" s="207">
        <f t="shared" si="43"/>
        <v>31443.716829999998</v>
      </c>
      <c r="CJ22" s="207">
        <f t="shared" si="13"/>
        <v>102.99848162839838</v>
      </c>
      <c r="CK22" s="207">
        <v>69216.811000000002</v>
      </c>
      <c r="CL22" s="207">
        <v>3268.28404</v>
      </c>
      <c r="CM22" s="210">
        <v>70625.955369999996</v>
      </c>
      <c r="CN22" s="207">
        <f t="shared" si="44"/>
        <v>70625.955369999996</v>
      </c>
      <c r="CO22" s="210">
        <v>3820874.04</v>
      </c>
      <c r="CP22" s="207">
        <f t="shared" si="45"/>
        <v>3820.8740400000002</v>
      </c>
      <c r="CQ22" s="207">
        <f t="shared" si="14"/>
        <v>1409.1443699999945</v>
      </c>
      <c r="CR22" s="207">
        <f t="shared" si="15"/>
        <v>552.59000000000015</v>
      </c>
      <c r="CS22" s="207">
        <f t="shared" si="16"/>
        <v>-32614.160789999645</v>
      </c>
      <c r="CT22" s="207">
        <f t="shared" si="17"/>
        <v>1409.1443699998781</v>
      </c>
      <c r="CU22" s="207">
        <v>0</v>
      </c>
      <c r="CV22" s="207">
        <v>0</v>
      </c>
      <c r="CW22" s="207">
        <f t="shared" si="46"/>
        <v>0</v>
      </c>
      <c r="CX22" s="206">
        <v>0</v>
      </c>
      <c r="CY22" s="206">
        <v>644278101.61000001</v>
      </c>
      <c r="CZ22" s="206">
        <v>0</v>
      </c>
      <c r="DA22" s="206">
        <v>166347850.5</v>
      </c>
      <c r="DB22" s="207">
        <f t="shared" si="47"/>
        <v>810625.95211000007</v>
      </c>
      <c r="DC22" s="206">
        <v>0</v>
      </c>
      <c r="DD22" s="206">
        <v>594150120.51999998</v>
      </c>
      <c r="DE22" s="206">
        <v>0</v>
      </c>
      <c r="DF22" s="206">
        <v>116994557.87</v>
      </c>
      <c r="DG22" s="207">
        <f t="shared" si="48"/>
        <v>711144.67839000002</v>
      </c>
      <c r="DH22" s="211">
        <f t="shared" si="18"/>
        <v>644027.87771999999</v>
      </c>
      <c r="DI22" s="211">
        <f t="shared" si="19"/>
        <v>593899.89662999997</v>
      </c>
      <c r="DJ22" s="207">
        <f t="shared" si="49"/>
        <v>92.216488940282503</v>
      </c>
      <c r="DK22" s="206">
        <v>234508016.43000001</v>
      </c>
      <c r="DL22" s="207">
        <f t="shared" si="50"/>
        <v>234508.01643000002</v>
      </c>
      <c r="DM22" s="206">
        <v>244689353.53</v>
      </c>
      <c r="DN22" s="207">
        <f t="shared" si="50"/>
        <v>244689.35352999999</v>
      </c>
      <c r="DO22" s="210">
        <v>7864334.3399999999</v>
      </c>
      <c r="DP22" s="207">
        <f t="shared" si="50"/>
        <v>7864.3343399999994</v>
      </c>
      <c r="DQ22" s="210">
        <v>8431212.1999999993</v>
      </c>
      <c r="DR22" s="207">
        <f t="shared" si="50"/>
        <v>8431.2121999999999</v>
      </c>
      <c r="DS22" s="207">
        <f t="shared" si="51"/>
        <v>566.87786000000051</v>
      </c>
      <c r="DT22" s="207">
        <v>46116.95336</v>
      </c>
      <c r="DU22" s="207">
        <v>10297.972960000001</v>
      </c>
      <c r="DV22" s="207">
        <v>46348.302369999998</v>
      </c>
      <c r="DW22" s="207">
        <v>5827.5177000000003</v>
      </c>
      <c r="DX22" s="207">
        <f t="shared" si="52"/>
        <v>231.34900999999809</v>
      </c>
      <c r="DY22" s="207">
        <f t="shared" si="53"/>
        <v>-4470.4552600000006</v>
      </c>
    </row>
    <row r="23" spans="1:129" s="207" customFormat="1" x14ac:dyDescent="0.25">
      <c r="A23" s="205" t="s">
        <v>179</v>
      </c>
      <c r="B23" s="206">
        <v>0</v>
      </c>
      <c r="C23" s="206">
        <v>983667826.11000001</v>
      </c>
      <c r="D23" s="206">
        <v>54597159.659999996</v>
      </c>
      <c r="E23" s="206">
        <v>80690953.810000002</v>
      </c>
      <c r="F23" s="207">
        <f t="shared" si="20"/>
        <v>1118955.93958</v>
      </c>
      <c r="G23" s="206">
        <v>0</v>
      </c>
      <c r="H23" s="206">
        <v>989500277.75999999</v>
      </c>
      <c r="I23" s="206">
        <v>54506775.719999999</v>
      </c>
      <c r="J23" s="206">
        <v>73757348.090000004</v>
      </c>
      <c r="K23" s="207">
        <f t="shared" si="0"/>
        <v>1117764.40157</v>
      </c>
      <c r="L23" s="206">
        <v>74486156.210000008</v>
      </c>
      <c r="M23" s="206">
        <v>74825</v>
      </c>
      <c r="N23" s="206">
        <v>417486.13</v>
      </c>
      <c r="O23" s="207">
        <f t="shared" si="21"/>
        <v>74978.467340000003</v>
      </c>
      <c r="P23" s="206">
        <v>66041691.950000003</v>
      </c>
      <c r="Q23" s="206">
        <v>74825</v>
      </c>
      <c r="R23" s="206">
        <v>417486.13</v>
      </c>
      <c r="S23" s="207">
        <f t="shared" si="22"/>
        <v>66534.00308000001</v>
      </c>
      <c r="T23" s="206">
        <v>0</v>
      </c>
      <c r="U23" s="206">
        <v>1013767473.53</v>
      </c>
      <c r="V23" s="206">
        <v>59439854.880000003</v>
      </c>
      <c r="W23" s="206">
        <v>82869703.459999993</v>
      </c>
      <c r="X23" s="207">
        <f t="shared" si="1"/>
        <v>1156077.0318699998</v>
      </c>
      <c r="Y23" s="206">
        <v>0</v>
      </c>
      <c r="Z23" s="206">
        <v>1001570974.64</v>
      </c>
      <c r="AA23" s="206">
        <v>52872324.149999999</v>
      </c>
      <c r="AB23" s="206">
        <v>69627797.590000004</v>
      </c>
      <c r="AC23" s="207">
        <f t="shared" si="23"/>
        <v>1124071.0963799998</v>
      </c>
      <c r="AD23" s="207">
        <f t="shared" si="2"/>
        <v>1043977.47224</v>
      </c>
      <c r="AE23" s="207">
        <f t="shared" si="3"/>
        <v>1051230.3984900001</v>
      </c>
      <c r="AF23" s="207">
        <f t="shared" si="24"/>
        <v>100.69473972790216</v>
      </c>
      <c r="AG23" s="208">
        <v>1043977</v>
      </c>
      <c r="AH23" s="208">
        <f t="shared" si="25"/>
        <v>-0.47224000003188848</v>
      </c>
      <c r="AI23" s="208">
        <v>1051230</v>
      </c>
      <c r="AJ23" s="208">
        <f t="shared" si="26"/>
        <v>-0.39849000005051494</v>
      </c>
      <c r="AK23" s="207">
        <f t="shared" si="4"/>
        <v>1081098.5645299999</v>
      </c>
      <c r="AL23" s="207">
        <f t="shared" si="5"/>
        <v>1057537.0932999998</v>
      </c>
      <c r="AM23" s="207">
        <f t="shared" si="27"/>
        <v>97.820599156910063</v>
      </c>
      <c r="AN23" s="206">
        <v>0</v>
      </c>
      <c r="AO23" s="206">
        <v>780213204.34000003</v>
      </c>
      <c r="AP23" s="206">
        <v>15707278.880000001</v>
      </c>
      <c r="AQ23" s="206">
        <v>58778877.329999998</v>
      </c>
      <c r="AR23" s="209">
        <f t="shared" si="6"/>
        <v>0</v>
      </c>
      <c r="AS23" s="207">
        <f t="shared" si="28"/>
        <v>854699.3605500001</v>
      </c>
      <c r="AT23" s="206">
        <v>0</v>
      </c>
      <c r="AU23" s="206">
        <v>779134943.92999995</v>
      </c>
      <c r="AV23" s="206">
        <v>14810506.08</v>
      </c>
      <c r="AW23" s="206">
        <v>51231185.869999997</v>
      </c>
      <c r="AX23" s="209">
        <f t="shared" si="7"/>
        <v>0</v>
      </c>
      <c r="AY23" s="207">
        <f t="shared" si="29"/>
        <v>845176.63587999996</v>
      </c>
      <c r="AZ23" s="207">
        <f t="shared" si="8"/>
        <v>779720.89321000013</v>
      </c>
      <c r="BA23" s="207">
        <f t="shared" si="9"/>
        <v>778642.6327999999</v>
      </c>
      <c r="BB23" s="207">
        <f t="shared" si="30"/>
        <v>99.86171200241138</v>
      </c>
      <c r="BC23" s="206">
        <v>0</v>
      </c>
      <c r="BD23" s="206">
        <v>200385382</v>
      </c>
      <c r="BE23" s="206">
        <v>41478057</v>
      </c>
      <c r="BF23" s="206">
        <v>21478217.379999999</v>
      </c>
      <c r="BG23" s="207">
        <f t="shared" si="31"/>
        <v>263341.65638</v>
      </c>
      <c r="BH23" s="206">
        <v>0</v>
      </c>
      <c r="BI23" s="206">
        <v>207296094.06</v>
      </c>
      <c r="BJ23" s="206">
        <v>42284445.859999999</v>
      </c>
      <c r="BK23" s="206">
        <v>22092303.120000001</v>
      </c>
      <c r="BL23" s="207">
        <f t="shared" si="32"/>
        <v>271672.84304000001</v>
      </c>
      <c r="BM23" s="210">
        <v>23708961.949999999</v>
      </c>
      <c r="BN23" s="207">
        <f t="shared" si="33"/>
        <v>23708.961950000001</v>
      </c>
      <c r="BO23" s="210">
        <v>23477249.629999999</v>
      </c>
      <c r="BP23" s="207">
        <f t="shared" si="34"/>
        <v>23477.249629999998</v>
      </c>
      <c r="BQ23" s="207">
        <f t="shared" si="10"/>
        <v>99.022680451009791</v>
      </c>
      <c r="BR23" s="210">
        <v>6284869.1799999997</v>
      </c>
      <c r="BS23" s="207">
        <f t="shared" si="35"/>
        <v>6284.8691799999997</v>
      </c>
      <c r="BT23" s="363">
        <v>7133921.29</v>
      </c>
      <c r="BU23" s="207">
        <f t="shared" si="36"/>
        <v>7133.9212900000002</v>
      </c>
      <c r="BV23" s="207">
        <f t="shared" si="11"/>
        <v>113.50946353349555</v>
      </c>
      <c r="BW23" s="210">
        <v>24201856.829999998</v>
      </c>
      <c r="BX23" s="207">
        <f t="shared" si="37"/>
        <v>24201.856829999997</v>
      </c>
      <c r="BY23" s="210">
        <v>18939465.719999999</v>
      </c>
      <c r="BZ23" s="207">
        <f t="shared" si="38"/>
        <v>18939.46572</v>
      </c>
      <c r="CA23" s="210">
        <v>23616162.879999999</v>
      </c>
      <c r="CB23" s="207">
        <f t="shared" si="39"/>
        <v>23616.16288</v>
      </c>
      <c r="CC23" s="207">
        <f t="shared" si="12"/>
        <v>97.579962751973696</v>
      </c>
      <c r="CD23" s="207">
        <f t="shared" si="40"/>
        <v>4676.6971599999997</v>
      </c>
      <c r="CE23" s="207">
        <f t="shared" si="41"/>
        <v>24.692867418437388</v>
      </c>
      <c r="CF23" s="210">
        <v>26134532.530000001</v>
      </c>
      <c r="CG23" s="207">
        <f t="shared" si="42"/>
        <v>26134.53253</v>
      </c>
      <c r="CH23" s="210">
        <v>30980812.870000001</v>
      </c>
      <c r="CI23" s="207">
        <f t="shared" si="43"/>
        <v>30980.812870000002</v>
      </c>
      <c r="CJ23" s="207">
        <f t="shared" si="13"/>
        <v>118.543589155218</v>
      </c>
      <c r="CK23" s="207">
        <v>24694.457620000001</v>
      </c>
      <c r="CL23" s="207">
        <v>3546.6883499999999</v>
      </c>
      <c r="CM23" s="210">
        <v>23387.76281</v>
      </c>
      <c r="CN23" s="207">
        <f t="shared" si="44"/>
        <v>23387.76281</v>
      </c>
      <c r="CO23" s="210">
        <v>2532287.4900000002</v>
      </c>
      <c r="CP23" s="207">
        <f t="shared" si="45"/>
        <v>2532.2874900000002</v>
      </c>
      <c r="CQ23" s="207">
        <f t="shared" si="14"/>
        <v>-1306.6948100000009</v>
      </c>
      <c r="CR23" s="207">
        <f t="shared" si="15"/>
        <v>-1014.4008599999997</v>
      </c>
      <c r="CS23" s="207">
        <f t="shared" si="16"/>
        <v>-37121.092289999826</v>
      </c>
      <c r="CT23" s="207">
        <f t="shared" si="17"/>
        <v>-6306.6948099997826</v>
      </c>
      <c r="CU23" s="207">
        <v>27600</v>
      </c>
      <c r="CV23" s="207">
        <v>32600</v>
      </c>
      <c r="CW23" s="207">
        <f t="shared" si="46"/>
        <v>5000</v>
      </c>
      <c r="CX23" s="206">
        <v>0</v>
      </c>
      <c r="CY23" s="206">
        <v>783282444.11000001</v>
      </c>
      <c r="CZ23" s="206">
        <v>13119102.66</v>
      </c>
      <c r="DA23" s="206">
        <v>59212736.43</v>
      </c>
      <c r="DB23" s="207">
        <f t="shared" si="47"/>
        <v>855614.28319999995</v>
      </c>
      <c r="DC23" s="206">
        <v>0</v>
      </c>
      <c r="DD23" s="206">
        <v>782204183.70000005</v>
      </c>
      <c r="DE23" s="206">
        <v>12222329.859999999</v>
      </c>
      <c r="DF23" s="206">
        <v>51665044.969999999</v>
      </c>
      <c r="DG23" s="207">
        <f t="shared" si="48"/>
        <v>846091.55853000004</v>
      </c>
      <c r="DH23" s="211">
        <f t="shared" si="18"/>
        <v>780635.81585999997</v>
      </c>
      <c r="DI23" s="211">
        <f t="shared" si="19"/>
        <v>779557.55544999999</v>
      </c>
      <c r="DJ23" s="207">
        <f t="shared" si="49"/>
        <v>99.861874079040021</v>
      </c>
      <c r="DK23" s="206">
        <v>152002253.31</v>
      </c>
      <c r="DL23" s="207">
        <f t="shared" si="50"/>
        <v>152002.25331</v>
      </c>
      <c r="DM23" s="206">
        <v>155595100.15000001</v>
      </c>
      <c r="DN23" s="207">
        <f t="shared" si="50"/>
        <v>155595.10015000001</v>
      </c>
      <c r="DO23" s="210">
        <v>178526.75</v>
      </c>
      <c r="DP23" s="207">
        <f t="shared" si="50"/>
        <v>178.52674999999999</v>
      </c>
      <c r="DQ23" s="210">
        <v>88579.28</v>
      </c>
      <c r="DR23" s="207">
        <f t="shared" si="50"/>
        <v>88.579279999999997</v>
      </c>
      <c r="DS23" s="207">
        <f t="shared" si="51"/>
        <v>-89.947469999999996</v>
      </c>
      <c r="DT23" s="207">
        <v>35385.728710000003</v>
      </c>
      <c r="DU23" s="207">
        <v>5822.0637800000004</v>
      </c>
      <c r="DV23" s="207">
        <v>35253.170140000002</v>
      </c>
      <c r="DW23" s="207">
        <v>6142.9548999999997</v>
      </c>
      <c r="DX23" s="207">
        <f t="shared" si="52"/>
        <v>-132.55857000000105</v>
      </c>
      <c r="DY23" s="207">
        <f t="shared" si="53"/>
        <v>320.89111999999932</v>
      </c>
    </row>
    <row r="24" spans="1:129" s="207" customFormat="1" x14ac:dyDescent="0.25">
      <c r="A24" s="205" t="s">
        <v>180</v>
      </c>
      <c r="B24" s="206">
        <v>0</v>
      </c>
      <c r="C24" s="206">
        <v>859472600.11000001</v>
      </c>
      <c r="D24" s="206">
        <v>0</v>
      </c>
      <c r="E24" s="206">
        <v>93467004.579999998</v>
      </c>
      <c r="F24" s="207">
        <f t="shared" si="20"/>
        <v>952939.60469000007</v>
      </c>
      <c r="G24" s="206">
        <v>0</v>
      </c>
      <c r="H24" s="206">
        <v>861075083.94000006</v>
      </c>
      <c r="I24" s="206">
        <v>0</v>
      </c>
      <c r="J24" s="206">
        <v>93860897.340000004</v>
      </c>
      <c r="K24" s="207">
        <f t="shared" si="0"/>
        <v>954935.98128000007</v>
      </c>
      <c r="L24" s="206">
        <v>56395310.600000001</v>
      </c>
      <c r="M24" s="206">
        <v>0</v>
      </c>
      <c r="N24" s="206">
        <v>66000</v>
      </c>
      <c r="O24" s="207">
        <f t="shared" si="21"/>
        <v>56461.310600000004</v>
      </c>
      <c r="P24" s="206">
        <v>56231526.049999997</v>
      </c>
      <c r="Q24" s="206">
        <v>0</v>
      </c>
      <c r="R24" s="206">
        <v>66000</v>
      </c>
      <c r="S24" s="207">
        <f t="shared" si="22"/>
        <v>56297.52605</v>
      </c>
      <c r="T24" s="206">
        <v>0</v>
      </c>
      <c r="U24" s="206">
        <v>870492144.33000004</v>
      </c>
      <c r="V24" s="206">
        <v>0</v>
      </c>
      <c r="W24" s="206">
        <v>97958699.150000006</v>
      </c>
      <c r="X24" s="207">
        <f t="shared" si="1"/>
        <v>968450.84348000004</v>
      </c>
      <c r="Y24" s="206">
        <v>0</v>
      </c>
      <c r="Z24" s="206">
        <v>867273614.48000002</v>
      </c>
      <c r="AA24" s="206">
        <v>0</v>
      </c>
      <c r="AB24" s="206">
        <v>90934874.299999997</v>
      </c>
      <c r="AC24" s="207">
        <f t="shared" si="23"/>
        <v>958208.48878000001</v>
      </c>
      <c r="AD24" s="207">
        <f t="shared" si="2"/>
        <v>896478.2940900001</v>
      </c>
      <c r="AE24" s="207">
        <f t="shared" si="3"/>
        <v>898638.45523000008</v>
      </c>
      <c r="AF24" s="207">
        <f t="shared" si="24"/>
        <v>100.24096078558074</v>
      </c>
      <c r="AG24" s="208">
        <v>896478</v>
      </c>
      <c r="AH24" s="208">
        <f t="shared" si="25"/>
        <v>-0.29409000009763986</v>
      </c>
      <c r="AI24" s="208">
        <v>898638</v>
      </c>
      <c r="AJ24" s="208">
        <f t="shared" si="26"/>
        <v>-0.45523000007960945</v>
      </c>
      <c r="AK24" s="207">
        <f t="shared" si="4"/>
        <v>911989.53288000007</v>
      </c>
      <c r="AL24" s="207">
        <f t="shared" si="5"/>
        <v>901910.96273000003</v>
      </c>
      <c r="AM24" s="207">
        <f t="shared" si="27"/>
        <v>98.894880940335725</v>
      </c>
      <c r="AN24" s="206">
        <v>0</v>
      </c>
      <c r="AO24" s="206">
        <v>730620347.88999999</v>
      </c>
      <c r="AP24" s="206">
        <v>0</v>
      </c>
      <c r="AQ24" s="206">
        <v>56395310.600000001</v>
      </c>
      <c r="AR24" s="209">
        <f t="shared" si="6"/>
        <v>0</v>
      </c>
      <c r="AS24" s="207">
        <f t="shared" si="28"/>
        <v>787015.65849000006</v>
      </c>
      <c r="AT24" s="206">
        <v>0</v>
      </c>
      <c r="AU24" s="206">
        <v>730509522.44000006</v>
      </c>
      <c r="AV24" s="206">
        <v>0</v>
      </c>
      <c r="AW24" s="206">
        <v>56231526.049999997</v>
      </c>
      <c r="AX24" s="209">
        <f t="shared" si="7"/>
        <v>0</v>
      </c>
      <c r="AY24" s="207">
        <f t="shared" si="29"/>
        <v>786741.04848999996</v>
      </c>
      <c r="AZ24" s="207">
        <f t="shared" si="8"/>
        <v>730554.34789000009</v>
      </c>
      <c r="BA24" s="207">
        <f t="shared" si="9"/>
        <v>730443.52243999997</v>
      </c>
      <c r="BB24" s="207">
        <f t="shared" si="30"/>
        <v>99.984829951348559</v>
      </c>
      <c r="BC24" s="206">
        <v>0</v>
      </c>
      <c r="BD24" s="206">
        <v>130271900</v>
      </c>
      <c r="BE24" s="206">
        <v>0</v>
      </c>
      <c r="BF24" s="206">
        <v>39044465.130000003</v>
      </c>
      <c r="BG24" s="207">
        <f t="shared" si="31"/>
        <v>169316.36512999999</v>
      </c>
      <c r="BH24" s="206">
        <v>0</v>
      </c>
      <c r="BI24" s="206">
        <v>131985209.28</v>
      </c>
      <c r="BJ24" s="206">
        <v>0</v>
      </c>
      <c r="BK24" s="206">
        <v>39602142.439999998</v>
      </c>
      <c r="BL24" s="207">
        <f t="shared" si="32"/>
        <v>171587.35172000001</v>
      </c>
      <c r="BM24" s="210">
        <v>17005000</v>
      </c>
      <c r="BN24" s="207">
        <f t="shared" si="33"/>
        <v>17005</v>
      </c>
      <c r="BO24" s="210">
        <v>16082898.43</v>
      </c>
      <c r="BP24" s="207">
        <f t="shared" si="34"/>
        <v>16082.898429999999</v>
      </c>
      <c r="BQ24" s="207">
        <f t="shared" si="10"/>
        <v>94.577467980005864</v>
      </c>
      <c r="BR24" s="210">
        <v>13569463.359999999</v>
      </c>
      <c r="BS24" s="207">
        <f t="shared" si="35"/>
        <v>13569.46336</v>
      </c>
      <c r="BT24" s="363">
        <v>12817185.359999999</v>
      </c>
      <c r="BU24" s="207">
        <f t="shared" si="36"/>
        <v>12817.185359999999</v>
      </c>
      <c r="BV24" s="207">
        <f t="shared" si="11"/>
        <v>94.45609616208138</v>
      </c>
      <c r="BW24" s="210">
        <v>14143655</v>
      </c>
      <c r="BX24" s="207">
        <f t="shared" si="37"/>
        <v>14143.655000000001</v>
      </c>
      <c r="BY24" s="210">
        <v>14093243.07</v>
      </c>
      <c r="BZ24" s="207">
        <f t="shared" si="38"/>
        <v>14093.24307</v>
      </c>
      <c r="CA24" s="210">
        <v>15856038.77</v>
      </c>
      <c r="CB24" s="207">
        <f t="shared" si="39"/>
        <v>15856.038769999999</v>
      </c>
      <c r="CC24" s="207">
        <f t="shared" si="12"/>
        <v>112.10708101972226</v>
      </c>
      <c r="CD24" s="207">
        <f t="shared" si="40"/>
        <v>1762.7956999999988</v>
      </c>
      <c r="CE24" s="207">
        <f t="shared" si="41"/>
        <v>12.508091226727132</v>
      </c>
      <c r="CF24" s="210">
        <v>18506233.039999999</v>
      </c>
      <c r="CG24" s="207">
        <f t="shared" si="42"/>
        <v>18506.233039999999</v>
      </c>
      <c r="CH24" s="210">
        <v>20033071.879999999</v>
      </c>
      <c r="CI24" s="207">
        <f t="shared" si="43"/>
        <v>20033.07188</v>
      </c>
      <c r="CJ24" s="207">
        <f t="shared" si="13"/>
        <v>108.25040318415877</v>
      </c>
      <c r="CK24" s="207">
        <v>31892.288530000002</v>
      </c>
      <c r="CL24" s="207">
        <v>3378.5789300000001</v>
      </c>
      <c r="CM24" s="210">
        <v>28619.781029999998</v>
      </c>
      <c r="CN24" s="207">
        <f t="shared" si="44"/>
        <v>28619.781029999998</v>
      </c>
      <c r="CO24" s="210">
        <v>415029.22</v>
      </c>
      <c r="CP24" s="207">
        <f t="shared" si="45"/>
        <v>415.02921999999995</v>
      </c>
      <c r="CQ24" s="207">
        <f t="shared" si="14"/>
        <v>-3272.5075000000033</v>
      </c>
      <c r="CR24" s="207">
        <f t="shared" si="15"/>
        <v>-2963.5497100000002</v>
      </c>
      <c r="CS24" s="207">
        <f t="shared" si="16"/>
        <v>-15511.238789999974</v>
      </c>
      <c r="CT24" s="207">
        <f t="shared" si="17"/>
        <v>-3272.5074999999488</v>
      </c>
      <c r="CU24" s="207">
        <v>0</v>
      </c>
      <c r="CV24" s="211">
        <v>0</v>
      </c>
      <c r="CW24" s="207">
        <f t="shared" si="46"/>
        <v>0</v>
      </c>
      <c r="CX24" s="206">
        <v>0</v>
      </c>
      <c r="CY24" s="206">
        <v>729200700.11000001</v>
      </c>
      <c r="CZ24" s="206">
        <v>0</v>
      </c>
      <c r="DA24" s="206">
        <v>54422539.450000003</v>
      </c>
      <c r="DB24" s="207">
        <f t="shared" si="47"/>
        <v>783623.23956000002</v>
      </c>
      <c r="DC24" s="206">
        <v>0</v>
      </c>
      <c r="DD24" s="206">
        <v>729089874.65999997</v>
      </c>
      <c r="DE24" s="206">
        <v>0</v>
      </c>
      <c r="DF24" s="206">
        <v>54258754.899999999</v>
      </c>
      <c r="DG24" s="207">
        <f t="shared" si="48"/>
        <v>783348.62955999991</v>
      </c>
      <c r="DH24" s="211">
        <f t="shared" si="18"/>
        <v>727161.92896000005</v>
      </c>
      <c r="DI24" s="211">
        <f t="shared" si="19"/>
        <v>727051.10350999993</v>
      </c>
      <c r="DJ24" s="207">
        <f t="shared" si="49"/>
        <v>99.98475917872122</v>
      </c>
      <c r="DK24" s="206">
        <v>75270750</v>
      </c>
      <c r="DL24" s="207">
        <f t="shared" si="50"/>
        <v>75270.75</v>
      </c>
      <c r="DM24" s="206">
        <v>75672573.489999995</v>
      </c>
      <c r="DN24" s="207">
        <f t="shared" si="50"/>
        <v>75672.573489999995</v>
      </c>
      <c r="DO24" s="210">
        <v>486291.66</v>
      </c>
      <c r="DP24" s="207">
        <f t="shared" si="50"/>
        <v>486.29165999999998</v>
      </c>
      <c r="DQ24" s="210">
        <v>894965</v>
      </c>
      <c r="DR24" s="207">
        <f t="shared" si="50"/>
        <v>894.96500000000003</v>
      </c>
      <c r="DS24" s="207">
        <f t="shared" si="51"/>
        <v>408.67334000000005</v>
      </c>
      <c r="DT24" s="207">
        <v>15228.034190000002</v>
      </c>
      <c r="DU24" s="207">
        <v>299.80041</v>
      </c>
      <c r="DV24" s="207">
        <v>10439.640220000001</v>
      </c>
      <c r="DW24" s="207">
        <v>214.24440999999999</v>
      </c>
      <c r="DX24" s="207">
        <f t="shared" si="52"/>
        <v>-4788.393970000001</v>
      </c>
      <c r="DY24" s="207">
        <f t="shared" si="53"/>
        <v>-85.556000000000012</v>
      </c>
    </row>
    <row r="25" spans="1:129" s="207" customFormat="1" x14ac:dyDescent="0.25">
      <c r="A25" s="205" t="s">
        <v>181</v>
      </c>
      <c r="B25" s="206">
        <v>0</v>
      </c>
      <c r="C25" s="206">
        <v>363999256.07999998</v>
      </c>
      <c r="D25" s="206">
        <v>28235776</v>
      </c>
      <c r="E25" s="206">
        <v>18752198.719999999</v>
      </c>
      <c r="F25" s="207">
        <f t="shared" si="20"/>
        <v>410987.23079999996</v>
      </c>
      <c r="G25" s="206">
        <v>0</v>
      </c>
      <c r="H25" s="206">
        <v>363891670.00999999</v>
      </c>
      <c r="I25" s="206">
        <v>27556251.800000001</v>
      </c>
      <c r="J25" s="206">
        <v>17571642.969999999</v>
      </c>
      <c r="K25" s="207">
        <f t="shared" si="0"/>
        <v>409019.56477999996</v>
      </c>
      <c r="L25" s="206">
        <v>20730675</v>
      </c>
      <c r="M25" s="206">
        <v>178000</v>
      </c>
      <c r="N25" s="206">
        <v>90000</v>
      </c>
      <c r="O25" s="207">
        <f t="shared" si="21"/>
        <v>20998.674999999999</v>
      </c>
      <c r="P25" s="206">
        <v>20326507.939999998</v>
      </c>
      <c r="Q25" s="206">
        <v>178000</v>
      </c>
      <c r="R25" s="206">
        <v>90000</v>
      </c>
      <c r="S25" s="207">
        <f t="shared" si="22"/>
        <v>20594.507939999996</v>
      </c>
      <c r="T25" s="206">
        <v>0</v>
      </c>
      <c r="U25" s="206">
        <v>370179901.17000002</v>
      </c>
      <c r="V25" s="206">
        <v>28878657.359999999</v>
      </c>
      <c r="W25" s="206">
        <v>19942451.210000001</v>
      </c>
      <c r="X25" s="207">
        <f t="shared" si="1"/>
        <v>419001.00974000001</v>
      </c>
      <c r="Y25" s="206">
        <v>0</v>
      </c>
      <c r="Z25" s="206">
        <v>366960682.19999999</v>
      </c>
      <c r="AA25" s="206">
        <v>28134345.129999999</v>
      </c>
      <c r="AB25" s="206">
        <v>18117273.48</v>
      </c>
      <c r="AC25" s="207">
        <f t="shared" si="23"/>
        <v>413212.30080999999</v>
      </c>
      <c r="AD25" s="207">
        <f t="shared" si="2"/>
        <v>389988.55579999997</v>
      </c>
      <c r="AE25" s="207">
        <f t="shared" si="3"/>
        <v>388425.05683999998</v>
      </c>
      <c r="AF25" s="207">
        <f t="shared" si="24"/>
        <v>99.599091066456367</v>
      </c>
      <c r="AG25" s="208">
        <v>389989</v>
      </c>
      <c r="AH25" s="208">
        <f t="shared" si="25"/>
        <v>0.44420000002719462</v>
      </c>
      <c r="AI25" s="208">
        <v>388425</v>
      </c>
      <c r="AJ25" s="208">
        <f t="shared" si="26"/>
        <v>-5.6839999975636601E-2</v>
      </c>
      <c r="AK25" s="207">
        <f t="shared" si="4"/>
        <v>398002.33474000002</v>
      </c>
      <c r="AL25" s="207">
        <f t="shared" si="5"/>
        <v>392617.79287</v>
      </c>
      <c r="AM25" s="207">
        <f t="shared" si="27"/>
        <v>98.647107968972719</v>
      </c>
      <c r="AN25" s="206">
        <v>0</v>
      </c>
      <c r="AO25" s="206">
        <v>305583574.60000002</v>
      </c>
      <c r="AP25" s="206">
        <v>10099076</v>
      </c>
      <c r="AQ25" s="206">
        <v>10631599</v>
      </c>
      <c r="AR25" s="209">
        <f t="shared" si="6"/>
        <v>0</v>
      </c>
      <c r="AS25" s="207">
        <f t="shared" si="28"/>
        <v>326314.24960000004</v>
      </c>
      <c r="AT25" s="206">
        <v>0</v>
      </c>
      <c r="AU25" s="206">
        <v>305313063.08999997</v>
      </c>
      <c r="AV25" s="206">
        <v>10099076</v>
      </c>
      <c r="AW25" s="206">
        <v>10227431.939999999</v>
      </c>
      <c r="AX25" s="209">
        <f t="shared" si="7"/>
        <v>0</v>
      </c>
      <c r="AY25" s="207">
        <f t="shared" si="29"/>
        <v>325639.57102999999</v>
      </c>
      <c r="AZ25" s="207">
        <f t="shared" si="8"/>
        <v>305315.57460000005</v>
      </c>
      <c r="BA25" s="207">
        <f t="shared" si="9"/>
        <v>305045.06309000001</v>
      </c>
      <c r="BB25" s="207">
        <f t="shared" si="30"/>
        <v>99.911399374121544</v>
      </c>
      <c r="BC25" s="206">
        <v>0</v>
      </c>
      <c r="BD25" s="206">
        <v>58461500.200000003</v>
      </c>
      <c r="BE25" s="206">
        <v>18136700</v>
      </c>
      <c r="BF25" s="206">
        <v>8172340</v>
      </c>
      <c r="BG25" s="207">
        <f t="shared" si="31"/>
        <v>84770.540200000003</v>
      </c>
      <c r="BH25" s="206">
        <v>0</v>
      </c>
      <c r="BI25" s="206">
        <v>58624425.640000001</v>
      </c>
      <c r="BJ25" s="206">
        <v>17457175.800000001</v>
      </c>
      <c r="BK25" s="206">
        <v>7395951.3099999996</v>
      </c>
      <c r="BL25" s="207">
        <f t="shared" si="32"/>
        <v>83477.552750000003</v>
      </c>
      <c r="BM25" s="210">
        <v>8997500</v>
      </c>
      <c r="BN25" s="207">
        <f t="shared" si="33"/>
        <v>8997.5</v>
      </c>
      <c r="BO25" s="210">
        <v>8767705.2699999996</v>
      </c>
      <c r="BP25" s="207">
        <f t="shared" si="34"/>
        <v>8767.7052700000004</v>
      </c>
      <c r="BQ25" s="207">
        <f t="shared" si="10"/>
        <v>97.446015782161723</v>
      </c>
      <c r="BR25" s="210">
        <v>517000</v>
      </c>
      <c r="BS25" s="207">
        <f t="shared" si="35"/>
        <v>517</v>
      </c>
      <c r="BT25" s="363">
        <v>806155.36</v>
      </c>
      <c r="BU25" s="207">
        <f t="shared" si="36"/>
        <v>806.15535999999997</v>
      </c>
      <c r="BV25" s="207">
        <f t="shared" si="11"/>
        <v>155.92947001934235</v>
      </c>
      <c r="BW25" s="210">
        <v>12176000</v>
      </c>
      <c r="BX25" s="207">
        <f t="shared" si="37"/>
        <v>12176</v>
      </c>
      <c r="BY25" s="210">
        <v>9317735.4600000009</v>
      </c>
      <c r="BZ25" s="207">
        <f t="shared" si="38"/>
        <v>9317.7354600000017</v>
      </c>
      <c r="CA25" s="210">
        <v>10557023.939999999</v>
      </c>
      <c r="CB25" s="207">
        <f t="shared" si="39"/>
        <v>10557.023939999999</v>
      </c>
      <c r="CC25" s="207">
        <f t="shared" si="12"/>
        <v>86.703547470433634</v>
      </c>
      <c r="CD25" s="207">
        <f t="shared" si="40"/>
        <v>1239.2884799999974</v>
      </c>
      <c r="CE25" s="207">
        <f t="shared" si="41"/>
        <v>13.300318358684095</v>
      </c>
      <c r="CF25" s="210">
        <v>13129140</v>
      </c>
      <c r="CG25" s="207">
        <f t="shared" si="42"/>
        <v>13129.14</v>
      </c>
      <c r="CH25" s="210">
        <v>12156533.34</v>
      </c>
      <c r="CI25" s="207">
        <f t="shared" si="43"/>
        <v>12156.53334</v>
      </c>
      <c r="CJ25" s="207">
        <f t="shared" si="13"/>
        <v>92.59200023763934</v>
      </c>
      <c r="CK25" s="207">
        <v>28563.21675</v>
      </c>
      <c r="CL25" s="207">
        <v>96.801000000000002</v>
      </c>
      <c r="CM25" s="210">
        <v>24370.48072</v>
      </c>
      <c r="CN25" s="207">
        <f t="shared" si="44"/>
        <v>24370.48072</v>
      </c>
      <c r="CO25" s="210">
        <v>0</v>
      </c>
      <c r="CP25" s="207">
        <f t="shared" si="45"/>
        <v>0</v>
      </c>
      <c r="CQ25" s="207">
        <f t="shared" si="14"/>
        <v>-4192.73603</v>
      </c>
      <c r="CR25" s="207">
        <f t="shared" si="15"/>
        <v>-96.801000000000002</v>
      </c>
      <c r="CS25" s="207">
        <f t="shared" si="16"/>
        <v>-8013.7789400000474</v>
      </c>
      <c r="CT25" s="207">
        <f t="shared" si="17"/>
        <v>-4192.7360300000291</v>
      </c>
      <c r="CU25" s="207">
        <v>0</v>
      </c>
      <c r="CV25" s="211">
        <v>0</v>
      </c>
      <c r="CW25" s="207">
        <f t="shared" si="46"/>
        <v>0</v>
      </c>
      <c r="CX25" s="206">
        <v>0</v>
      </c>
      <c r="CY25" s="206">
        <v>305537755.88</v>
      </c>
      <c r="CZ25" s="206">
        <v>10099076</v>
      </c>
      <c r="DA25" s="206">
        <v>10579858.720000001</v>
      </c>
      <c r="DB25" s="207">
        <f t="shared" si="47"/>
        <v>326216.69060000003</v>
      </c>
      <c r="DC25" s="206">
        <v>0</v>
      </c>
      <c r="DD25" s="206">
        <v>305267244.37</v>
      </c>
      <c r="DE25" s="206">
        <v>10099076</v>
      </c>
      <c r="DF25" s="206">
        <v>10175691.66</v>
      </c>
      <c r="DG25" s="207">
        <f t="shared" si="48"/>
        <v>325542.01203000004</v>
      </c>
      <c r="DH25" s="211">
        <f t="shared" si="18"/>
        <v>305218.01560000004</v>
      </c>
      <c r="DI25" s="211">
        <f t="shared" si="19"/>
        <v>304947.50409000006</v>
      </c>
      <c r="DJ25" s="207">
        <f t="shared" si="49"/>
        <v>99.911371054074834</v>
      </c>
      <c r="DK25" s="206">
        <v>35754000</v>
      </c>
      <c r="DL25" s="207">
        <f t="shared" si="50"/>
        <v>35754</v>
      </c>
      <c r="DM25" s="206">
        <v>37026124.359999999</v>
      </c>
      <c r="DN25" s="207">
        <f t="shared" si="50"/>
        <v>37026.124360000002</v>
      </c>
      <c r="DO25" s="210">
        <v>7084.96</v>
      </c>
      <c r="DP25" s="207">
        <f t="shared" si="50"/>
        <v>7.0849599999999997</v>
      </c>
      <c r="DQ25" s="210">
        <v>2293.1</v>
      </c>
      <c r="DR25" s="207">
        <f t="shared" si="50"/>
        <v>2.2930999999999999</v>
      </c>
      <c r="DS25" s="207">
        <f t="shared" si="51"/>
        <v>-4.7918599999999998</v>
      </c>
      <c r="DT25" s="207">
        <v>7100.4480100000001</v>
      </c>
      <c r="DU25" s="207">
        <v>0</v>
      </c>
      <c r="DV25" s="207">
        <v>6594.2429400000001</v>
      </c>
      <c r="DW25" s="207">
        <v>0</v>
      </c>
      <c r="DX25" s="207">
        <f t="shared" si="52"/>
        <v>-506.20506999999998</v>
      </c>
      <c r="DY25" s="207">
        <f t="shared" si="53"/>
        <v>0</v>
      </c>
    </row>
    <row r="26" spans="1:129" s="207" customFormat="1" x14ac:dyDescent="0.25">
      <c r="A26" s="205" t="s">
        <v>182</v>
      </c>
      <c r="B26" s="206">
        <v>8313120168.8500004</v>
      </c>
      <c r="C26" s="206">
        <v>0</v>
      </c>
      <c r="D26" s="206">
        <v>0</v>
      </c>
      <c r="E26" s="206">
        <v>0</v>
      </c>
      <c r="F26" s="207">
        <f t="shared" si="20"/>
        <v>8313120.16885</v>
      </c>
      <c r="G26" s="206">
        <v>8285663155.79</v>
      </c>
      <c r="H26" s="206">
        <v>0</v>
      </c>
      <c r="I26" s="206">
        <v>0</v>
      </c>
      <c r="J26" s="206">
        <v>0</v>
      </c>
      <c r="K26" s="207">
        <f t="shared" si="0"/>
        <v>8285663.1557900002</v>
      </c>
      <c r="L26" s="206">
        <v>0</v>
      </c>
      <c r="M26" s="206">
        <v>0</v>
      </c>
      <c r="N26" s="206">
        <v>0</v>
      </c>
      <c r="O26" s="207">
        <f t="shared" si="21"/>
        <v>0</v>
      </c>
      <c r="P26" s="206">
        <v>0</v>
      </c>
      <c r="Q26" s="206">
        <v>0</v>
      </c>
      <c r="R26" s="206">
        <v>0</v>
      </c>
      <c r="S26" s="207">
        <f t="shared" si="22"/>
        <v>0</v>
      </c>
      <c r="T26" s="206">
        <v>8544154178.6800003</v>
      </c>
      <c r="U26" s="206">
        <v>0</v>
      </c>
      <c r="V26" s="206">
        <v>0</v>
      </c>
      <c r="W26" s="206">
        <v>0</v>
      </c>
      <c r="X26" s="207">
        <f t="shared" si="1"/>
        <v>8544154.1786800008</v>
      </c>
      <c r="Y26" s="206">
        <v>8170099940.8999996</v>
      </c>
      <c r="Z26" s="206">
        <v>0</v>
      </c>
      <c r="AA26" s="206">
        <v>0</v>
      </c>
      <c r="AB26" s="206">
        <v>0</v>
      </c>
      <c r="AC26" s="207">
        <f t="shared" si="23"/>
        <v>8170099.9408999998</v>
      </c>
      <c r="AD26" s="207">
        <f t="shared" si="2"/>
        <v>8313120.16885</v>
      </c>
      <c r="AE26" s="207">
        <f t="shared" si="3"/>
        <v>8285663.1557900002</v>
      </c>
      <c r="AF26" s="207">
        <f t="shared" si="24"/>
        <v>99.669714709972752</v>
      </c>
      <c r="AG26" s="208">
        <v>8313120</v>
      </c>
      <c r="AH26" s="208">
        <f t="shared" si="25"/>
        <v>-0.16885000001639128</v>
      </c>
      <c r="AI26" s="208">
        <v>8285663</v>
      </c>
      <c r="AJ26" s="208">
        <f t="shared" si="26"/>
        <v>-0.15579000022262335</v>
      </c>
      <c r="AK26" s="207">
        <f t="shared" si="4"/>
        <v>8544154.1786800008</v>
      </c>
      <c r="AL26" s="207">
        <f t="shared" si="5"/>
        <v>8170099.9408999998</v>
      </c>
      <c r="AM26" s="207">
        <f t="shared" si="27"/>
        <v>95.622103370824362</v>
      </c>
      <c r="AN26" s="206">
        <v>4033086675.4899998</v>
      </c>
      <c r="AO26" s="206">
        <v>0</v>
      </c>
      <c r="AP26" s="206">
        <v>0</v>
      </c>
      <c r="AQ26" s="206">
        <v>0</v>
      </c>
      <c r="AR26" s="209">
        <f t="shared" si="6"/>
        <v>0</v>
      </c>
      <c r="AS26" s="207">
        <f t="shared" si="28"/>
        <v>4033086.6754899998</v>
      </c>
      <c r="AT26" s="206">
        <v>3889191307.3499999</v>
      </c>
      <c r="AU26" s="206">
        <v>0</v>
      </c>
      <c r="AV26" s="206">
        <v>0</v>
      </c>
      <c r="AW26" s="206">
        <v>0</v>
      </c>
      <c r="AX26" s="209">
        <f t="shared" si="7"/>
        <v>0</v>
      </c>
      <c r="AY26" s="207">
        <f t="shared" si="29"/>
        <v>3889191.3073499999</v>
      </c>
      <c r="AZ26" s="207">
        <f t="shared" si="8"/>
        <v>4033086.6754899998</v>
      </c>
      <c r="BA26" s="207">
        <f t="shared" si="9"/>
        <v>3889191.3073499999</v>
      </c>
      <c r="BB26" s="207">
        <f t="shared" si="30"/>
        <v>96.432128051834709</v>
      </c>
      <c r="BC26" s="206">
        <v>4305559713.0299997</v>
      </c>
      <c r="BD26" s="206">
        <v>0</v>
      </c>
      <c r="BE26" s="206">
        <v>0</v>
      </c>
      <c r="BF26" s="206">
        <v>0</v>
      </c>
      <c r="BG26" s="207">
        <f t="shared" si="31"/>
        <v>4305559.7130299993</v>
      </c>
      <c r="BH26" s="206">
        <v>4421997359.5699997</v>
      </c>
      <c r="BI26" s="206">
        <v>0</v>
      </c>
      <c r="BJ26" s="206">
        <v>0</v>
      </c>
      <c r="BK26" s="206">
        <v>0</v>
      </c>
      <c r="BL26" s="207">
        <f t="shared" si="32"/>
        <v>4421997.3595699994</v>
      </c>
      <c r="BM26" s="210">
        <v>499300000</v>
      </c>
      <c r="BN26" s="207">
        <f t="shared" si="33"/>
        <v>499300</v>
      </c>
      <c r="BO26" s="210">
        <v>475479679.06999999</v>
      </c>
      <c r="BP26" s="207">
        <f t="shared" si="34"/>
        <v>475479.67907000001</v>
      </c>
      <c r="BQ26" s="207">
        <f t="shared" si="10"/>
        <v>95.229256773482874</v>
      </c>
      <c r="BR26" s="210">
        <v>143613342</v>
      </c>
      <c r="BS26" s="207">
        <f t="shared" si="35"/>
        <v>143613.342</v>
      </c>
      <c r="BT26" s="363">
        <v>166498898.41999999</v>
      </c>
      <c r="BU26" s="207">
        <f t="shared" si="36"/>
        <v>166498.89841999998</v>
      </c>
      <c r="BV26" s="207">
        <f t="shared" si="11"/>
        <v>115.93553642112163</v>
      </c>
      <c r="BW26" s="210">
        <v>218546000</v>
      </c>
      <c r="BX26" s="207">
        <f t="shared" si="37"/>
        <v>218546</v>
      </c>
      <c r="BY26" s="210">
        <v>237441472.56999999</v>
      </c>
      <c r="BZ26" s="207">
        <f t="shared" si="38"/>
        <v>237441.47256999998</v>
      </c>
      <c r="CA26" s="210">
        <v>236645688.36000001</v>
      </c>
      <c r="CB26" s="207">
        <f t="shared" si="39"/>
        <v>236645.68836</v>
      </c>
      <c r="CC26" s="207">
        <f t="shared" si="12"/>
        <v>108.28186668252907</v>
      </c>
      <c r="CD26" s="207">
        <f t="shared" si="40"/>
        <v>-795.78420999998343</v>
      </c>
      <c r="CE26" s="207">
        <f t="shared" si="41"/>
        <v>-0.33514962714248497</v>
      </c>
      <c r="CF26" s="210">
        <v>341583694</v>
      </c>
      <c r="CG26" s="207">
        <f t="shared" si="42"/>
        <v>341583.69400000002</v>
      </c>
      <c r="CH26" s="210">
        <v>413948981.51999998</v>
      </c>
      <c r="CI26" s="207">
        <f t="shared" si="43"/>
        <v>413948.98151999997</v>
      </c>
      <c r="CJ26" s="207">
        <f t="shared" si="13"/>
        <v>121.18522891786513</v>
      </c>
      <c r="CK26" s="207">
        <v>23609.369989999999</v>
      </c>
      <c r="CL26" s="207">
        <v>3911.0231400000002</v>
      </c>
      <c r="CM26" s="210">
        <v>95172.584879999995</v>
      </c>
      <c r="CN26" s="207">
        <f t="shared" si="44"/>
        <v>95172.584879999995</v>
      </c>
      <c r="CO26" s="210">
        <v>240112.35</v>
      </c>
      <c r="CP26" s="207">
        <f t="shared" si="45"/>
        <v>240.11234999999999</v>
      </c>
      <c r="CQ26" s="207">
        <f t="shared" si="14"/>
        <v>71563.214890000003</v>
      </c>
      <c r="CR26" s="207">
        <f t="shared" si="15"/>
        <v>-3670.9107900000004</v>
      </c>
      <c r="CS26" s="207">
        <f t="shared" si="16"/>
        <v>-231034.00983000081</v>
      </c>
      <c r="CT26" s="207">
        <f t="shared" si="17"/>
        <v>115563.21489000041</v>
      </c>
      <c r="CU26" s="207">
        <v>1579000</v>
      </c>
      <c r="CV26" s="211">
        <v>1535000</v>
      </c>
      <c r="CW26" s="207">
        <f t="shared" si="46"/>
        <v>-44000</v>
      </c>
      <c r="CX26" s="206">
        <v>4007560455.8200002</v>
      </c>
      <c r="CY26" s="206">
        <v>0</v>
      </c>
      <c r="CZ26" s="206">
        <v>0</v>
      </c>
      <c r="DA26" s="206">
        <v>0</v>
      </c>
      <c r="DB26" s="207">
        <f t="shared" si="47"/>
        <v>4007560.4558200003</v>
      </c>
      <c r="DC26" s="206">
        <v>3863665796.2199998</v>
      </c>
      <c r="DD26" s="206">
        <v>0</v>
      </c>
      <c r="DE26" s="206">
        <v>0</v>
      </c>
      <c r="DF26" s="206">
        <v>0</v>
      </c>
      <c r="DG26" s="207">
        <f t="shared" si="48"/>
        <v>3863665.7962199999</v>
      </c>
      <c r="DH26" s="211">
        <f t="shared" si="18"/>
        <v>4007560.4558200003</v>
      </c>
      <c r="DI26" s="211">
        <f t="shared" si="19"/>
        <v>3863665.7962199999</v>
      </c>
      <c r="DJ26" s="207">
        <f t="shared" si="49"/>
        <v>96.409420115146901</v>
      </c>
      <c r="DK26" s="206">
        <v>2891074500</v>
      </c>
      <c r="DL26" s="207">
        <f t="shared" si="50"/>
        <v>2891074.5</v>
      </c>
      <c r="DM26" s="206">
        <v>2861232587.1399999</v>
      </c>
      <c r="DN26" s="207">
        <f t="shared" si="50"/>
        <v>2861232.58714</v>
      </c>
      <c r="DO26" s="210">
        <v>129711416.70999999</v>
      </c>
      <c r="DP26" s="207">
        <f t="shared" si="50"/>
        <v>129711.41670999999</v>
      </c>
      <c r="DQ26" s="210">
        <v>87777279.299999997</v>
      </c>
      <c r="DR26" s="207">
        <f t="shared" si="50"/>
        <v>87777.279299999995</v>
      </c>
      <c r="DS26" s="207">
        <f t="shared" si="51"/>
        <v>-41934.137409999996</v>
      </c>
      <c r="DT26" s="207">
        <v>197516.90841999999</v>
      </c>
      <c r="DU26" s="207">
        <v>9058.7393000000011</v>
      </c>
      <c r="DV26" s="207">
        <v>240389.07295</v>
      </c>
      <c r="DW26" s="207">
        <v>333.33395999999999</v>
      </c>
      <c r="DX26" s="207">
        <f t="shared" si="52"/>
        <v>42872.164530000009</v>
      </c>
      <c r="DY26" s="207">
        <f t="shared" si="53"/>
        <v>-8725.4053400000012</v>
      </c>
    </row>
    <row r="27" spans="1:129" s="207" customFormat="1" x14ac:dyDescent="0.25">
      <c r="A27" s="205" t="s">
        <v>183</v>
      </c>
      <c r="B27" s="206">
        <v>6324594296.4200001</v>
      </c>
      <c r="C27" s="206">
        <v>0</v>
      </c>
      <c r="D27" s="206">
        <v>0</v>
      </c>
      <c r="E27" s="206">
        <v>0</v>
      </c>
      <c r="F27" s="207">
        <f t="shared" si="20"/>
        <v>6324594.2964200005</v>
      </c>
      <c r="G27" s="206">
        <v>6352820878.1300001</v>
      </c>
      <c r="H27" s="206">
        <v>0</v>
      </c>
      <c r="I27" s="206">
        <v>0</v>
      </c>
      <c r="J27" s="206">
        <v>0</v>
      </c>
      <c r="K27" s="207">
        <f t="shared" si="0"/>
        <v>6352820.8781300001</v>
      </c>
      <c r="L27" s="206">
        <v>0</v>
      </c>
      <c r="M27" s="206">
        <v>0</v>
      </c>
      <c r="N27" s="206">
        <v>0</v>
      </c>
      <c r="O27" s="207">
        <f t="shared" si="21"/>
        <v>0</v>
      </c>
      <c r="P27" s="206">
        <v>0</v>
      </c>
      <c r="Q27" s="206">
        <v>0</v>
      </c>
      <c r="R27" s="206">
        <v>0</v>
      </c>
      <c r="S27" s="207">
        <f t="shared" si="22"/>
        <v>0</v>
      </c>
      <c r="T27" s="206">
        <v>6416933513.7399998</v>
      </c>
      <c r="U27" s="206">
        <v>0</v>
      </c>
      <c r="V27" s="206">
        <v>0</v>
      </c>
      <c r="W27" s="206">
        <v>0</v>
      </c>
      <c r="X27" s="207">
        <f t="shared" si="1"/>
        <v>6416933.5137399994</v>
      </c>
      <c r="Y27" s="206">
        <v>6347563785.1499996</v>
      </c>
      <c r="Z27" s="206">
        <v>0</v>
      </c>
      <c r="AA27" s="206">
        <v>0</v>
      </c>
      <c r="AB27" s="206">
        <v>0</v>
      </c>
      <c r="AC27" s="207">
        <f t="shared" si="23"/>
        <v>6347563.7851499999</v>
      </c>
      <c r="AD27" s="207">
        <f t="shared" si="2"/>
        <v>6324594.2964200005</v>
      </c>
      <c r="AE27" s="207">
        <f t="shared" si="3"/>
        <v>6352820.8781300001</v>
      </c>
      <c r="AF27" s="207">
        <f t="shared" si="24"/>
        <v>100.4462986934352</v>
      </c>
      <c r="AG27" s="208">
        <v>6324594</v>
      </c>
      <c r="AH27" s="208">
        <f t="shared" si="25"/>
        <v>-0.29642000049352646</v>
      </c>
      <c r="AI27" s="208">
        <v>6352821</v>
      </c>
      <c r="AJ27" s="208">
        <f t="shared" si="26"/>
        <v>0.1218699999153614</v>
      </c>
      <c r="AK27" s="207">
        <f t="shared" si="4"/>
        <v>6416933.5137399994</v>
      </c>
      <c r="AL27" s="207">
        <f t="shared" si="5"/>
        <v>6347563.7851499999</v>
      </c>
      <c r="AM27" s="207">
        <f t="shared" si="27"/>
        <v>98.918958277478424</v>
      </c>
      <c r="AN27" s="206">
        <v>2991796052.8600001</v>
      </c>
      <c r="AO27" s="206">
        <v>0</v>
      </c>
      <c r="AP27" s="206">
        <v>0</v>
      </c>
      <c r="AQ27" s="206">
        <v>0</v>
      </c>
      <c r="AR27" s="209">
        <f t="shared" si="6"/>
        <v>0</v>
      </c>
      <c r="AS27" s="207">
        <f t="shared" si="28"/>
        <v>2991796.0528600002</v>
      </c>
      <c r="AT27" s="206">
        <v>2976810098.6900001</v>
      </c>
      <c r="AU27" s="206">
        <v>0</v>
      </c>
      <c r="AV27" s="206">
        <v>0</v>
      </c>
      <c r="AW27" s="206">
        <v>0</v>
      </c>
      <c r="AX27" s="209">
        <f t="shared" si="7"/>
        <v>0</v>
      </c>
      <c r="AY27" s="207">
        <f t="shared" si="29"/>
        <v>2976810.0986899999</v>
      </c>
      <c r="AZ27" s="207">
        <f t="shared" si="8"/>
        <v>2991796.0528600002</v>
      </c>
      <c r="BA27" s="207">
        <f t="shared" si="9"/>
        <v>2976810.0986899999</v>
      </c>
      <c r="BB27" s="207">
        <f t="shared" si="30"/>
        <v>99.499098404262071</v>
      </c>
      <c r="BC27" s="206">
        <v>3356185241.3000002</v>
      </c>
      <c r="BD27" s="206">
        <v>0</v>
      </c>
      <c r="BE27" s="206">
        <v>0</v>
      </c>
      <c r="BF27" s="206">
        <v>0</v>
      </c>
      <c r="BG27" s="207">
        <f t="shared" si="31"/>
        <v>3356185.2413000003</v>
      </c>
      <c r="BH27" s="206">
        <v>3399457334.9499998</v>
      </c>
      <c r="BI27" s="206">
        <v>0</v>
      </c>
      <c r="BJ27" s="206">
        <v>0</v>
      </c>
      <c r="BK27" s="206">
        <v>0</v>
      </c>
      <c r="BL27" s="207">
        <f t="shared" si="32"/>
        <v>3399457.3349499996</v>
      </c>
      <c r="BM27" s="210">
        <v>158206000</v>
      </c>
      <c r="BN27" s="207">
        <f t="shared" si="33"/>
        <v>158206</v>
      </c>
      <c r="BO27" s="210">
        <v>157047820.84</v>
      </c>
      <c r="BP27" s="207">
        <f t="shared" si="34"/>
        <v>157047.82084</v>
      </c>
      <c r="BQ27" s="207">
        <f t="shared" si="10"/>
        <v>99.267929686611126</v>
      </c>
      <c r="BR27" s="210">
        <v>284918217.69999999</v>
      </c>
      <c r="BS27" s="207">
        <f t="shared" si="35"/>
        <v>284918.21769999998</v>
      </c>
      <c r="BT27" s="363">
        <v>298306771.64999998</v>
      </c>
      <c r="BU27" s="207">
        <f t="shared" si="36"/>
        <v>298306.77164999995</v>
      </c>
      <c r="BV27" s="207">
        <f t="shared" si="11"/>
        <v>104.6990866565427</v>
      </c>
      <c r="BW27" s="210">
        <v>222613800</v>
      </c>
      <c r="BX27" s="207">
        <f t="shared" si="37"/>
        <v>222613.8</v>
      </c>
      <c r="BY27" s="210">
        <v>197878302.88999999</v>
      </c>
      <c r="BZ27" s="207">
        <f t="shared" si="38"/>
        <v>197878.30288999999</v>
      </c>
      <c r="CA27" s="210">
        <v>232229310.16</v>
      </c>
      <c r="CB27" s="207">
        <f t="shared" si="39"/>
        <v>232229.31015999999</v>
      </c>
      <c r="CC27" s="207">
        <f t="shared" si="12"/>
        <v>104.3193684129196</v>
      </c>
      <c r="CD27" s="207">
        <f t="shared" si="40"/>
        <v>34351.007270000002</v>
      </c>
      <c r="CE27" s="207">
        <f t="shared" si="41"/>
        <v>17.359663373045819</v>
      </c>
      <c r="CF27" s="210">
        <v>210722168.50999999</v>
      </c>
      <c r="CG27" s="207">
        <f t="shared" si="42"/>
        <v>210722.16850999999</v>
      </c>
      <c r="CH27" s="210">
        <v>211183306.19</v>
      </c>
      <c r="CI27" s="207">
        <f t="shared" si="43"/>
        <v>211183.30619</v>
      </c>
      <c r="CJ27" s="207">
        <f t="shared" si="13"/>
        <v>100.21883681401947</v>
      </c>
      <c r="CK27" s="207">
        <v>134716.48724000002</v>
      </c>
      <c r="CL27" s="207">
        <v>27139.455989999999</v>
      </c>
      <c r="CM27" s="210">
        <v>119973.58022</v>
      </c>
      <c r="CN27" s="207">
        <f t="shared" si="44"/>
        <v>119973.58022</v>
      </c>
      <c r="CO27" s="210">
        <v>0</v>
      </c>
      <c r="CP27" s="207">
        <f t="shared" si="45"/>
        <v>0</v>
      </c>
      <c r="CQ27" s="207">
        <f t="shared" si="14"/>
        <v>-14742.907020000013</v>
      </c>
      <c r="CR27" s="207">
        <f t="shared" si="15"/>
        <v>-27139.455989999999</v>
      </c>
      <c r="CS27" s="207">
        <f t="shared" si="16"/>
        <v>-92339.21731999889</v>
      </c>
      <c r="CT27" s="207">
        <f t="shared" si="17"/>
        <v>5257.0929800001904</v>
      </c>
      <c r="CU27" s="207">
        <v>1681466.665</v>
      </c>
      <c r="CV27" s="211">
        <v>1661466.665</v>
      </c>
      <c r="CW27" s="207">
        <f t="shared" si="46"/>
        <v>-20000</v>
      </c>
      <c r="CX27" s="206">
        <v>2968409055.1199999</v>
      </c>
      <c r="CY27" s="206">
        <v>0</v>
      </c>
      <c r="CZ27" s="206">
        <v>0</v>
      </c>
      <c r="DA27" s="206">
        <v>0</v>
      </c>
      <c r="DB27" s="207">
        <f t="shared" si="47"/>
        <v>2968409.0551199997</v>
      </c>
      <c r="DC27" s="206">
        <v>2953363543.1799998</v>
      </c>
      <c r="DD27" s="206">
        <v>0</v>
      </c>
      <c r="DE27" s="206">
        <v>0</v>
      </c>
      <c r="DF27" s="206">
        <v>0</v>
      </c>
      <c r="DG27" s="207">
        <f t="shared" si="48"/>
        <v>2953363.54318</v>
      </c>
      <c r="DH27" s="211">
        <f t="shared" si="18"/>
        <v>2968409.0551199997</v>
      </c>
      <c r="DI27" s="211">
        <f t="shared" si="19"/>
        <v>2953363.54318</v>
      </c>
      <c r="DJ27" s="207">
        <f t="shared" si="49"/>
        <v>99.493145598850376</v>
      </c>
      <c r="DK27" s="206">
        <v>2384248800</v>
      </c>
      <c r="DL27" s="207">
        <f t="shared" si="50"/>
        <v>2384248.7999999998</v>
      </c>
      <c r="DM27" s="206">
        <v>2395490346.79</v>
      </c>
      <c r="DN27" s="207">
        <f t="shared" si="50"/>
        <v>2395490.3467899999</v>
      </c>
      <c r="DO27" s="210">
        <v>235160.32000000001</v>
      </c>
      <c r="DP27" s="207">
        <f t="shared" si="50"/>
        <v>235.16032000000001</v>
      </c>
      <c r="DQ27" s="210">
        <v>315173.67</v>
      </c>
      <c r="DR27" s="207">
        <f t="shared" si="50"/>
        <v>315.17366999999996</v>
      </c>
      <c r="DS27" s="207">
        <f t="shared" si="51"/>
        <v>80.013349999999946</v>
      </c>
      <c r="DT27" s="207">
        <v>239811.14918000001</v>
      </c>
      <c r="DU27" s="207">
        <v>0</v>
      </c>
      <c r="DV27" s="207">
        <v>207914.75416000001</v>
      </c>
      <c r="DW27" s="207">
        <v>0</v>
      </c>
      <c r="DX27" s="207">
        <f t="shared" si="52"/>
        <v>-31896.395019999996</v>
      </c>
      <c r="DY27" s="207">
        <f t="shared" si="53"/>
        <v>0</v>
      </c>
    </row>
    <row r="28" spans="1:129" s="207" customFormat="1" x14ac:dyDescent="0.25">
      <c r="A28" s="205" t="s">
        <v>184</v>
      </c>
      <c r="B28" s="206">
        <v>1790664370.02</v>
      </c>
      <c r="C28" s="206">
        <v>0</v>
      </c>
      <c r="D28" s="206">
        <v>0</v>
      </c>
      <c r="E28" s="206">
        <v>0</v>
      </c>
      <c r="F28" s="207">
        <f t="shared" si="20"/>
        <v>1790664.37002</v>
      </c>
      <c r="G28" s="206">
        <v>1811272500.8699999</v>
      </c>
      <c r="H28" s="206">
        <v>0</v>
      </c>
      <c r="I28" s="206">
        <v>0</v>
      </c>
      <c r="J28" s="206">
        <v>0</v>
      </c>
      <c r="K28" s="207">
        <f t="shared" si="0"/>
        <v>1811272.5008699999</v>
      </c>
      <c r="L28" s="206">
        <v>0</v>
      </c>
      <c r="M28" s="206">
        <v>0</v>
      </c>
      <c r="N28" s="206">
        <v>0</v>
      </c>
      <c r="O28" s="207">
        <f t="shared" si="21"/>
        <v>0</v>
      </c>
      <c r="P28" s="206">
        <v>0</v>
      </c>
      <c r="Q28" s="206">
        <v>0</v>
      </c>
      <c r="R28" s="206">
        <v>0</v>
      </c>
      <c r="S28" s="207">
        <f t="shared" si="22"/>
        <v>0</v>
      </c>
      <c r="T28" s="206">
        <v>1855014070.02</v>
      </c>
      <c r="U28" s="206">
        <v>0</v>
      </c>
      <c r="V28" s="206">
        <v>0</v>
      </c>
      <c r="W28" s="206">
        <v>0</v>
      </c>
      <c r="X28" s="207">
        <f t="shared" si="1"/>
        <v>1855014.07002</v>
      </c>
      <c r="Y28" s="206">
        <v>1813856372.6800001</v>
      </c>
      <c r="Z28" s="206">
        <v>0</v>
      </c>
      <c r="AA28" s="206">
        <v>0</v>
      </c>
      <c r="AB28" s="206">
        <v>0</v>
      </c>
      <c r="AC28" s="207">
        <f t="shared" si="23"/>
        <v>1813856.37268</v>
      </c>
      <c r="AD28" s="207">
        <f t="shared" si="2"/>
        <v>1790664.37002</v>
      </c>
      <c r="AE28" s="207">
        <f t="shared" si="3"/>
        <v>1811272.5008699999</v>
      </c>
      <c r="AF28" s="207">
        <f t="shared" si="24"/>
        <v>101.15086507527759</v>
      </c>
      <c r="AG28" s="208">
        <v>1790664</v>
      </c>
      <c r="AH28" s="208">
        <f t="shared" si="25"/>
        <v>-0.37002000003121793</v>
      </c>
      <c r="AI28" s="208">
        <v>1811273</v>
      </c>
      <c r="AJ28" s="208">
        <f t="shared" si="26"/>
        <v>0.49913000012747943</v>
      </c>
      <c r="AK28" s="207">
        <f t="shared" si="4"/>
        <v>1855014.07002</v>
      </c>
      <c r="AL28" s="207">
        <f t="shared" si="5"/>
        <v>1813856.37268</v>
      </c>
      <c r="AM28" s="207">
        <f t="shared" si="27"/>
        <v>97.781273036944867</v>
      </c>
      <c r="AN28" s="206">
        <v>1072705770.02</v>
      </c>
      <c r="AO28" s="206">
        <v>0</v>
      </c>
      <c r="AP28" s="206">
        <v>0</v>
      </c>
      <c r="AQ28" s="206">
        <v>0</v>
      </c>
      <c r="AR28" s="209">
        <f t="shared" si="6"/>
        <v>0</v>
      </c>
      <c r="AS28" s="207">
        <f t="shared" si="28"/>
        <v>1072705.7700199999</v>
      </c>
      <c r="AT28" s="206">
        <v>1066356168.15</v>
      </c>
      <c r="AU28" s="206">
        <v>0</v>
      </c>
      <c r="AV28" s="206">
        <v>0</v>
      </c>
      <c r="AW28" s="206">
        <v>0</v>
      </c>
      <c r="AX28" s="209">
        <f t="shared" si="7"/>
        <v>0</v>
      </c>
      <c r="AY28" s="207">
        <f t="shared" si="29"/>
        <v>1066356.16815</v>
      </c>
      <c r="AZ28" s="207">
        <f t="shared" si="8"/>
        <v>1072705.7700199999</v>
      </c>
      <c r="BA28" s="207">
        <f t="shared" si="9"/>
        <v>1066356.16815</v>
      </c>
      <c r="BB28" s="207">
        <f t="shared" si="30"/>
        <v>99.408076096217741</v>
      </c>
      <c r="BC28" s="206">
        <v>720345900</v>
      </c>
      <c r="BD28" s="206">
        <v>0</v>
      </c>
      <c r="BE28" s="206">
        <v>0</v>
      </c>
      <c r="BF28" s="206">
        <v>0</v>
      </c>
      <c r="BG28" s="207">
        <f t="shared" si="31"/>
        <v>720345.9</v>
      </c>
      <c r="BH28" s="206">
        <v>747262397.30999994</v>
      </c>
      <c r="BI28" s="206">
        <v>0</v>
      </c>
      <c r="BJ28" s="206">
        <v>0</v>
      </c>
      <c r="BK28" s="206">
        <v>0</v>
      </c>
      <c r="BL28" s="207">
        <f t="shared" si="32"/>
        <v>747262.39730999991</v>
      </c>
      <c r="BM28" s="210">
        <v>82611000</v>
      </c>
      <c r="BN28" s="207">
        <f t="shared" si="33"/>
        <v>82611</v>
      </c>
      <c r="BO28" s="210">
        <v>86145232.200000003</v>
      </c>
      <c r="BP28" s="207">
        <f t="shared" si="34"/>
        <v>86145.232199999999</v>
      </c>
      <c r="BQ28" s="207">
        <f t="shared" si="10"/>
        <v>104.27816174601445</v>
      </c>
      <c r="BR28" s="210">
        <v>31324900</v>
      </c>
      <c r="BS28" s="207">
        <f t="shared" si="35"/>
        <v>31324.9</v>
      </c>
      <c r="BT28" s="363">
        <v>31715242.59</v>
      </c>
      <c r="BU28" s="207">
        <f t="shared" si="36"/>
        <v>31715.242590000002</v>
      </c>
      <c r="BV28" s="207">
        <f t="shared" si="11"/>
        <v>101.24610961248081</v>
      </c>
      <c r="BW28" s="210">
        <v>57721400</v>
      </c>
      <c r="BX28" s="207">
        <f t="shared" si="37"/>
        <v>57721.4</v>
      </c>
      <c r="BY28" s="210">
        <v>51125864.539999999</v>
      </c>
      <c r="BZ28" s="207">
        <f t="shared" si="38"/>
        <v>51125.864540000002</v>
      </c>
      <c r="CA28" s="210">
        <v>69241952.010000005</v>
      </c>
      <c r="CB28" s="207">
        <f t="shared" si="39"/>
        <v>69241.952010000008</v>
      </c>
      <c r="CC28" s="207">
        <f t="shared" si="12"/>
        <v>119.95889221328659</v>
      </c>
      <c r="CD28" s="207">
        <f t="shared" si="40"/>
        <v>18116.087470000006</v>
      </c>
      <c r="CE28" s="207">
        <f t="shared" si="41"/>
        <v>35.434290711751743</v>
      </c>
      <c r="CF28" s="210">
        <v>60781300</v>
      </c>
      <c r="CG28" s="207">
        <f t="shared" si="42"/>
        <v>60781.3</v>
      </c>
      <c r="CH28" s="210">
        <v>71117459.819999993</v>
      </c>
      <c r="CI28" s="207">
        <f t="shared" si="43"/>
        <v>71117.459819999989</v>
      </c>
      <c r="CJ28" s="207">
        <f t="shared" si="13"/>
        <v>117.00549316977424</v>
      </c>
      <c r="CK28" s="207">
        <v>9062.9773000000005</v>
      </c>
      <c r="CL28" s="207">
        <v>2373.6414500000001</v>
      </c>
      <c r="CM28" s="210">
        <v>17479.105490000002</v>
      </c>
      <c r="CN28" s="207">
        <f t="shared" si="44"/>
        <v>17479.105490000002</v>
      </c>
      <c r="CO28" s="210">
        <v>880888.89</v>
      </c>
      <c r="CP28" s="207">
        <f t="shared" si="45"/>
        <v>880.88889000000006</v>
      </c>
      <c r="CQ28" s="207">
        <f t="shared" si="14"/>
        <v>8416.1281900000013</v>
      </c>
      <c r="CR28" s="207">
        <f t="shared" si="15"/>
        <v>-1492.7525599999999</v>
      </c>
      <c r="CS28" s="207">
        <f t="shared" si="16"/>
        <v>-64349.699999999953</v>
      </c>
      <c r="CT28" s="207">
        <f t="shared" si="17"/>
        <v>-2583.871810000157</v>
      </c>
      <c r="CU28" s="207">
        <v>129000</v>
      </c>
      <c r="CV28" s="211">
        <v>140000</v>
      </c>
      <c r="CW28" s="207">
        <f t="shared" si="46"/>
        <v>11000</v>
      </c>
      <c r="CX28" s="206">
        <v>1070318470.02</v>
      </c>
      <c r="CY28" s="206">
        <v>0</v>
      </c>
      <c r="CZ28" s="206">
        <v>0</v>
      </c>
      <c r="DA28" s="206">
        <v>0</v>
      </c>
      <c r="DB28" s="207">
        <f t="shared" si="47"/>
        <v>1070318.4700199999</v>
      </c>
      <c r="DC28" s="206">
        <v>1064010103.5599999</v>
      </c>
      <c r="DD28" s="206">
        <v>0</v>
      </c>
      <c r="DE28" s="206">
        <v>0</v>
      </c>
      <c r="DF28" s="206">
        <v>0</v>
      </c>
      <c r="DG28" s="207">
        <f t="shared" si="48"/>
        <v>1064010.10356</v>
      </c>
      <c r="DH28" s="211">
        <f t="shared" si="18"/>
        <v>1070318.4700199999</v>
      </c>
      <c r="DI28" s="211">
        <f t="shared" si="19"/>
        <v>1064010.10356</v>
      </c>
      <c r="DJ28" s="207">
        <f t="shared" si="49"/>
        <v>99.410608464984989</v>
      </c>
      <c r="DK28" s="206">
        <v>440939400</v>
      </c>
      <c r="DL28" s="207">
        <f t="shared" si="50"/>
        <v>440939.4</v>
      </c>
      <c r="DM28" s="206">
        <v>438658539.36000001</v>
      </c>
      <c r="DN28" s="207">
        <f t="shared" si="50"/>
        <v>438658.53936</v>
      </c>
      <c r="DO28" s="210">
        <v>123591.6</v>
      </c>
      <c r="DP28" s="207">
        <f t="shared" si="50"/>
        <v>123.5916</v>
      </c>
      <c r="DQ28" s="210">
        <v>68672.09</v>
      </c>
      <c r="DR28" s="207">
        <f t="shared" si="50"/>
        <v>68.672089999999997</v>
      </c>
      <c r="DS28" s="207">
        <f t="shared" si="51"/>
        <v>-54.919510000000002</v>
      </c>
      <c r="DT28" s="207">
        <v>98699.52476</v>
      </c>
      <c r="DU28" s="207">
        <v>0</v>
      </c>
      <c r="DV28" s="207">
        <v>217188.10826000001</v>
      </c>
      <c r="DW28" s="207">
        <v>0</v>
      </c>
      <c r="DX28" s="207">
        <f t="shared" si="52"/>
        <v>118488.58350000001</v>
      </c>
      <c r="DY28" s="207">
        <f t="shared" si="53"/>
        <v>0</v>
      </c>
    </row>
    <row r="29" spans="1:129" s="207" customFormat="1" x14ac:dyDescent="0.25">
      <c r="A29" s="205" t="s">
        <v>185</v>
      </c>
      <c r="B29" s="206">
        <v>855879036.85000002</v>
      </c>
      <c r="C29" s="206">
        <v>0</v>
      </c>
      <c r="D29" s="206">
        <v>0</v>
      </c>
      <c r="E29" s="206">
        <v>0</v>
      </c>
      <c r="F29" s="207">
        <f t="shared" si="20"/>
        <v>855879.03685000003</v>
      </c>
      <c r="G29" s="206">
        <v>842377372.96000004</v>
      </c>
      <c r="H29" s="206">
        <v>0</v>
      </c>
      <c r="I29" s="206">
        <v>0</v>
      </c>
      <c r="J29" s="206">
        <v>0</v>
      </c>
      <c r="K29" s="207">
        <f t="shared" si="0"/>
        <v>842377.37296000007</v>
      </c>
      <c r="L29" s="206">
        <v>0</v>
      </c>
      <c r="M29" s="206">
        <v>0</v>
      </c>
      <c r="N29" s="206">
        <v>0</v>
      </c>
      <c r="O29" s="207">
        <f t="shared" si="21"/>
        <v>0</v>
      </c>
      <c r="P29" s="206">
        <v>0</v>
      </c>
      <c r="Q29" s="206">
        <v>0</v>
      </c>
      <c r="R29" s="206">
        <v>0</v>
      </c>
      <c r="S29" s="207">
        <f t="shared" si="22"/>
        <v>0</v>
      </c>
      <c r="T29" s="206">
        <v>889887956.85000002</v>
      </c>
      <c r="U29" s="206">
        <v>0</v>
      </c>
      <c r="V29" s="206">
        <v>0</v>
      </c>
      <c r="W29" s="206">
        <v>0</v>
      </c>
      <c r="X29" s="207">
        <f t="shared" si="1"/>
        <v>889887.95685000008</v>
      </c>
      <c r="Y29" s="206">
        <v>882497343.65999997</v>
      </c>
      <c r="Z29" s="206">
        <v>0</v>
      </c>
      <c r="AA29" s="206">
        <v>0</v>
      </c>
      <c r="AB29" s="206">
        <v>0</v>
      </c>
      <c r="AC29" s="207">
        <f t="shared" si="23"/>
        <v>882497.34366000001</v>
      </c>
      <c r="AD29" s="207">
        <f t="shared" si="2"/>
        <v>855879.03685000003</v>
      </c>
      <c r="AE29" s="207">
        <f t="shared" si="3"/>
        <v>842377.37296000007</v>
      </c>
      <c r="AF29" s="207">
        <f t="shared" si="24"/>
        <v>98.422479893923821</v>
      </c>
      <c r="AG29" s="208">
        <v>855879</v>
      </c>
      <c r="AH29" s="208">
        <f t="shared" si="25"/>
        <v>-3.6850000033155084E-2</v>
      </c>
      <c r="AI29" s="208">
        <v>842377</v>
      </c>
      <c r="AJ29" s="208">
        <f t="shared" si="26"/>
        <v>-0.37296000006608665</v>
      </c>
      <c r="AK29" s="207">
        <f t="shared" si="4"/>
        <v>889887.95685000008</v>
      </c>
      <c r="AL29" s="207">
        <f t="shared" si="5"/>
        <v>882497.34366000001</v>
      </c>
      <c r="AM29" s="207">
        <f t="shared" si="27"/>
        <v>99.169489469645015</v>
      </c>
      <c r="AN29" s="206">
        <v>504033003.85000002</v>
      </c>
      <c r="AO29" s="206">
        <v>0</v>
      </c>
      <c r="AP29" s="206">
        <v>0</v>
      </c>
      <c r="AQ29" s="206">
        <v>0</v>
      </c>
      <c r="AR29" s="209">
        <f t="shared" si="6"/>
        <v>0</v>
      </c>
      <c r="AS29" s="207">
        <f t="shared" si="28"/>
        <v>504033.00385000004</v>
      </c>
      <c r="AT29" s="206">
        <v>503389865.06</v>
      </c>
      <c r="AU29" s="206">
        <v>0</v>
      </c>
      <c r="AV29" s="206">
        <v>0</v>
      </c>
      <c r="AW29" s="206">
        <v>0</v>
      </c>
      <c r="AX29" s="209">
        <f t="shared" si="7"/>
        <v>0</v>
      </c>
      <c r="AY29" s="207">
        <f t="shared" si="29"/>
        <v>503389.86505999998</v>
      </c>
      <c r="AZ29" s="207">
        <f t="shared" si="8"/>
        <v>504033.00385000004</v>
      </c>
      <c r="BA29" s="207">
        <f t="shared" si="9"/>
        <v>503389.86505999998</v>
      </c>
      <c r="BB29" s="207">
        <f t="shared" si="30"/>
        <v>99.872401452863699</v>
      </c>
      <c r="BC29" s="206">
        <v>347903100</v>
      </c>
      <c r="BD29" s="206">
        <v>0</v>
      </c>
      <c r="BE29" s="206">
        <v>0</v>
      </c>
      <c r="BF29" s="206">
        <v>0</v>
      </c>
      <c r="BG29" s="207">
        <f t="shared" si="31"/>
        <v>347903.1</v>
      </c>
      <c r="BH29" s="206">
        <v>335044574.89999998</v>
      </c>
      <c r="BI29" s="206">
        <v>0</v>
      </c>
      <c r="BJ29" s="206">
        <v>0</v>
      </c>
      <c r="BK29" s="206">
        <v>0</v>
      </c>
      <c r="BL29" s="207">
        <f t="shared" si="32"/>
        <v>335044.57489999995</v>
      </c>
      <c r="BM29" s="210">
        <v>21863000</v>
      </c>
      <c r="BN29" s="207">
        <f t="shared" si="33"/>
        <v>21863</v>
      </c>
      <c r="BO29" s="210">
        <v>21729270.57</v>
      </c>
      <c r="BP29" s="207">
        <f t="shared" si="34"/>
        <v>21729.270570000001</v>
      </c>
      <c r="BQ29" s="207">
        <f t="shared" si="10"/>
        <v>99.388329918126516</v>
      </c>
      <c r="BR29" s="210">
        <v>640000</v>
      </c>
      <c r="BS29" s="207">
        <f t="shared" si="35"/>
        <v>640</v>
      </c>
      <c r="BT29" s="363">
        <v>1721744.56</v>
      </c>
      <c r="BU29" s="207">
        <f t="shared" si="36"/>
        <v>1721.7445600000001</v>
      </c>
      <c r="BV29" s="207">
        <f t="shared" si="11"/>
        <v>269.02258749999999</v>
      </c>
      <c r="BW29" s="210">
        <v>35984000</v>
      </c>
      <c r="BX29" s="207">
        <f t="shared" si="37"/>
        <v>35984</v>
      </c>
      <c r="BY29" s="210">
        <v>29451666.609999999</v>
      </c>
      <c r="BZ29" s="207">
        <f t="shared" si="38"/>
        <v>29451.66661</v>
      </c>
      <c r="CA29" s="210">
        <v>34184972.25</v>
      </c>
      <c r="CB29" s="207">
        <f t="shared" si="39"/>
        <v>34184.972249999999</v>
      </c>
      <c r="CC29" s="207">
        <f t="shared" si="12"/>
        <v>95.0004786849711</v>
      </c>
      <c r="CD29" s="207">
        <f t="shared" si="40"/>
        <v>4733.3056399999987</v>
      </c>
      <c r="CE29" s="207">
        <f t="shared" si="41"/>
        <v>16.071435625965066</v>
      </c>
      <c r="CF29" s="210">
        <v>24784000</v>
      </c>
      <c r="CG29" s="207">
        <f t="shared" si="42"/>
        <v>24784</v>
      </c>
      <c r="CH29" s="210">
        <v>25414312.18</v>
      </c>
      <c r="CI29" s="207">
        <f t="shared" si="43"/>
        <v>25414.312180000001</v>
      </c>
      <c r="CJ29" s="207">
        <f t="shared" si="13"/>
        <v>102.54322215945771</v>
      </c>
      <c r="CK29" s="207">
        <v>13006.39445</v>
      </c>
      <c r="CL29" s="207">
        <v>8.92</v>
      </c>
      <c r="CM29" s="210">
        <v>6886.4237499999999</v>
      </c>
      <c r="CN29" s="207">
        <f t="shared" si="44"/>
        <v>6886.4237499999999</v>
      </c>
      <c r="CO29" s="210">
        <v>0</v>
      </c>
      <c r="CP29" s="207">
        <f t="shared" si="45"/>
        <v>0</v>
      </c>
      <c r="CQ29" s="207">
        <f t="shared" si="14"/>
        <v>-6119.9706999999999</v>
      </c>
      <c r="CR29" s="207">
        <f t="shared" si="15"/>
        <v>-8.92</v>
      </c>
      <c r="CS29" s="207">
        <f t="shared" si="16"/>
        <v>-34008.920000000042</v>
      </c>
      <c r="CT29" s="207">
        <f t="shared" si="17"/>
        <v>-40119.970699999947</v>
      </c>
      <c r="CU29" s="207">
        <v>73800</v>
      </c>
      <c r="CV29" s="211">
        <v>107800</v>
      </c>
      <c r="CW29" s="207">
        <f t="shared" si="46"/>
        <v>34000</v>
      </c>
      <c r="CX29" s="206">
        <v>507975936.85000002</v>
      </c>
      <c r="CY29" s="206">
        <v>0</v>
      </c>
      <c r="CZ29" s="206">
        <v>0</v>
      </c>
      <c r="DA29" s="206">
        <v>0</v>
      </c>
      <c r="DB29" s="207">
        <f t="shared" si="47"/>
        <v>507975.93685</v>
      </c>
      <c r="DC29" s="206">
        <v>507332798.06</v>
      </c>
      <c r="DD29" s="206">
        <v>0</v>
      </c>
      <c r="DE29" s="206">
        <v>0</v>
      </c>
      <c r="DF29" s="206">
        <v>0</v>
      </c>
      <c r="DG29" s="207">
        <f t="shared" si="48"/>
        <v>507332.79806</v>
      </c>
      <c r="DH29" s="211">
        <f t="shared" si="18"/>
        <v>507975.93685</v>
      </c>
      <c r="DI29" s="211">
        <f t="shared" si="19"/>
        <v>507332.79806</v>
      </c>
      <c r="DJ29" s="207">
        <f t="shared" si="49"/>
        <v>99.873391878759421</v>
      </c>
      <c r="DK29" s="206">
        <v>237731000</v>
      </c>
      <c r="DL29" s="207">
        <f t="shared" si="50"/>
        <v>237731</v>
      </c>
      <c r="DM29" s="206">
        <v>236062795.41</v>
      </c>
      <c r="DN29" s="207">
        <f t="shared" si="50"/>
        <v>236062.79540999999</v>
      </c>
      <c r="DO29" s="210">
        <v>250</v>
      </c>
      <c r="DP29" s="207">
        <f t="shared" si="50"/>
        <v>0.25</v>
      </c>
      <c r="DQ29" s="210">
        <v>0</v>
      </c>
      <c r="DR29" s="207">
        <f t="shared" si="50"/>
        <v>0</v>
      </c>
      <c r="DS29" s="207">
        <f t="shared" si="51"/>
        <v>-0.25</v>
      </c>
      <c r="DT29" s="207">
        <v>44981.330029999997</v>
      </c>
      <c r="DU29" s="207">
        <v>20132.06381</v>
      </c>
      <c r="DV29" s="207">
        <v>42713.163549999997</v>
      </c>
      <c r="DW29" s="207">
        <v>19132.06381</v>
      </c>
      <c r="DX29" s="207">
        <f t="shared" si="52"/>
        <v>-2268.1664799999999</v>
      </c>
      <c r="DY29" s="207">
        <f t="shared" si="53"/>
        <v>-1000</v>
      </c>
    </row>
    <row r="30" spans="1:129" s="207" customFormat="1" x14ac:dyDescent="0.25">
      <c r="A30" s="205" t="s">
        <v>186</v>
      </c>
      <c r="B30" s="206">
        <v>865677910.02999997</v>
      </c>
      <c r="C30" s="206">
        <v>0</v>
      </c>
      <c r="D30" s="206">
        <v>0</v>
      </c>
      <c r="E30" s="206">
        <v>0</v>
      </c>
      <c r="F30" s="207">
        <f t="shared" si="20"/>
        <v>865677.91003000003</v>
      </c>
      <c r="G30" s="206">
        <v>876444969.72000003</v>
      </c>
      <c r="H30" s="206">
        <v>0</v>
      </c>
      <c r="I30" s="206">
        <v>0</v>
      </c>
      <c r="J30" s="206">
        <v>0</v>
      </c>
      <c r="K30" s="207">
        <f t="shared" si="0"/>
        <v>876444.96972000005</v>
      </c>
      <c r="L30" s="206">
        <v>0</v>
      </c>
      <c r="M30" s="206">
        <v>0</v>
      </c>
      <c r="N30" s="206">
        <v>0</v>
      </c>
      <c r="O30" s="207">
        <f t="shared" si="21"/>
        <v>0</v>
      </c>
      <c r="P30" s="206">
        <v>0</v>
      </c>
      <c r="Q30" s="206">
        <v>0</v>
      </c>
      <c r="R30" s="206">
        <v>0</v>
      </c>
      <c r="S30" s="207">
        <f t="shared" si="22"/>
        <v>0</v>
      </c>
      <c r="T30" s="206">
        <v>912932900.15999997</v>
      </c>
      <c r="U30" s="206">
        <v>0</v>
      </c>
      <c r="V30" s="206">
        <v>0</v>
      </c>
      <c r="W30" s="206">
        <v>0</v>
      </c>
      <c r="X30" s="207">
        <f t="shared" si="1"/>
        <v>912932.90015999996</v>
      </c>
      <c r="Y30" s="206">
        <v>907566977.70000005</v>
      </c>
      <c r="Z30" s="206">
        <v>0</v>
      </c>
      <c r="AA30" s="206">
        <v>0</v>
      </c>
      <c r="AB30" s="206">
        <v>0</v>
      </c>
      <c r="AC30" s="207">
        <f t="shared" si="23"/>
        <v>907566.97770000005</v>
      </c>
      <c r="AD30" s="207">
        <f t="shared" si="2"/>
        <v>865677.91003000003</v>
      </c>
      <c r="AE30" s="207">
        <f t="shared" si="3"/>
        <v>876444.96972000005</v>
      </c>
      <c r="AF30" s="207">
        <f t="shared" si="24"/>
        <v>101.24377202713038</v>
      </c>
      <c r="AG30" s="208">
        <v>865678</v>
      </c>
      <c r="AH30" s="208">
        <f t="shared" si="25"/>
        <v>8.9969999971799552E-2</v>
      </c>
      <c r="AI30" s="208">
        <v>876445</v>
      </c>
      <c r="AJ30" s="208">
        <f t="shared" si="26"/>
        <v>3.0279999948106706E-2</v>
      </c>
      <c r="AK30" s="207">
        <f t="shared" si="4"/>
        <v>912932.90015999996</v>
      </c>
      <c r="AL30" s="207">
        <f t="shared" si="5"/>
        <v>907566.97770000005</v>
      </c>
      <c r="AM30" s="207">
        <f t="shared" si="27"/>
        <v>99.412232546438034</v>
      </c>
      <c r="AN30" s="206">
        <v>476221319.57999998</v>
      </c>
      <c r="AO30" s="206">
        <v>0</v>
      </c>
      <c r="AP30" s="206">
        <v>0</v>
      </c>
      <c r="AQ30" s="206">
        <v>0</v>
      </c>
      <c r="AR30" s="209">
        <f t="shared" si="6"/>
        <v>0</v>
      </c>
      <c r="AS30" s="207">
        <f t="shared" si="28"/>
        <v>476221.31958000001</v>
      </c>
      <c r="AT30" s="206">
        <v>476145211.06</v>
      </c>
      <c r="AU30" s="206">
        <v>0</v>
      </c>
      <c r="AV30" s="206">
        <v>0</v>
      </c>
      <c r="AW30" s="206">
        <v>0</v>
      </c>
      <c r="AX30" s="209">
        <f t="shared" si="7"/>
        <v>0</v>
      </c>
      <c r="AY30" s="207">
        <f t="shared" si="29"/>
        <v>476145.21106</v>
      </c>
      <c r="AZ30" s="207">
        <f t="shared" si="8"/>
        <v>476221.31958000001</v>
      </c>
      <c r="BA30" s="207">
        <f t="shared" si="9"/>
        <v>476145.21106</v>
      </c>
      <c r="BB30" s="207">
        <f t="shared" si="30"/>
        <v>99.984018245956079</v>
      </c>
      <c r="BC30" s="206">
        <v>389822295.69</v>
      </c>
      <c r="BD30" s="206">
        <v>0</v>
      </c>
      <c r="BE30" s="206">
        <v>0</v>
      </c>
      <c r="BF30" s="206">
        <v>0</v>
      </c>
      <c r="BG30" s="207">
        <f t="shared" si="31"/>
        <v>389822.29569</v>
      </c>
      <c r="BH30" s="206">
        <v>400673652.18000001</v>
      </c>
      <c r="BI30" s="206">
        <v>0</v>
      </c>
      <c r="BJ30" s="206">
        <v>0</v>
      </c>
      <c r="BK30" s="206">
        <v>0</v>
      </c>
      <c r="BL30" s="207">
        <f t="shared" si="32"/>
        <v>400673.65218000003</v>
      </c>
      <c r="BM30" s="210">
        <v>27671377.890000001</v>
      </c>
      <c r="BN30" s="207">
        <f t="shared" si="33"/>
        <v>27671.37789</v>
      </c>
      <c r="BO30" s="210">
        <v>27920948.149999999</v>
      </c>
      <c r="BP30" s="207">
        <f t="shared" si="34"/>
        <v>27920.94815</v>
      </c>
      <c r="BQ30" s="207">
        <f t="shared" si="10"/>
        <v>100.90190759922436</v>
      </c>
      <c r="BR30" s="210">
        <v>6440544.0800000001</v>
      </c>
      <c r="BS30" s="207">
        <f t="shared" si="35"/>
        <v>6440.5440799999997</v>
      </c>
      <c r="BT30" s="363">
        <v>6712177.6299999999</v>
      </c>
      <c r="BU30" s="207">
        <f t="shared" si="36"/>
        <v>6712.1776300000001</v>
      </c>
      <c r="BV30" s="207">
        <f t="shared" si="11"/>
        <v>104.21755594909305</v>
      </c>
      <c r="BW30" s="210">
        <v>32358000</v>
      </c>
      <c r="BX30" s="207">
        <f t="shared" si="37"/>
        <v>32358</v>
      </c>
      <c r="BY30" s="210">
        <v>35176695.009999998</v>
      </c>
      <c r="BZ30" s="207">
        <f t="shared" si="38"/>
        <v>35176.695009999996</v>
      </c>
      <c r="CA30" s="210">
        <v>33742345.229999997</v>
      </c>
      <c r="CB30" s="207">
        <f t="shared" si="39"/>
        <v>33742.345229999999</v>
      </c>
      <c r="CC30" s="207">
        <f t="shared" si="12"/>
        <v>104.27821629890599</v>
      </c>
      <c r="CD30" s="207">
        <f t="shared" si="40"/>
        <v>-1434.3497799999968</v>
      </c>
      <c r="CE30" s="207">
        <f t="shared" si="41"/>
        <v>-4.0775569722858904</v>
      </c>
      <c r="CF30" s="210">
        <v>23533396.579999998</v>
      </c>
      <c r="CG30" s="207">
        <f t="shared" si="42"/>
        <v>23533.396579999997</v>
      </c>
      <c r="CH30" s="210">
        <v>24179348.73</v>
      </c>
      <c r="CI30" s="207">
        <f t="shared" si="43"/>
        <v>24179.348730000002</v>
      </c>
      <c r="CJ30" s="207">
        <f t="shared" si="13"/>
        <v>102.74483178747334</v>
      </c>
      <c r="CK30" s="207">
        <v>12254.99113</v>
      </c>
      <c r="CL30" s="207">
        <v>4106.2218999999996</v>
      </c>
      <c r="CM30" s="210">
        <v>9832.9821499999998</v>
      </c>
      <c r="CN30" s="207">
        <f t="shared" si="44"/>
        <v>9832.9821499999998</v>
      </c>
      <c r="CO30" s="210">
        <v>406135.78</v>
      </c>
      <c r="CP30" s="207">
        <f t="shared" si="45"/>
        <v>406.13578000000001</v>
      </c>
      <c r="CQ30" s="207">
        <f t="shared" si="14"/>
        <v>-2422.0089800000005</v>
      </c>
      <c r="CR30" s="207">
        <f t="shared" si="15"/>
        <v>-3700.0861199999995</v>
      </c>
      <c r="CS30" s="207">
        <f t="shared" si="16"/>
        <v>-47254.990129999933</v>
      </c>
      <c r="CT30" s="207">
        <f t="shared" si="17"/>
        <v>-31122.007979999995</v>
      </c>
      <c r="CU30" s="207">
        <v>212247.42499999999</v>
      </c>
      <c r="CV30" s="211">
        <v>240947.424</v>
      </c>
      <c r="CW30" s="207">
        <f t="shared" si="46"/>
        <v>28699.999000000011</v>
      </c>
      <c r="CX30" s="206">
        <v>475855614.33999997</v>
      </c>
      <c r="CY30" s="206">
        <v>0</v>
      </c>
      <c r="CZ30" s="206">
        <v>0</v>
      </c>
      <c r="DA30" s="206">
        <v>0</v>
      </c>
      <c r="DB30" s="207">
        <f t="shared" si="47"/>
        <v>475855.61433999997</v>
      </c>
      <c r="DC30" s="206">
        <v>475771317.54000002</v>
      </c>
      <c r="DD30" s="206">
        <v>0</v>
      </c>
      <c r="DE30" s="206">
        <v>0</v>
      </c>
      <c r="DF30" s="206">
        <v>0</v>
      </c>
      <c r="DG30" s="207">
        <f t="shared" si="48"/>
        <v>475771.31754000002</v>
      </c>
      <c r="DH30" s="211">
        <f t="shared" si="18"/>
        <v>475855.61433999997</v>
      </c>
      <c r="DI30" s="211">
        <f t="shared" si="19"/>
        <v>475771.31754000002</v>
      </c>
      <c r="DJ30" s="207">
        <f t="shared" si="49"/>
        <v>99.982285214787908</v>
      </c>
      <c r="DK30" s="206">
        <v>276101365.99000001</v>
      </c>
      <c r="DL30" s="207">
        <f t="shared" si="50"/>
        <v>276101.36599000002</v>
      </c>
      <c r="DM30" s="206">
        <v>283351965.38</v>
      </c>
      <c r="DN30" s="207">
        <f t="shared" si="50"/>
        <v>283351.96538000001</v>
      </c>
      <c r="DO30" s="210">
        <v>4932</v>
      </c>
      <c r="DP30" s="207">
        <f t="shared" si="50"/>
        <v>4.9320000000000004</v>
      </c>
      <c r="DQ30" s="210">
        <v>18277.89</v>
      </c>
      <c r="DR30" s="207">
        <f t="shared" si="50"/>
        <v>18.277889999999999</v>
      </c>
      <c r="DS30" s="207">
        <f t="shared" si="51"/>
        <v>13.345889999999999</v>
      </c>
      <c r="DT30" s="207">
        <v>27162.97437</v>
      </c>
      <c r="DU30" s="207">
        <v>467.77819</v>
      </c>
      <c r="DV30" s="207">
        <v>22394.991300000002</v>
      </c>
      <c r="DW30" s="207">
        <v>0</v>
      </c>
      <c r="DX30" s="207">
        <f t="shared" si="52"/>
        <v>-4767.9830699999984</v>
      </c>
      <c r="DY30" s="207">
        <f t="shared" si="53"/>
        <v>-467.77819</v>
      </c>
    </row>
    <row r="31" spans="1:129" s="207" customFormat="1" x14ac:dyDescent="0.25">
      <c r="A31" s="205" t="s">
        <v>187</v>
      </c>
      <c r="B31" s="206">
        <v>1593289442.7</v>
      </c>
      <c r="C31" s="206">
        <v>0</v>
      </c>
      <c r="D31" s="206">
        <v>0</v>
      </c>
      <c r="E31" s="206">
        <v>0</v>
      </c>
      <c r="F31" s="207">
        <f t="shared" si="20"/>
        <v>1593289.4427</v>
      </c>
      <c r="G31" s="206">
        <v>1547327361.9400001</v>
      </c>
      <c r="H31" s="206">
        <v>0</v>
      </c>
      <c r="I31" s="206">
        <v>0</v>
      </c>
      <c r="J31" s="206">
        <v>0</v>
      </c>
      <c r="K31" s="207">
        <f t="shared" si="0"/>
        <v>1547327.36194</v>
      </c>
      <c r="L31" s="206">
        <v>0</v>
      </c>
      <c r="M31" s="206">
        <v>0</v>
      </c>
      <c r="N31" s="206">
        <v>0</v>
      </c>
      <c r="O31" s="207">
        <f t="shared" si="21"/>
        <v>0</v>
      </c>
      <c r="P31" s="206">
        <v>0</v>
      </c>
      <c r="Q31" s="206">
        <v>0</v>
      </c>
      <c r="R31" s="206">
        <v>0</v>
      </c>
      <c r="S31" s="207">
        <f t="shared" si="22"/>
        <v>0</v>
      </c>
      <c r="T31" s="206">
        <v>1639166342.9400001</v>
      </c>
      <c r="U31" s="206">
        <v>0</v>
      </c>
      <c r="V31" s="206">
        <v>0</v>
      </c>
      <c r="W31" s="206">
        <v>0</v>
      </c>
      <c r="X31" s="207">
        <f t="shared" si="1"/>
        <v>1639166.3429400001</v>
      </c>
      <c r="Y31" s="206">
        <v>1562535298.3499999</v>
      </c>
      <c r="Z31" s="206">
        <v>0</v>
      </c>
      <c r="AA31" s="206">
        <v>0</v>
      </c>
      <c r="AB31" s="206">
        <v>0</v>
      </c>
      <c r="AC31" s="207">
        <f t="shared" si="23"/>
        <v>1562535.2983499998</v>
      </c>
      <c r="AD31" s="207">
        <f t="shared" si="2"/>
        <v>1593289.4427</v>
      </c>
      <c r="AE31" s="207">
        <f t="shared" si="3"/>
        <v>1547327.36194</v>
      </c>
      <c r="AF31" s="207">
        <f t="shared" si="24"/>
        <v>97.115271115955409</v>
      </c>
      <c r="AG31" s="208">
        <v>1593289</v>
      </c>
      <c r="AH31" s="208">
        <f t="shared" si="25"/>
        <v>-0.4427000000141561</v>
      </c>
      <c r="AI31" s="208">
        <v>1547327</v>
      </c>
      <c r="AJ31" s="208">
        <f t="shared" si="26"/>
        <v>-0.36193999997340143</v>
      </c>
      <c r="AK31" s="207">
        <f t="shared" si="4"/>
        <v>1639166.3429400001</v>
      </c>
      <c r="AL31" s="207">
        <f t="shared" si="5"/>
        <v>1562535.2983499998</v>
      </c>
      <c r="AM31" s="207">
        <f t="shared" si="27"/>
        <v>95.324998898369572</v>
      </c>
      <c r="AN31" s="206">
        <v>1067246595.72</v>
      </c>
      <c r="AO31" s="206">
        <v>0</v>
      </c>
      <c r="AP31" s="206">
        <v>0</v>
      </c>
      <c r="AQ31" s="206">
        <v>0</v>
      </c>
      <c r="AR31" s="209">
        <f t="shared" si="6"/>
        <v>0</v>
      </c>
      <c r="AS31" s="207">
        <f t="shared" si="28"/>
        <v>1067246.5957200001</v>
      </c>
      <c r="AT31" s="206">
        <v>1066120560.6799999</v>
      </c>
      <c r="AU31" s="206">
        <v>0</v>
      </c>
      <c r="AV31" s="206">
        <v>0</v>
      </c>
      <c r="AW31" s="206">
        <v>0</v>
      </c>
      <c r="AX31" s="209">
        <f t="shared" si="7"/>
        <v>0</v>
      </c>
      <c r="AY31" s="207">
        <f t="shared" si="29"/>
        <v>1066120.5606799999</v>
      </c>
      <c r="AZ31" s="207">
        <f t="shared" si="8"/>
        <v>1067246.5957200001</v>
      </c>
      <c r="BA31" s="207">
        <f t="shared" si="9"/>
        <v>1066120.5606799999</v>
      </c>
      <c r="BB31" s="207">
        <f t="shared" si="30"/>
        <v>99.894491578186702</v>
      </c>
      <c r="BC31" s="206">
        <v>526277000</v>
      </c>
      <c r="BD31" s="206">
        <v>0</v>
      </c>
      <c r="BE31" s="206">
        <v>0</v>
      </c>
      <c r="BF31" s="206">
        <v>0</v>
      </c>
      <c r="BG31" s="207">
        <f t="shared" si="31"/>
        <v>526277</v>
      </c>
      <c r="BH31" s="206">
        <v>481440954.27999997</v>
      </c>
      <c r="BI31" s="206">
        <v>0</v>
      </c>
      <c r="BJ31" s="206">
        <v>0</v>
      </c>
      <c r="BK31" s="206">
        <v>0</v>
      </c>
      <c r="BL31" s="207">
        <f t="shared" si="32"/>
        <v>481440.95427999995</v>
      </c>
      <c r="BM31" s="210">
        <v>16165000</v>
      </c>
      <c r="BN31" s="207">
        <f t="shared" si="33"/>
        <v>16165</v>
      </c>
      <c r="BO31" s="210">
        <v>16365811.310000001</v>
      </c>
      <c r="BP31" s="207">
        <f t="shared" si="34"/>
        <v>16365.811310000001</v>
      </c>
      <c r="BQ31" s="207">
        <f t="shared" si="10"/>
        <v>101.24225988246211</v>
      </c>
      <c r="BR31" s="210">
        <v>980000</v>
      </c>
      <c r="BS31" s="207">
        <f t="shared" si="35"/>
        <v>980</v>
      </c>
      <c r="BT31" s="363">
        <v>1029989.2</v>
      </c>
      <c r="BU31" s="207">
        <f t="shared" si="36"/>
        <v>1029.9892</v>
      </c>
      <c r="BV31" s="207">
        <f t="shared" si="11"/>
        <v>105.1009387755102</v>
      </c>
      <c r="BW31" s="210">
        <v>16686000</v>
      </c>
      <c r="BX31" s="207">
        <f t="shared" si="37"/>
        <v>16686</v>
      </c>
      <c r="BY31" s="210">
        <v>16383333.890000001</v>
      </c>
      <c r="BZ31" s="207">
        <f t="shared" si="38"/>
        <v>16383.33389</v>
      </c>
      <c r="CA31" s="210">
        <v>17640773.489999998</v>
      </c>
      <c r="CB31" s="207">
        <f t="shared" si="39"/>
        <v>17640.77349</v>
      </c>
      <c r="CC31" s="207">
        <f t="shared" si="12"/>
        <v>105.72200341603738</v>
      </c>
      <c r="CD31" s="207">
        <f t="shared" si="40"/>
        <v>1257.4395999999997</v>
      </c>
      <c r="CE31" s="207">
        <f t="shared" si="41"/>
        <v>7.6751142865220601</v>
      </c>
      <c r="CF31" s="210">
        <v>52224000</v>
      </c>
      <c r="CG31" s="207">
        <f t="shared" si="42"/>
        <v>52224</v>
      </c>
      <c r="CH31" s="210">
        <v>54883970.950000003</v>
      </c>
      <c r="CI31" s="207">
        <f t="shared" si="43"/>
        <v>54883.970950000003</v>
      </c>
      <c r="CJ31" s="207">
        <f t="shared" si="13"/>
        <v>105.09338800168506</v>
      </c>
      <c r="CK31" s="207">
        <v>49584.527560000002</v>
      </c>
      <c r="CL31" s="207">
        <v>0</v>
      </c>
      <c r="CM31" s="210">
        <v>34376.59115</v>
      </c>
      <c r="CN31" s="207">
        <f t="shared" si="44"/>
        <v>34376.59115</v>
      </c>
      <c r="CO31" s="210">
        <v>303416.59999999998</v>
      </c>
      <c r="CP31" s="207">
        <f t="shared" si="45"/>
        <v>303.41659999999996</v>
      </c>
      <c r="CQ31" s="207">
        <f t="shared" si="14"/>
        <v>-15207.936410000002</v>
      </c>
      <c r="CR31" s="207">
        <f t="shared" si="15"/>
        <v>303.41659999999996</v>
      </c>
      <c r="CS31" s="207">
        <f t="shared" si="16"/>
        <v>-45876.900240000105</v>
      </c>
      <c r="CT31" s="207">
        <f t="shared" si="17"/>
        <v>-15207.936409999849</v>
      </c>
      <c r="CU31" s="207">
        <v>0</v>
      </c>
      <c r="CV31" s="211">
        <v>0</v>
      </c>
      <c r="CW31" s="207">
        <f t="shared" si="46"/>
        <v>0</v>
      </c>
      <c r="CX31" s="206">
        <v>1067012442.7</v>
      </c>
      <c r="CY31" s="206">
        <v>0</v>
      </c>
      <c r="CZ31" s="206">
        <v>0</v>
      </c>
      <c r="DA31" s="206">
        <v>0</v>
      </c>
      <c r="DB31" s="207">
        <f t="shared" si="47"/>
        <v>1067012.4427</v>
      </c>
      <c r="DC31" s="206">
        <v>1065886407.66</v>
      </c>
      <c r="DD31" s="206">
        <v>0</v>
      </c>
      <c r="DE31" s="206">
        <v>0</v>
      </c>
      <c r="DF31" s="206">
        <v>0</v>
      </c>
      <c r="DG31" s="207">
        <f t="shared" si="48"/>
        <v>1065886.40766</v>
      </c>
      <c r="DH31" s="211">
        <f t="shared" si="18"/>
        <v>1067012.4427</v>
      </c>
      <c r="DI31" s="211">
        <f t="shared" si="19"/>
        <v>1065886.40766</v>
      </c>
      <c r="DJ31" s="207">
        <f t="shared" si="49"/>
        <v>99.894468424646419</v>
      </c>
      <c r="DK31" s="206">
        <v>391034000</v>
      </c>
      <c r="DL31" s="207">
        <f t="shared" si="50"/>
        <v>391034</v>
      </c>
      <c r="DM31" s="206">
        <v>343664845.01999998</v>
      </c>
      <c r="DN31" s="207">
        <f t="shared" si="50"/>
        <v>343664.84502000001</v>
      </c>
      <c r="DO31" s="210">
        <v>0</v>
      </c>
      <c r="DP31" s="207">
        <f t="shared" si="50"/>
        <v>0</v>
      </c>
      <c r="DQ31" s="210">
        <v>0</v>
      </c>
      <c r="DR31" s="207">
        <f t="shared" si="50"/>
        <v>0</v>
      </c>
      <c r="DS31" s="207">
        <f t="shared" si="51"/>
        <v>0</v>
      </c>
      <c r="DT31" s="207">
        <v>51387.113400000002</v>
      </c>
      <c r="DU31" s="207">
        <v>28285.6374</v>
      </c>
      <c r="DV31" s="207">
        <v>71500.924169999998</v>
      </c>
      <c r="DW31" s="207">
        <v>29419.466639999999</v>
      </c>
      <c r="DX31" s="207">
        <f t="shared" si="52"/>
        <v>20113.810769999996</v>
      </c>
      <c r="DY31" s="207">
        <f t="shared" si="53"/>
        <v>1133.8292399999991</v>
      </c>
    </row>
    <row r="32" spans="1:129" s="207" customFormat="1" x14ac:dyDescent="0.25">
      <c r="A32" s="205" t="s">
        <v>188</v>
      </c>
      <c r="B32" s="206">
        <v>111276371.64</v>
      </c>
      <c r="C32" s="206">
        <v>0</v>
      </c>
      <c r="D32" s="206">
        <v>0</v>
      </c>
      <c r="E32" s="206">
        <v>0</v>
      </c>
      <c r="F32" s="207">
        <f t="shared" si="20"/>
        <v>111276.37164</v>
      </c>
      <c r="G32" s="206">
        <v>114339631.56999999</v>
      </c>
      <c r="H32" s="206">
        <v>0</v>
      </c>
      <c r="I32" s="206">
        <v>0</v>
      </c>
      <c r="J32" s="206">
        <v>0</v>
      </c>
      <c r="K32" s="207">
        <f t="shared" si="0"/>
        <v>114339.63157</v>
      </c>
      <c r="L32" s="206">
        <v>0</v>
      </c>
      <c r="M32" s="206">
        <v>0</v>
      </c>
      <c r="N32" s="206">
        <v>0</v>
      </c>
      <c r="O32" s="207">
        <f t="shared" si="21"/>
        <v>0</v>
      </c>
      <c r="P32" s="206">
        <v>0</v>
      </c>
      <c r="Q32" s="206">
        <v>0</v>
      </c>
      <c r="R32" s="206">
        <v>0</v>
      </c>
      <c r="S32" s="207">
        <f t="shared" si="22"/>
        <v>0</v>
      </c>
      <c r="T32" s="206">
        <v>116317566.29000001</v>
      </c>
      <c r="U32" s="206">
        <v>0</v>
      </c>
      <c r="V32" s="206">
        <v>0</v>
      </c>
      <c r="W32" s="206">
        <v>0</v>
      </c>
      <c r="X32" s="207">
        <f t="shared" si="1"/>
        <v>116317.56629</v>
      </c>
      <c r="Y32" s="206">
        <v>108506953.93000001</v>
      </c>
      <c r="Z32" s="206">
        <v>0</v>
      </c>
      <c r="AA32" s="206">
        <v>0</v>
      </c>
      <c r="AB32" s="206">
        <v>0</v>
      </c>
      <c r="AC32" s="207">
        <f t="shared" si="23"/>
        <v>108506.95393</v>
      </c>
      <c r="AD32" s="207">
        <f t="shared" si="2"/>
        <v>111276.37164</v>
      </c>
      <c r="AE32" s="207">
        <f t="shared" si="3"/>
        <v>114339.63157</v>
      </c>
      <c r="AF32" s="207">
        <f t="shared" si="24"/>
        <v>102.7528395155714</v>
      </c>
      <c r="AG32" s="208">
        <v>111276</v>
      </c>
      <c r="AH32" s="208">
        <f t="shared" si="25"/>
        <v>-0.37163999999756925</v>
      </c>
      <c r="AI32" s="208">
        <v>114340</v>
      </c>
      <c r="AJ32" s="208">
        <f t="shared" si="26"/>
        <v>0.36843000000226311</v>
      </c>
      <c r="AK32" s="207">
        <f t="shared" si="4"/>
        <v>116317.56629</v>
      </c>
      <c r="AL32" s="207">
        <f t="shared" si="5"/>
        <v>108506.95393</v>
      </c>
      <c r="AM32" s="207">
        <f t="shared" si="27"/>
        <v>93.285096474141497</v>
      </c>
      <c r="AN32" s="206">
        <v>7616700</v>
      </c>
      <c r="AO32" s="206">
        <v>0</v>
      </c>
      <c r="AP32" s="206">
        <v>0</v>
      </c>
      <c r="AQ32" s="206">
        <v>0</v>
      </c>
      <c r="AR32" s="209">
        <f t="shared" si="6"/>
        <v>0</v>
      </c>
      <c r="AS32" s="207">
        <f t="shared" si="28"/>
        <v>7616.7</v>
      </c>
      <c r="AT32" s="206">
        <v>7298946.8799999999</v>
      </c>
      <c r="AU32" s="206">
        <v>0</v>
      </c>
      <c r="AV32" s="206">
        <v>0</v>
      </c>
      <c r="AW32" s="206">
        <v>0</v>
      </c>
      <c r="AX32" s="209">
        <f t="shared" si="7"/>
        <v>0</v>
      </c>
      <c r="AY32" s="207">
        <f t="shared" si="29"/>
        <v>7298.9468799999995</v>
      </c>
      <c r="AZ32" s="207">
        <f t="shared" si="8"/>
        <v>7616.7</v>
      </c>
      <c r="BA32" s="207">
        <f t="shared" si="9"/>
        <v>7298.9468799999995</v>
      </c>
      <c r="BB32" s="207">
        <f t="shared" si="30"/>
        <v>95.828204865624215</v>
      </c>
      <c r="BC32" s="206">
        <v>103659671.64</v>
      </c>
      <c r="BD32" s="206">
        <v>0</v>
      </c>
      <c r="BE32" s="206">
        <v>0</v>
      </c>
      <c r="BF32" s="206">
        <v>0</v>
      </c>
      <c r="BG32" s="207">
        <f t="shared" si="31"/>
        <v>103659.67164</v>
      </c>
      <c r="BH32" s="206">
        <v>107042228.42</v>
      </c>
      <c r="BI32" s="206">
        <v>0</v>
      </c>
      <c r="BJ32" s="206">
        <v>0</v>
      </c>
      <c r="BK32" s="206">
        <v>0</v>
      </c>
      <c r="BL32" s="207">
        <f t="shared" si="32"/>
        <v>107042.22842</v>
      </c>
      <c r="BM32" s="210">
        <v>34700</v>
      </c>
      <c r="BN32" s="207">
        <f t="shared" si="33"/>
        <v>34.700000000000003</v>
      </c>
      <c r="BO32" s="210">
        <v>71364</v>
      </c>
      <c r="BP32" s="207">
        <f t="shared" si="34"/>
        <v>71.364000000000004</v>
      </c>
      <c r="BQ32" s="207">
        <f t="shared" si="10"/>
        <v>205.65994236311238</v>
      </c>
      <c r="BR32" s="210">
        <v>0</v>
      </c>
      <c r="BS32" s="207">
        <f t="shared" si="35"/>
        <v>0</v>
      </c>
      <c r="BT32" s="363">
        <v>0</v>
      </c>
      <c r="BU32" s="207">
        <f t="shared" si="36"/>
        <v>0</v>
      </c>
      <c r="BW32" s="210">
        <v>200000</v>
      </c>
      <c r="BX32" s="207">
        <f t="shared" si="37"/>
        <v>200</v>
      </c>
      <c r="BY32" s="210">
        <v>86704</v>
      </c>
      <c r="BZ32" s="207">
        <f t="shared" si="38"/>
        <v>86.703999999999994</v>
      </c>
      <c r="CA32" s="210">
        <v>86701</v>
      </c>
      <c r="CB32" s="207">
        <f t="shared" si="39"/>
        <v>86.700999999999993</v>
      </c>
      <c r="CC32" s="207">
        <f t="shared" si="12"/>
        <v>43.350499999999997</v>
      </c>
      <c r="CD32" s="207">
        <f t="shared" si="40"/>
        <v>-3.0000000000001137E-3</v>
      </c>
      <c r="CE32" s="207">
        <f t="shared" si="41"/>
        <v>-3.4600479793311933E-3</v>
      </c>
      <c r="CF32" s="210">
        <v>223571.64</v>
      </c>
      <c r="CG32" s="207">
        <f t="shared" si="42"/>
        <v>223.57164</v>
      </c>
      <c r="CH32" s="210">
        <v>84990</v>
      </c>
      <c r="CI32" s="207">
        <f t="shared" si="43"/>
        <v>84.99</v>
      </c>
      <c r="CK32" s="207">
        <v>18254.175629999998</v>
      </c>
      <c r="CL32" s="207">
        <v>1.54373</v>
      </c>
      <c r="CM32" s="210">
        <v>24086.85327</v>
      </c>
      <c r="CN32" s="207">
        <f t="shared" si="44"/>
        <v>24086.85327</v>
      </c>
      <c r="CO32" s="210">
        <v>1543.73</v>
      </c>
      <c r="CP32" s="207">
        <f t="shared" si="45"/>
        <v>1.54373</v>
      </c>
      <c r="CQ32" s="207">
        <f t="shared" si="14"/>
        <v>5832.6776400000017</v>
      </c>
      <c r="CR32" s="207">
        <f t="shared" si="15"/>
        <v>0</v>
      </c>
      <c r="CS32" s="207">
        <f t="shared" si="16"/>
        <v>-5041.1946500000049</v>
      </c>
      <c r="CT32" s="207">
        <f t="shared" si="17"/>
        <v>5832.6776399999944</v>
      </c>
      <c r="CU32" s="207">
        <v>0</v>
      </c>
      <c r="CV32" s="211">
        <v>0</v>
      </c>
      <c r="CW32" s="207">
        <f t="shared" si="46"/>
        <v>0</v>
      </c>
      <c r="CX32" s="206">
        <v>7616700</v>
      </c>
      <c r="CY32" s="206">
        <v>0</v>
      </c>
      <c r="CZ32" s="206">
        <v>0</v>
      </c>
      <c r="DA32" s="206">
        <v>0</v>
      </c>
      <c r="DB32" s="207">
        <f t="shared" si="47"/>
        <v>7616.7</v>
      </c>
      <c r="DC32" s="206">
        <v>7297403.1500000004</v>
      </c>
      <c r="DD32" s="206">
        <v>0</v>
      </c>
      <c r="DE32" s="206">
        <v>0</v>
      </c>
      <c r="DF32" s="206">
        <v>0</v>
      </c>
      <c r="DG32" s="207">
        <f t="shared" si="48"/>
        <v>7297.4031500000001</v>
      </c>
      <c r="DH32" s="211">
        <f t="shared" si="18"/>
        <v>7616.7</v>
      </c>
      <c r="DI32" s="211">
        <f t="shared" si="19"/>
        <v>7297.4031500000001</v>
      </c>
      <c r="DJ32" s="207">
        <f t="shared" si="49"/>
        <v>95.807937164388775</v>
      </c>
      <c r="DK32" s="206">
        <v>102694400</v>
      </c>
      <c r="DL32" s="207">
        <f t="shared" si="50"/>
        <v>102694.39999999999</v>
      </c>
      <c r="DM32" s="206">
        <v>106702272.40000001</v>
      </c>
      <c r="DN32" s="207">
        <f t="shared" si="50"/>
        <v>106702.2724</v>
      </c>
      <c r="DO32" s="210">
        <v>0</v>
      </c>
      <c r="DP32" s="207">
        <f t="shared" si="50"/>
        <v>0</v>
      </c>
      <c r="DQ32" s="210">
        <v>0</v>
      </c>
      <c r="DR32" s="207">
        <f t="shared" si="50"/>
        <v>0</v>
      </c>
      <c r="DS32" s="207">
        <f t="shared" si="51"/>
        <v>0</v>
      </c>
      <c r="DT32" s="207">
        <v>111.05580999999999</v>
      </c>
      <c r="DU32" s="207">
        <v>0</v>
      </c>
      <c r="DV32" s="207">
        <v>129.00431</v>
      </c>
      <c r="DW32" s="207">
        <v>0</v>
      </c>
      <c r="DX32" s="207">
        <f t="shared" si="52"/>
        <v>17.94850000000001</v>
      </c>
      <c r="DY32" s="207">
        <f t="shared" si="53"/>
        <v>0</v>
      </c>
    </row>
    <row r="33" spans="1:131" s="200" customFormat="1" x14ac:dyDescent="0.25">
      <c r="A33" s="202" t="s">
        <v>189</v>
      </c>
      <c r="B33" s="203"/>
      <c r="C33" s="203"/>
      <c r="D33" s="203"/>
      <c r="E33" s="203"/>
      <c r="F33" s="203">
        <f>SUM(F7:F32)</f>
        <v>35583103.292130001</v>
      </c>
      <c r="G33" s="203"/>
      <c r="H33" s="203"/>
      <c r="I33" s="203"/>
      <c r="J33" s="203"/>
      <c r="K33" s="203">
        <f>SUM(K7:K32)</f>
        <v>35459367.337229997</v>
      </c>
      <c r="L33" s="203">
        <f t="shared" ref="L33:N33" si="54">SUM(L7:L32)</f>
        <v>1221211103.0999999</v>
      </c>
      <c r="M33" s="203">
        <f t="shared" si="54"/>
        <v>38587156.329999998</v>
      </c>
      <c r="N33" s="203">
        <f t="shared" si="54"/>
        <v>55932170.240000002</v>
      </c>
      <c r="O33" s="203">
        <f>SUM(O7:O32)</f>
        <v>1315730.42967</v>
      </c>
      <c r="P33" s="203">
        <f t="shared" ref="P33:R33" si="55">SUM(P7:P32)</f>
        <v>1148439613.76</v>
      </c>
      <c r="Q33" s="203">
        <f t="shared" si="55"/>
        <v>38585080.850000001</v>
      </c>
      <c r="R33" s="203">
        <f t="shared" si="55"/>
        <v>55613632.670000002</v>
      </c>
      <c r="S33" s="203">
        <f>SUM(S7:S32)</f>
        <v>1242638.3272799999</v>
      </c>
      <c r="T33" s="198"/>
      <c r="U33" s="198"/>
      <c r="V33" s="198"/>
      <c r="W33" s="198"/>
      <c r="X33" s="203">
        <f>SUM(X7:X32)</f>
        <v>36649544.449390002</v>
      </c>
      <c r="Y33" s="198"/>
      <c r="Z33" s="198"/>
      <c r="AA33" s="198"/>
      <c r="AB33" s="198"/>
      <c r="AC33" s="203">
        <f>SUM(AC7:AC32)</f>
        <v>35564922.589259997</v>
      </c>
      <c r="AD33" s="203">
        <f>SUM(AD7:AD32)</f>
        <v>34267372.862460002</v>
      </c>
      <c r="AE33" s="203">
        <f>SUM(AE7:AE32)</f>
        <v>34216729.009949997</v>
      </c>
      <c r="AF33" s="203">
        <f t="shared" si="24"/>
        <v>99.852209701883837</v>
      </c>
      <c r="AG33" s="254">
        <f>SUM(AG7:AG32)</f>
        <v>34268121</v>
      </c>
      <c r="AH33" s="254">
        <f t="shared" ref="AH33:AJ33" si="56">SUM(AH7:AH32)</f>
        <v>748.13753999953042</v>
      </c>
      <c r="AI33" s="254">
        <f>SUM(AI7:AI32)</f>
        <v>34216728</v>
      </c>
      <c r="AJ33" s="254">
        <f t="shared" si="56"/>
        <v>-1.0099500001233537</v>
      </c>
      <c r="AK33" s="203">
        <f>SUM(AK7:AK32)</f>
        <v>35333814.019720003</v>
      </c>
      <c r="AL33" s="203">
        <f>SUM(AL7:AL32)</f>
        <v>34322284.261979997</v>
      </c>
      <c r="AM33" s="203">
        <f t="shared" si="27"/>
        <v>97.137218877148499</v>
      </c>
      <c r="AN33" s="198"/>
      <c r="AO33" s="198"/>
      <c r="AP33" s="198"/>
      <c r="AQ33" s="198"/>
      <c r="AR33" s="198">
        <f>SUM(AR7:AR32)</f>
        <v>750000</v>
      </c>
      <c r="AS33" s="203">
        <f>SUM(AS7:AS32)</f>
        <v>22243629.139350004</v>
      </c>
      <c r="AT33" s="203"/>
      <c r="AU33" s="203"/>
      <c r="AV33" s="203"/>
      <c r="AW33" s="203"/>
      <c r="AX33" s="198">
        <f>SUM(AX7:AX32)</f>
        <v>0</v>
      </c>
      <c r="AY33" s="203">
        <f>SUM(AY7:AY32)</f>
        <v>21924965.689460002</v>
      </c>
      <c r="AZ33" s="203">
        <f>SUM(AZ7:AZ32)</f>
        <v>20927898.709680002</v>
      </c>
      <c r="BA33" s="203">
        <f>SUM(BA7:BA32)</f>
        <v>20682327.362179998</v>
      </c>
      <c r="BB33" s="203">
        <f t="shared" si="30"/>
        <v>98.826583830002875</v>
      </c>
      <c r="BC33" s="198"/>
      <c r="BD33" s="198"/>
      <c r="BE33" s="198"/>
      <c r="BF33" s="198"/>
      <c r="BG33" s="203">
        <f>SUM(BG7:BG32)</f>
        <v>13407260.200379999</v>
      </c>
      <c r="BH33" s="198"/>
      <c r="BI33" s="198"/>
      <c r="BJ33" s="198"/>
      <c r="BK33" s="198"/>
      <c r="BL33" s="203">
        <f>SUM(BL7:BL32)</f>
        <v>13602784.276929999</v>
      </c>
      <c r="BM33" s="203">
        <f t="shared" ref="BM33:BO33" si="57">SUM(BM7:BM32)</f>
        <v>1141208275.3200002</v>
      </c>
      <c r="BN33" s="203">
        <f>SUM(BN7:BN32)</f>
        <v>1141208.2753199998</v>
      </c>
      <c r="BO33" s="203">
        <f t="shared" si="57"/>
        <v>1111160561.4900002</v>
      </c>
      <c r="BP33" s="203">
        <f>SUM(BP7:BP32)</f>
        <v>1111160.56149</v>
      </c>
      <c r="BQ33" s="203">
        <f>BP33/BN33%</f>
        <v>97.367026293112502</v>
      </c>
      <c r="BR33" s="203">
        <f t="shared" ref="BR33:BT33" si="58">SUM(BR7:BR32)</f>
        <v>676407419.83000004</v>
      </c>
      <c r="BS33" s="203">
        <f>SUM(BS7:BS32)</f>
        <v>676407.41983000003</v>
      </c>
      <c r="BT33" s="203">
        <f t="shared" si="58"/>
        <v>717796870.63999999</v>
      </c>
      <c r="BU33" s="203">
        <f>SUM(BU7:BU32)</f>
        <v>717796.87063999998</v>
      </c>
      <c r="BV33" s="203">
        <f>BU33/BS33%</f>
        <v>106.11901194407392</v>
      </c>
      <c r="BW33" s="203">
        <f t="shared" ref="BW33" si="59">SUM(BW7:BW32)</f>
        <v>886688234.74000001</v>
      </c>
      <c r="BX33" s="203">
        <f>SUM(BX7:BX32)</f>
        <v>886688.2347400001</v>
      </c>
      <c r="BY33" s="203">
        <f t="shared" ref="BY33:BZ33" si="60">SUM(BY7:BY32)</f>
        <v>834980931.71999991</v>
      </c>
      <c r="BZ33" s="203">
        <f t="shared" si="60"/>
        <v>834980.93171999988</v>
      </c>
      <c r="CA33" s="203">
        <f t="shared" ref="CA33" si="61">SUM(CA7:CA32)</f>
        <v>929457533.32000005</v>
      </c>
      <c r="CB33" s="203">
        <f>SUM(CB7:CB32)</f>
        <v>929457.53332000005</v>
      </c>
      <c r="CC33" s="203">
        <f>CB33/BX33%</f>
        <v>104.82348777217518</v>
      </c>
      <c r="CD33" s="203">
        <f t="shared" ref="CD33:CF33" si="62">SUM(CD7:CD32)</f>
        <v>94476.601600000038</v>
      </c>
      <c r="CE33" s="207">
        <f t="shared" si="41"/>
        <v>11.314821454112163</v>
      </c>
      <c r="CF33" s="203">
        <f t="shared" si="62"/>
        <v>1103257317.9200003</v>
      </c>
      <c r="CG33" s="203">
        <f>SUM(CG7:CG32)</f>
        <v>1103257.3179200001</v>
      </c>
      <c r="CH33" s="203">
        <f t="shared" ref="CH33" si="63">SUM(CH7:CH32)</f>
        <v>1193220287.05</v>
      </c>
      <c r="CI33" s="203">
        <f>SUM(CI7:CI32)</f>
        <v>1193220.2870499999</v>
      </c>
      <c r="CJ33" s="203">
        <f>CI33/CG33%</f>
        <v>108.15430522587509</v>
      </c>
      <c r="CK33" s="203">
        <f t="shared" ref="CK33:DI33" si="64">SUM(CK7:CK32)</f>
        <v>781571.45194000006</v>
      </c>
      <c r="CL33" s="203">
        <f t="shared" si="64"/>
        <v>212154.856</v>
      </c>
      <c r="CM33" s="203"/>
      <c r="CN33" s="203">
        <f t="shared" si="64"/>
        <v>784194.19890999992</v>
      </c>
      <c r="CO33" s="203">
        <f t="shared" si="64"/>
        <v>136128484.51999995</v>
      </c>
      <c r="CP33" s="203">
        <f t="shared" si="64"/>
        <v>136128.48452000003</v>
      </c>
      <c r="CQ33" s="203">
        <f t="shared" si="64"/>
        <v>2622.746969999982</v>
      </c>
      <c r="CR33" s="203">
        <f t="shared" si="64"/>
        <v>-76026.371480000002</v>
      </c>
      <c r="CS33" s="203">
        <f>SUM(CS7:CS32)</f>
        <v>-1066441.1572599993</v>
      </c>
      <c r="CT33" s="203">
        <f>SUM(CT7:CT32)</f>
        <v>-105555.25202999964</v>
      </c>
      <c r="CU33" s="203">
        <f t="shared" ref="CU33:CV33" si="65">SUM(CU7:CU32)</f>
        <v>4031673.09</v>
      </c>
      <c r="CV33" s="203">
        <f t="shared" si="65"/>
        <v>4139851.0890000002</v>
      </c>
      <c r="CW33" s="203">
        <f t="shared" si="64"/>
        <v>108177.99900000001</v>
      </c>
      <c r="CX33" s="203"/>
      <c r="CY33" s="203"/>
      <c r="CZ33" s="203"/>
      <c r="DA33" s="203"/>
      <c r="DB33" s="203">
        <f t="shared" si="64"/>
        <v>22175843.091749996</v>
      </c>
      <c r="DC33" s="203"/>
      <c r="DD33" s="203"/>
      <c r="DE33" s="203"/>
      <c r="DF33" s="203"/>
      <c r="DG33" s="203">
        <f t="shared" si="64"/>
        <v>21856583.0603</v>
      </c>
      <c r="DH33" s="203">
        <f t="shared" si="64"/>
        <v>20860112.662079994</v>
      </c>
      <c r="DI33" s="203">
        <f t="shared" si="64"/>
        <v>20613944.73302</v>
      </c>
      <c r="DJ33" s="203">
        <f t="shared" si="49"/>
        <v>98.819910836303947</v>
      </c>
      <c r="DK33" s="203"/>
      <c r="DL33" s="203">
        <f t="shared" ref="DL33:DN33" si="66">SUM(DL7:DL32)</f>
        <v>8701546.8159800004</v>
      </c>
      <c r="DM33" s="198"/>
      <c r="DN33" s="203">
        <f t="shared" si="66"/>
        <v>8707139.8509199992</v>
      </c>
      <c r="DO33" s="203"/>
      <c r="DP33" s="203">
        <f t="shared" ref="DP33" si="67">SUM(DP7:DP32)</f>
        <v>166053.43347000002</v>
      </c>
      <c r="DQ33" s="203"/>
      <c r="DR33" s="203">
        <f t="shared" ref="DR33:DS33" si="68">SUM(DR7:DR32)</f>
        <v>131583.70282000001</v>
      </c>
      <c r="DS33" s="203">
        <f t="shared" si="68"/>
        <v>-34469.730649999998</v>
      </c>
      <c r="DT33" s="203">
        <f t="shared" ref="DT33:DY33" si="69">SUM(DT7:DT32)</f>
        <v>1548085.9455900001</v>
      </c>
      <c r="DU33" s="203">
        <f t="shared" si="69"/>
        <v>366441.02436000004</v>
      </c>
      <c r="DV33" s="203">
        <f t="shared" si="69"/>
        <v>1466445.5303999998</v>
      </c>
      <c r="DW33" s="203">
        <f t="shared" si="69"/>
        <v>266706.1079</v>
      </c>
      <c r="DX33" s="203">
        <f t="shared" si="69"/>
        <v>-81640.415189999985</v>
      </c>
      <c r="DY33" s="203">
        <f t="shared" si="69"/>
        <v>-99734.916460000008</v>
      </c>
      <c r="DZ33" s="203"/>
      <c r="EA33" s="203"/>
    </row>
    <row r="34" spans="1:131" x14ac:dyDescent="0.25">
      <c r="A34" s="204"/>
      <c r="B34" s="200"/>
      <c r="C34" s="200"/>
      <c r="D34" s="200"/>
      <c r="E34" s="200"/>
      <c r="F34" s="199"/>
      <c r="G34" s="200"/>
      <c r="H34" s="200"/>
      <c r="I34" s="200"/>
      <c r="J34" s="200"/>
      <c r="K34" s="199"/>
      <c r="L34" s="200"/>
      <c r="M34" s="200"/>
      <c r="N34" s="200"/>
      <c r="O34" s="199">
        <f>'1.1_Конс.'!E132/1000</f>
        <v>1315730.42967</v>
      </c>
      <c r="P34" s="200"/>
      <c r="Q34" s="200"/>
      <c r="R34" s="200"/>
      <c r="S34" s="199">
        <f>'1.1_Конс.'!L132/1000</f>
        <v>1242638.3272800003</v>
      </c>
      <c r="T34" s="200"/>
      <c r="U34" s="200"/>
      <c r="V34" s="200"/>
      <c r="W34" s="200"/>
      <c r="X34" s="199"/>
      <c r="Y34" s="200"/>
      <c r="Z34" s="200"/>
      <c r="AA34" s="200"/>
      <c r="AB34" s="200"/>
      <c r="AC34" s="199"/>
      <c r="AD34" s="199">
        <f>'1.1_Конс.'!R38*1000</f>
        <v>34267372.862459995</v>
      </c>
      <c r="AE34" s="199">
        <f>'1.1_Конс.'!X38*1000</f>
        <v>34216729.009950005</v>
      </c>
      <c r="AF34" s="199">
        <f t="shared" si="24"/>
        <v>99.852209701883893</v>
      </c>
      <c r="AG34" s="199"/>
      <c r="AH34" s="199"/>
      <c r="AI34" s="199"/>
      <c r="AJ34" s="199"/>
      <c r="AK34" s="199">
        <f>'1.1_Конс.'!R130*1000</f>
        <v>35333814.019720003</v>
      </c>
      <c r="AL34" s="199">
        <f>'1.1_Конс.'!X130*1000</f>
        <v>34322284.26197999</v>
      </c>
      <c r="AM34" s="199">
        <f t="shared" si="27"/>
        <v>97.13721887714847</v>
      </c>
      <c r="AN34" s="200"/>
      <c r="AO34" s="200"/>
      <c r="AP34" s="200"/>
      <c r="AQ34" s="200"/>
      <c r="AR34" s="199"/>
      <c r="AS34" s="199"/>
      <c r="AT34" s="200"/>
      <c r="AU34" s="200"/>
      <c r="AV34" s="200"/>
      <c r="AW34" s="200"/>
      <c r="AX34" s="199"/>
      <c r="AY34" s="199"/>
      <c r="AZ34" s="199">
        <f>'1.1_Конс.'!R31*1000</f>
        <v>20927898.709680002</v>
      </c>
      <c r="BA34" s="199">
        <f>'1.1_Конс.'!X31*1000</f>
        <v>20682327.362179995</v>
      </c>
      <c r="BB34" s="199">
        <f t="shared" si="30"/>
        <v>98.826583830002861</v>
      </c>
      <c r="BC34" s="200"/>
      <c r="BD34" s="200"/>
      <c r="BE34" s="200"/>
      <c r="BF34" s="200"/>
      <c r="BG34" s="199">
        <f>'1.1_Конс.'!R11*1000</f>
        <v>13407260.200379999</v>
      </c>
      <c r="BH34" s="200"/>
      <c r="BI34" s="200"/>
      <c r="BJ34" s="200"/>
      <c r="BK34" s="200"/>
      <c r="BL34" s="199">
        <f>'1.1_Конс.'!X11*1000</f>
        <v>13602784.276930001</v>
      </c>
      <c r="BM34" s="200"/>
      <c r="BN34" s="199">
        <f>'1.1_Конс.'!R15*1000</f>
        <v>1141208.27532</v>
      </c>
      <c r="BO34" s="200"/>
      <c r="BP34" s="199">
        <f>'1.1_Конс.'!X15*1000</f>
        <v>1111160.56149</v>
      </c>
      <c r="BQ34" s="199">
        <f>BP34/BN34%</f>
        <v>97.367026293112488</v>
      </c>
      <c r="BR34" s="200"/>
      <c r="BS34" s="199">
        <f>'1.1_Конс.'!R23*1000</f>
        <v>676407.41982999991</v>
      </c>
      <c r="BT34" s="200"/>
      <c r="BU34" s="199">
        <f>'1.1_Конс.'!X23*1000</f>
        <v>717796.87063999998</v>
      </c>
      <c r="BV34" s="199">
        <f>BU34/BS34%</f>
        <v>106.11901194407395</v>
      </c>
      <c r="BW34" s="199"/>
      <c r="BX34" s="199">
        <f>'1.1_Конс.'!R16*1000</f>
        <v>886688.23473999999</v>
      </c>
      <c r="BY34" s="200"/>
      <c r="BZ34" s="199"/>
      <c r="CA34" s="199"/>
      <c r="CB34" s="199">
        <f>'1.1_Конс.'!X16*1000</f>
        <v>929457.53331999993</v>
      </c>
      <c r="CC34" s="199">
        <f>CB34/BX34%</f>
        <v>104.82348777217518</v>
      </c>
      <c r="CD34" s="199"/>
      <c r="CE34" s="199"/>
      <c r="CF34" s="199"/>
      <c r="CG34" s="199">
        <f>'1.1_Конс.'!R20*1000</f>
        <v>1103257.3179200001</v>
      </c>
      <c r="CH34" s="199"/>
      <c r="CI34" s="199">
        <f>'1.1_Конс.'!X20*1000</f>
        <v>1193220.2870499999</v>
      </c>
      <c r="CJ34" s="199">
        <f>CI34/CG34%</f>
        <v>108.15430522587509</v>
      </c>
      <c r="CK34" s="199">
        <f>'1.1_Конс.'!R160*1000</f>
        <v>781571.34273999999</v>
      </c>
      <c r="CL34" s="199">
        <f>'1.1_Конс.'!R161*1000</f>
        <v>212154.856</v>
      </c>
      <c r="CM34" s="200"/>
      <c r="CN34" s="199">
        <f>'1.1_Конс.'!X160*1000</f>
        <v>784194.19890999992</v>
      </c>
      <c r="CO34" s="200"/>
      <c r="CP34" s="199">
        <f>'1.1_Конс.'!X161*1000</f>
        <v>136128.48452</v>
      </c>
      <c r="CQ34" s="199"/>
      <c r="CR34" s="199"/>
      <c r="CS34" s="199"/>
      <c r="CT34" s="199"/>
      <c r="CU34" s="199">
        <f>'1.1_Конс.'!R165*1000</f>
        <v>4031673.09</v>
      </c>
      <c r="CV34" s="199">
        <f>'1.1_Конс.'!X165*1000</f>
        <v>4139851.0889999997</v>
      </c>
      <c r="CW34" s="199">
        <f>'1.1_Конс.'!AD165*1000</f>
        <v>108177.999</v>
      </c>
      <c r="CX34" s="200"/>
      <c r="CY34" s="200"/>
      <c r="CZ34" s="200"/>
      <c r="DA34" s="200"/>
      <c r="DB34" s="199"/>
      <c r="DC34" s="200"/>
      <c r="DD34" s="200"/>
      <c r="DE34" s="200"/>
      <c r="DF34" s="200"/>
      <c r="DG34" s="199"/>
      <c r="DH34" s="199">
        <f>'1.1_Конс.'!R29*1000</f>
        <v>20860112.662079994</v>
      </c>
      <c r="DI34" s="199">
        <f>'1.1_Конс.'!X29*1000</f>
        <v>20613944.733020004</v>
      </c>
      <c r="DJ34" s="199">
        <f t="shared" si="49"/>
        <v>98.819910836303961</v>
      </c>
      <c r="DK34" s="200"/>
      <c r="DL34" s="199">
        <f>'1.1_Конс.'!R13*1000</f>
        <v>8701546.8159800004</v>
      </c>
      <c r="DM34" s="200"/>
      <c r="DN34" s="199">
        <f>'1.1_Конс.'!X13*1000</f>
        <v>8707139.850920001</v>
      </c>
      <c r="DO34" s="200"/>
      <c r="DP34" s="199"/>
      <c r="DQ34" s="200"/>
      <c r="DR34" s="199"/>
      <c r="DS34" s="199"/>
      <c r="DT34" s="199">
        <v>1548085.9455900001</v>
      </c>
      <c r="DU34" s="199">
        <f>'1.1_Конс.'!E164/1000</f>
        <v>366441.02436000004</v>
      </c>
      <c r="DW34" s="199">
        <f>'1.1_Конс.'!L164/1000</f>
        <v>264996.85389999999</v>
      </c>
    </row>
    <row r="35" spans="1:131" x14ac:dyDescent="0.25">
      <c r="A35" s="204"/>
      <c r="B35" s="200"/>
      <c r="C35" s="200"/>
      <c r="D35" s="200"/>
      <c r="E35" s="200"/>
      <c r="F35" s="199"/>
      <c r="G35" s="200"/>
      <c r="H35" s="200"/>
      <c r="I35" s="200"/>
      <c r="J35" s="200"/>
      <c r="K35" s="199"/>
      <c r="L35" s="200"/>
      <c r="M35" s="200"/>
      <c r="N35" s="200"/>
      <c r="O35" s="199">
        <f>O34-O33</f>
        <v>0</v>
      </c>
      <c r="P35" s="199"/>
      <c r="Q35" s="199"/>
      <c r="R35" s="199"/>
      <c r="S35" s="199">
        <f>S34-S33</f>
        <v>0</v>
      </c>
      <c r="T35" s="200"/>
      <c r="U35" s="200"/>
      <c r="V35" s="200"/>
      <c r="W35" s="200"/>
      <c r="X35" s="199"/>
      <c r="Y35" s="200"/>
      <c r="Z35" s="200"/>
      <c r="AA35" s="200"/>
      <c r="AB35" s="200"/>
      <c r="AC35" s="199"/>
      <c r="AD35" s="199">
        <f>AD34-AD33</f>
        <v>0</v>
      </c>
      <c r="AE35" s="199">
        <f>AE34-AE33</f>
        <v>0</v>
      </c>
      <c r="AF35" s="199"/>
      <c r="AG35" s="199"/>
      <c r="AH35" s="199"/>
      <c r="AI35" s="199"/>
      <c r="AJ35" s="199"/>
      <c r="AK35" s="199">
        <f>AK34-AK33</f>
        <v>0</v>
      </c>
      <c r="AL35" s="199">
        <f>AL34-AL33</f>
        <v>0</v>
      </c>
      <c r="AM35" s="199"/>
      <c r="AN35" s="200"/>
      <c r="AO35" s="200"/>
      <c r="AP35" s="200"/>
      <c r="AQ35" s="200"/>
      <c r="AR35" s="199"/>
      <c r="AS35" s="199"/>
      <c r="AT35" s="200"/>
      <c r="AU35" s="200"/>
      <c r="AV35" s="200"/>
      <c r="AW35" s="200"/>
      <c r="AX35" s="199"/>
      <c r="AY35" s="199"/>
      <c r="AZ35" s="199">
        <f>AZ34-AZ33</f>
        <v>0</v>
      </c>
      <c r="BA35" s="199">
        <f>BA34-BA33</f>
        <v>0</v>
      </c>
      <c r="BB35" s="199"/>
      <c r="BC35" s="200"/>
      <c r="BD35" s="200"/>
      <c r="BE35" s="200"/>
      <c r="BF35" s="200"/>
      <c r="BG35" s="199">
        <f>BG34-BG33</f>
        <v>0</v>
      </c>
      <c r="BH35" s="199"/>
      <c r="BI35" s="199"/>
      <c r="BJ35" s="199"/>
      <c r="BK35" s="199"/>
      <c r="BL35" s="199">
        <f t="shared" ref="BL35:BP35" si="70">BL34-BL33</f>
        <v>0</v>
      </c>
      <c r="BM35" s="199"/>
      <c r="BN35" s="199">
        <f t="shared" si="70"/>
        <v>0</v>
      </c>
      <c r="BO35" s="199"/>
      <c r="BP35" s="199">
        <f t="shared" si="70"/>
        <v>0</v>
      </c>
      <c r="BQ35" s="199"/>
      <c r="BR35" s="200"/>
      <c r="BS35" s="199">
        <f>BS34-BS33</f>
        <v>0</v>
      </c>
      <c r="BT35" s="200"/>
      <c r="BU35" s="199">
        <f>BU34-BU33</f>
        <v>0</v>
      </c>
      <c r="BV35" s="199"/>
      <c r="BW35" s="199"/>
      <c r="BX35" s="199">
        <f>BX34-BX33</f>
        <v>0</v>
      </c>
      <c r="BY35" s="200"/>
      <c r="BZ35" s="199"/>
      <c r="CA35" s="199"/>
      <c r="CB35" s="199">
        <f>CB34-CB33</f>
        <v>0</v>
      </c>
      <c r="CC35" s="199"/>
      <c r="CD35" s="199"/>
      <c r="CE35" s="199"/>
      <c r="CF35" s="199"/>
      <c r="CG35" s="199">
        <f>CG34-CG33</f>
        <v>0</v>
      </c>
      <c r="CH35" s="199"/>
      <c r="CI35" s="199">
        <f>CI34-CI33</f>
        <v>0</v>
      </c>
      <c r="CJ35" s="199"/>
      <c r="CK35" s="199">
        <f>CK34-CK33</f>
        <v>-0.10920000006444752</v>
      </c>
      <c r="CL35" s="199">
        <f>CL34-CL33</f>
        <v>0</v>
      </c>
      <c r="CM35" s="200"/>
      <c r="CN35" s="199">
        <f>CN34-CN33</f>
        <v>0</v>
      </c>
      <c r="CO35" s="200"/>
      <c r="CP35" s="199">
        <f>CP34-CP33</f>
        <v>0</v>
      </c>
      <c r="CQ35" s="199"/>
      <c r="CR35" s="199"/>
      <c r="CS35" s="199"/>
      <c r="CT35" s="199"/>
      <c r="CU35" s="199">
        <f>CU34-CU33</f>
        <v>0</v>
      </c>
      <c r="CV35" s="199">
        <f>CV34-CV33</f>
        <v>0</v>
      </c>
      <c r="CW35" s="199">
        <f>CW34-CW33</f>
        <v>0</v>
      </c>
      <c r="CX35" s="200"/>
      <c r="CY35" s="200"/>
      <c r="CZ35" s="200"/>
      <c r="DA35" s="200"/>
      <c r="DB35" s="199"/>
      <c r="DC35" s="200"/>
      <c r="DD35" s="200"/>
      <c r="DE35" s="200"/>
      <c r="DF35" s="200"/>
      <c r="DG35" s="199"/>
      <c r="DH35" s="199">
        <f>DH34-DH33</f>
        <v>0</v>
      </c>
      <c r="DI35" s="199">
        <f>DI34-DI33</f>
        <v>0</v>
      </c>
      <c r="DJ35" s="199"/>
      <c r="DK35" s="200"/>
      <c r="DL35" s="199">
        <f>DL34-DL33</f>
        <v>0</v>
      </c>
      <c r="DM35" s="200"/>
      <c r="DN35" s="199">
        <f>DN34-DN33</f>
        <v>0</v>
      </c>
      <c r="DO35" s="200"/>
      <c r="DP35" s="199"/>
      <c r="DQ35" s="200"/>
      <c r="DR35" s="199"/>
      <c r="DS35" s="199"/>
      <c r="DU35" s="199">
        <f>DU34-DU33</f>
        <v>0</v>
      </c>
      <c r="DW35" s="199">
        <f>DW34-DW33</f>
        <v>-1709.2540000000154</v>
      </c>
    </row>
    <row r="36" spans="1:131" x14ac:dyDescent="0.25">
      <c r="AY36" s="211" t="s">
        <v>228</v>
      </c>
      <c r="AZ36" s="211" t="s">
        <v>229</v>
      </c>
      <c r="DV36" s="207" t="s">
        <v>432</v>
      </c>
      <c r="DW36" s="199">
        <f>264996853.9/1000</f>
        <v>264996.85389999999</v>
      </c>
    </row>
    <row r="37" spans="1:131" x14ac:dyDescent="0.25">
      <c r="A37" s="197" t="s">
        <v>163</v>
      </c>
      <c r="AY37" s="199">
        <v>956044.84140999999</v>
      </c>
      <c r="AZ37" s="207">
        <f>AY37-BA7</f>
        <v>0</v>
      </c>
      <c r="DU37" s="525" t="s">
        <v>433</v>
      </c>
      <c r="DV37" s="525"/>
      <c r="DW37" s="199">
        <f>DW36-DW33</f>
        <v>-1709.2540000000154</v>
      </c>
    </row>
    <row r="38" spans="1:131" x14ac:dyDescent="0.25">
      <c r="A38" s="197" t="s">
        <v>164</v>
      </c>
      <c r="AY38" s="199">
        <v>523141.29496000003</v>
      </c>
      <c r="AZ38" s="207">
        <f t="shared" ref="AZ38:AZ62" si="71">AY38-BA8</f>
        <v>0</v>
      </c>
      <c r="CD38" s="199"/>
      <c r="CE38" s="199"/>
    </row>
    <row r="39" spans="1:131" x14ac:dyDescent="0.25">
      <c r="A39" s="197" t="s">
        <v>165</v>
      </c>
      <c r="AY39" s="199">
        <v>337058.25812999997</v>
      </c>
      <c r="AZ39" s="207">
        <f t="shared" si="71"/>
        <v>0</v>
      </c>
    </row>
    <row r="40" spans="1:131" x14ac:dyDescent="0.25">
      <c r="A40" s="197" t="s">
        <v>166</v>
      </c>
      <c r="AY40" s="199">
        <v>428590.04713999998</v>
      </c>
      <c r="AZ40" s="207">
        <f t="shared" si="71"/>
        <v>0</v>
      </c>
    </row>
    <row r="41" spans="1:131" x14ac:dyDescent="0.25">
      <c r="A41" s="197" t="s">
        <v>167</v>
      </c>
      <c r="AY41" s="199">
        <v>572228.70998000004</v>
      </c>
      <c r="AZ41" s="207">
        <f t="shared" si="71"/>
        <v>0</v>
      </c>
    </row>
    <row r="42" spans="1:131" x14ac:dyDescent="0.25">
      <c r="A42" s="197" t="s">
        <v>168</v>
      </c>
      <c r="AY42" s="199">
        <v>662569.07481000002</v>
      </c>
      <c r="AZ42" s="207">
        <f t="shared" si="71"/>
        <v>0</v>
      </c>
    </row>
    <row r="43" spans="1:131" x14ac:dyDescent="0.25">
      <c r="A43" s="197" t="s">
        <v>169</v>
      </c>
      <c r="AY43" s="199">
        <v>414280.99069000001</v>
      </c>
      <c r="AZ43" s="207">
        <f t="shared" si="71"/>
        <v>0</v>
      </c>
    </row>
    <row r="44" spans="1:131" x14ac:dyDescent="0.25">
      <c r="A44" s="197" t="s">
        <v>170</v>
      </c>
      <c r="AY44" s="199">
        <v>584974.63512999995</v>
      </c>
      <c r="AZ44" s="207">
        <f t="shared" si="71"/>
        <v>0</v>
      </c>
    </row>
    <row r="45" spans="1:131" x14ac:dyDescent="0.25">
      <c r="A45" s="197" t="s">
        <v>171</v>
      </c>
      <c r="AY45" s="199">
        <v>396285.10681000003</v>
      </c>
      <c r="AZ45" s="207">
        <f t="shared" si="71"/>
        <v>0</v>
      </c>
    </row>
    <row r="46" spans="1:131" x14ac:dyDescent="0.25">
      <c r="A46" s="197" t="s">
        <v>172</v>
      </c>
      <c r="AY46" s="199">
        <v>320766.11537000001</v>
      </c>
      <c r="AZ46" s="207">
        <f t="shared" si="71"/>
        <v>0</v>
      </c>
    </row>
    <row r="47" spans="1:131" x14ac:dyDescent="0.25">
      <c r="A47" s="197" t="s">
        <v>173</v>
      </c>
      <c r="AY47" s="199">
        <v>344795.10667000001</v>
      </c>
      <c r="AZ47" s="207">
        <f t="shared" si="71"/>
        <v>0</v>
      </c>
    </row>
    <row r="48" spans="1:131" x14ac:dyDescent="0.25">
      <c r="A48" s="197" t="s">
        <v>174</v>
      </c>
      <c r="AY48" s="199">
        <v>475253.95484999998</v>
      </c>
      <c r="AZ48" s="207">
        <f t="shared" si="71"/>
        <v>0</v>
      </c>
    </row>
    <row r="49" spans="1:52" x14ac:dyDescent="0.25">
      <c r="A49" s="197" t="s">
        <v>175</v>
      </c>
      <c r="AY49" s="199">
        <v>598675.39451999997</v>
      </c>
      <c r="AZ49" s="207">
        <f t="shared" si="71"/>
        <v>0</v>
      </c>
    </row>
    <row r="50" spans="1:52" x14ac:dyDescent="0.25">
      <c r="A50" s="197" t="s">
        <v>176</v>
      </c>
      <c r="AY50" s="199">
        <v>873407.57632999995</v>
      </c>
      <c r="AZ50" s="207">
        <f t="shared" si="71"/>
        <v>0</v>
      </c>
    </row>
    <row r="51" spans="1:52" x14ac:dyDescent="0.25">
      <c r="A51" s="197" t="s">
        <v>177</v>
      </c>
      <c r="AY51" s="199">
        <v>808386.59455000004</v>
      </c>
      <c r="AZ51" s="207">
        <f t="shared" si="71"/>
        <v>0</v>
      </c>
    </row>
    <row r="52" spans="1:52" x14ac:dyDescent="0.25">
      <c r="A52" s="197" t="s">
        <v>178</v>
      </c>
      <c r="AY52" s="199">
        <v>586426.28463000001</v>
      </c>
      <c r="AZ52" s="207">
        <f t="shared" si="71"/>
        <v>0</v>
      </c>
    </row>
    <row r="53" spans="1:52" x14ac:dyDescent="0.25">
      <c r="A53" s="197" t="s">
        <v>179</v>
      </c>
      <c r="AY53" s="199">
        <v>778642.63280000002</v>
      </c>
      <c r="AZ53" s="207">
        <f t="shared" si="71"/>
        <v>0</v>
      </c>
    </row>
    <row r="54" spans="1:52" x14ac:dyDescent="0.25">
      <c r="A54" s="197" t="s">
        <v>180</v>
      </c>
      <c r="AY54" s="199">
        <v>730443.52243999997</v>
      </c>
      <c r="AZ54" s="207">
        <f t="shared" si="71"/>
        <v>0</v>
      </c>
    </row>
    <row r="55" spans="1:52" x14ac:dyDescent="0.25">
      <c r="A55" s="197" t="s">
        <v>181</v>
      </c>
      <c r="AY55" s="199">
        <v>305045.06309000001</v>
      </c>
      <c r="AZ55" s="207">
        <f t="shared" si="71"/>
        <v>0</v>
      </c>
    </row>
    <row r="56" spans="1:52" x14ac:dyDescent="0.25">
      <c r="A56" s="197" t="s">
        <v>182</v>
      </c>
      <c r="AY56" s="199">
        <v>3889191.3073499999</v>
      </c>
      <c r="AZ56" s="207">
        <f t="shared" si="71"/>
        <v>0</v>
      </c>
    </row>
    <row r="57" spans="1:52" x14ac:dyDescent="0.25">
      <c r="A57" s="197" t="s">
        <v>183</v>
      </c>
      <c r="AY57" s="199">
        <v>2976810.0986899999</v>
      </c>
      <c r="AZ57" s="207">
        <f t="shared" si="71"/>
        <v>0</v>
      </c>
    </row>
    <row r="58" spans="1:52" x14ac:dyDescent="0.25">
      <c r="A58" s="197" t="s">
        <v>184</v>
      </c>
      <c r="AY58" s="199">
        <v>1066356.16815</v>
      </c>
      <c r="AZ58" s="207">
        <f t="shared" si="71"/>
        <v>0</v>
      </c>
    </row>
    <row r="59" spans="1:52" x14ac:dyDescent="0.25">
      <c r="A59" s="197" t="s">
        <v>185</v>
      </c>
      <c r="AY59" s="199">
        <v>503389.86505999998</v>
      </c>
      <c r="AZ59" s="207">
        <f t="shared" si="71"/>
        <v>0</v>
      </c>
    </row>
    <row r="60" spans="1:52" x14ac:dyDescent="0.25">
      <c r="A60" s="197" t="s">
        <v>186</v>
      </c>
      <c r="AY60" s="199">
        <v>476145.21106</v>
      </c>
      <c r="AZ60" s="207">
        <f t="shared" si="71"/>
        <v>0</v>
      </c>
    </row>
    <row r="61" spans="1:52" x14ac:dyDescent="0.25">
      <c r="A61" s="197" t="s">
        <v>187</v>
      </c>
      <c r="AY61" s="199">
        <v>1066120.5606800001</v>
      </c>
      <c r="AZ61" s="207">
        <f t="shared" si="71"/>
        <v>0</v>
      </c>
    </row>
    <row r="62" spans="1:52" x14ac:dyDescent="0.25">
      <c r="A62" s="197" t="s">
        <v>188</v>
      </c>
      <c r="AY62" s="199">
        <v>7298.9468800000004</v>
      </c>
      <c r="AZ62" s="207">
        <f t="shared" si="71"/>
        <v>0</v>
      </c>
    </row>
    <row r="63" spans="1:52" x14ac:dyDescent="0.25">
      <c r="AY63" s="199">
        <f>SUM(AY37:AY62)</f>
        <v>20682327.362179998</v>
      </c>
      <c r="AZ63" s="199">
        <f>SUM(AZ37:AZ62)</f>
        <v>0</v>
      </c>
    </row>
  </sheetData>
  <mergeCells count="79">
    <mergeCell ref="DU37:DV37"/>
    <mergeCell ref="DX5:DY5"/>
    <mergeCell ref="DT4:DY4"/>
    <mergeCell ref="DO5:DP5"/>
    <mergeCell ref="DQ5:DR5"/>
    <mergeCell ref="DO4:DS4"/>
    <mergeCell ref="DS5:DS6"/>
    <mergeCell ref="DT5:DU5"/>
    <mergeCell ref="DV5:DW5"/>
    <mergeCell ref="AK5:AK6"/>
    <mergeCell ref="DK5:DL5"/>
    <mergeCell ref="DM5:DN5"/>
    <mergeCell ref="DK4:DN4"/>
    <mergeCell ref="DC5:DG5"/>
    <mergeCell ref="BO5:BP5"/>
    <mergeCell ref="BQ5:BQ6"/>
    <mergeCell ref="BR5:BS5"/>
    <mergeCell ref="BT5:BU5"/>
    <mergeCell ref="BV5:BV6"/>
    <mergeCell ref="BW5:BX5"/>
    <mergeCell ref="CQ4:CQ6"/>
    <mergeCell ref="BR4:BV4"/>
    <mergeCell ref="CJ5:CJ6"/>
    <mergeCell ref="CL5:CL6"/>
    <mergeCell ref="CO5:CP6"/>
    <mergeCell ref="BA5:BA6"/>
    <mergeCell ref="BB5:BB6"/>
    <mergeCell ref="BC5:BG5"/>
    <mergeCell ref="BM4:BQ4"/>
    <mergeCell ref="Y5:AC5"/>
    <mergeCell ref="AD5:AD6"/>
    <mergeCell ref="AE5:AE6"/>
    <mergeCell ref="AL5:AL6"/>
    <mergeCell ref="AM5:AM6"/>
    <mergeCell ref="AN5:AS5"/>
    <mergeCell ref="AT5:AY5"/>
    <mergeCell ref="AZ5:AZ6"/>
    <mergeCell ref="AK4:AM4"/>
    <mergeCell ref="AN4:AY4"/>
    <mergeCell ref="AZ4:BB4"/>
    <mergeCell ref="BC4:BL4"/>
    <mergeCell ref="BH5:BL5"/>
    <mergeCell ref="CC5:CC6"/>
    <mergeCell ref="CF5:CG5"/>
    <mergeCell ref="CH5:CI5"/>
    <mergeCell ref="CF4:CJ4"/>
    <mergeCell ref="BY5:BZ5"/>
    <mergeCell ref="CD5:CD6"/>
    <mergeCell ref="BW4:CE4"/>
    <mergeCell ref="CE5:CE6"/>
    <mergeCell ref="AG4:AJ4"/>
    <mergeCell ref="AG5:AG6"/>
    <mergeCell ref="AH5:AH6"/>
    <mergeCell ref="AI5:AI6"/>
    <mergeCell ref="AJ5:AJ6"/>
    <mergeCell ref="A4:A6"/>
    <mergeCell ref="B4:K4"/>
    <mergeCell ref="L4:S4"/>
    <mergeCell ref="T4:AC4"/>
    <mergeCell ref="AD4:AF4"/>
    <mergeCell ref="AF5:AF6"/>
    <mergeCell ref="B5:F5"/>
    <mergeCell ref="G5:K5"/>
    <mergeCell ref="L5:O5"/>
    <mergeCell ref="P5:S5"/>
    <mergeCell ref="T5:X5"/>
    <mergeCell ref="CX4:DG4"/>
    <mergeCell ref="DH4:DJ5"/>
    <mergeCell ref="BM5:BN5"/>
    <mergeCell ref="CK4:CK6"/>
    <mergeCell ref="CM4:CN6"/>
    <mergeCell ref="CO4:CP4"/>
    <mergeCell ref="CA5:CB5"/>
    <mergeCell ref="CS4:CT5"/>
    <mergeCell ref="CX5:DB5"/>
    <mergeCell ref="CV4:CV6"/>
    <mergeCell ref="CW4:CW6"/>
    <mergeCell ref="CU4:CU6"/>
    <mergeCell ref="CR5:CR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X176"/>
  <sheetViews>
    <sheetView zoomScale="115" zoomScaleNormal="11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7" sqref="G7"/>
    </sheetView>
  </sheetViews>
  <sheetFormatPr defaultColWidth="9.109375" defaultRowHeight="13.2" x14ac:dyDescent="0.25"/>
  <cols>
    <col min="1" max="1" width="48.5546875" style="1" customWidth="1"/>
    <col min="2" max="2" width="9.33203125" style="3" customWidth="1"/>
    <col min="3" max="3" width="9.6640625" style="3" bestFit="1" customWidth="1"/>
    <col min="4" max="4" width="9.33203125" style="3" customWidth="1"/>
    <col min="5" max="6" width="8.5546875" style="3" hidden="1" customWidth="1"/>
    <col min="7" max="7" width="8.109375" style="3" hidden="1" customWidth="1"/>
    <col min="8" max="8" width="10.109375" style="3" bestFit="1" customWidth="1"/>
    <col min="9" max="9" width="9.109375" style="3"/>
    <col min="10" max="10" width="9.44140625" style="3" customWidth="1"/>
    <col min="11" max="11" width="8.88671875" style="3" hidden="1" customWidth="1"/>
    <col min="12" max="12" width="8.44140625" style="3" hidden="1" customWidth="1"/>
    <col min="13" max="13" width="8" style="3" hidden="1" customWidth="1"/>
    <col min="14" max="14" width="9.44140625" style="3" customWidth="1"/>
    <col min="15" max="15" width="9" style="3" customWidth="1"/>
    <col min="16" max="16" width="9.33203125" style="3" customWidth="1"/>
    <col min="17" max="17" width="9.44140625" style="3" customWidth="1"/>
    <col min="18" max="18" width="8.6640625" style="3" customWidth="1"/>
    <col min="19" max="19" width="9.33203125" style="3" customWidth="1"/>
    <col min="20" max="20" width="9.109375" style="7"/>
    <col min="21" max="21" width="9.6640625" style="7" bestFit="1" customWidth="1"/>
    <col min="22" max="24" width="9.109375" style="7"/>
    <col min="25" max="16384" width="9.109375" style="3"/>
  </cols>
  <sheetData>
    <row r="1" spans="1:24" ht="21.75" customHeight="1" x14ac:dyDescent="0.25">
      <c r="Q1" s="461" t="s">
        <v>467</v>
      </c>
      <c r="R1" s="461"/>
      <c r="S1" s="461"/>
    </row>
    <row r="2" spans="1:24" ht="29.25" customHeight="1" x14ac:dyDescent="0.25">
      <c r="A2" s="462" t="s">
        <v>401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</row>
    <row r="3" spans="1:24" ht="13.8" thickBot="1" x14ac:dyDescent="0.3">
      <c r="Q3" s="257"/>
      <c r="R3" s="257"/>
      <c r="S3" s="257"/>
    </row>
    <row r="4" spans="1:24" s="1" customFormat="1" ht="27.75" customHeight="1" thickTop="1" x14ac:dyDescent="0.25">
      <c r="A4" s="448" t="s">
        <v>0</v>
      </c>
      <c r="B4" s="450" t="s">
        <v>402</v>
      </c>
      <c r="C4" s="450"/>
      <c r="D4" s="450"/>
      <c r="E4" s="450"/>
      <c r="F4" s="450"/>
      <c r="G4" s="450"/>
      <c r="H4" s="450" t="s">
        <v>403</v>
      </c>
      <c r="I4" s="450"/>
      <c r="J4" s="450"/>
      <c r="K4" s="450"/>
      <c r="L4" s="450"/>
      <c r="M4" s="450"/>
      <c r="N4" s="450" t="s">
        <v>529</v>
      </c>
      <c r="O4" s="450"/>
      <c r="P4" s="450"/>
      <c r="Q4" s="450" t="s">
        <v>530</v>
      </c>
      <c r="R4" s="450"/>
      <c r="S4" s="451"/>
      <c r="T4" s="7"/>
      <c r="U4" s="7"/>
      <c r="V4" s="7"/>
      <c r="W4" s="7"/>
      <c r="X4" s="7"/>
    </row>
    <row r="5" spans="1:24" s="1" customFormat="1" x14ac:dyDescent="0.25">
      <c r="A5" s="449"/>
      <c r="B5" s="444" t="s">
        <v>2</v>
      </c>
      <c r="C5" s="443" t="s">
        <v>4</v>
      </c>
      <c r="D5" s="443"/>
      <c r="E5" s="443"/>
      <c r="F5" s="443"/>
      <c r="G5" s="443"/>
      <c r="H5" s="444" t="s">
        <v>2</v>
      </c>
      <c r="I5" s="443" t="s">
        <v>4</v>
      </c>
      <c r="J5" s="443"/>
      <c r="K5" s="443"/>
      <c r="L5" s="443"/>
      <c r="M5" s="443"/>
      <c r="N5" s="446" t="s">
        <v>2</v>
      </c>
      <c r="O5" s="443" t="s">
        <v>4</v>
      </c>
      <c r="P5" s="443"/>
      <c r="Q5" s="446" t="s">
        <v>2</v>
      </c>
      <c r="R5" s="443" t="s">
        <v>4</v>
      </c>
      <c r="S5" s="445"/>
      <c r="T5" s="7"/>
      <c r="U5" s="7"/>
      <c r="V5" s="7"/>
      <c r="W5" s="7"/>
      <c r="X5" s="7"/>
    </row>
    <row r="6" spans="1:24" s="1" customFormat="1" ht="13.2" customHeight="1" x14ac:dyDescent="0.25">
      <c r="A6" s="449"/>
      <c r="B6" s="444"/>
      <c r="C6" s="444" t="s">
        <v>6</v>
      </c>
      <c r="D6" s="446" t="s">
        <v>7</v>
      </c>
      <c r="E6" s="447" t="s">
        <v>8</v>
      </c>
      <c r="F6" s="447"/>
      <c r="G6" s="447"/>
      <c r="H6" s="444"/>
      <c r="I6" s="444" t="s">
        <v>6</v>
      </c>
      <c r="J6" s="446" t="s">
        <v>7</v>
      </c>
      <c r="K6" s="447" t="s">
        <v>8</v>
      </c>
      <c r="L6" s="447"/>
      <c r="M6" s="447"/>
      <c r="N6" s="446"/>
      <c r="O6" s="446" t="s">
        <v>6</v>
      </c>
      <c r="P6" s="446" t="s">
        <v>7</v>
      </c>
      <c r="Q6" s="446"/>
      <c r="R6" s="446" t="s">
        <v>6</v>
      </c>
      <c r="S6" s="463" t="s">
        <v>7</v>
      </c>
      <c r="T6" s="7"/>
      <c r="U6" s="7"/>
      <c r="V6" s="7"/>
      <c r="W6" s="7"/>
      <c r="X6" s="7"/>
    </row>
    <row r="7" spans="1:24" s="1" customFormat="1" ht="43.2" customHeight="1" x14ac:dyDescent="0.25">
      <c r="A7" s="449"/>
      <c r="B7" s="444"/>
      <c r="C7" s="444"/>
      <c r="D7" s="446"/>
      <c r="E7" s="250" t="s">
        <v>9</v>
      </c>
      <c r="F7" s="250" t="s">
        <v>10</v>
      </c>
      <c r="G7" s="250" t="s">
        <v>11</v>
      </c>
      <c r="H7" s="444"/>
      <c r="I7" s="444"/>
      <c r="J7" s="446"/>
      <c r="K7" s="250" t="s">
        <v>9</v>
      </c>
      <c r="L7" s="250" t="s">
        <v>10</v>
      </c>
      <c r="M7" s="250" t="s">
        <v>11</v>
      </c>
      <c r="N7" s="446"/>
      <c r="O7" s="446"/>
      <c r="P7" s="446"/>
      <c r="Q7" s="446"/>
      <c r="R7" s="446"/>
      <c r="S7" s="463"/>
      <c r="T7" s="7"/>
      <c r="U7" s="7"/>
      <c r="V7" s="7"/>
      <c r="W7" s="7"/>
      <c r="X7" s="7"/>
    </row>
    <row r="8" spans="1:24" s="23" customFormat="1" ht="20.399999999999999" x14ac:dyDescent="0.25">
      <c r="A8" s="17" t="s">
        <v>13</v>
      </c>
      <c r="B8" s="18" t="s">
        <v>14</v>
      </c>
      <c r="C8" s="18" t="s">
        <v>15</v>
      </c>
      <c r="D8" s="18" t="s">
        <v>16</v>
      </c>
      <c r="E8" s="20"/>
      <c r="F8" s="20"/>
      <c r="G8" s="20"/>
      <c r="H8" s="18" t="s">
        <v>202</v>
      </c>
      <c r="I8" s="18" t="s">
        <v>213</v>
      </c>
      <c r="J8" s="18" t="s">
        <v>204</v>
      </c>
      <c r="K8" s="20"/>
      <c r="L8" s="20"/>
      <c r="M8" s="20"/>
      <c r="N8" s="20" t="s">
        <v>233</v>
      </c>
      <c r="O8" s="20" t="s">
        <v>234</v>
      </c>
      <c r="P8" s="20" t="s">
        <v>235</v>
      </c>
      <c r="Q8" s="252" t="s">
        <v>236</v>
      </c>
      <c r="R8" s="252" t="s">
        <v>237</v>
      </c>
      <c r="S8" s="258" t="s">
        <v>238</v>
      </c>
      <c r="T8" s="6"/>
      <c r="U8" s="6"/>
      <c r="V8" s="6"/>
      <c r="W8" s="6"/>
      <c r="X8" s="6"/>
    </row>
    <row r="9" spans="1:24" s="1" customFormat="1" x14ac:dyDescent="0.25">
      <c r="A9" s="251" t="s">
        <v>26</v>
      </c>
      <c r="B9" s="63"/>
      <c r="C9" s="63"/>
      <c r="D9" s="63"/>
      <c r="E9" s="63"/>
      <c r="F9" s="63"/>
      <c r="G9" s="63"/>
      <c r="H9" s="63"/>
      <c r="I9" s="63"/>
      <c r="J9" s="63"/>
      <c r="K9" s="259"/>
      <c r="L9" s="259"/>
      <c r="M9" s="259"/>
      <c r="N9" s="259"/>
      <c r="O9" s="259"/>
      <c r="P9" s="259"/>
      <c r="Q9" s="259"/>
      <c r="R9" s="259"/>
      <c r="S9" s="260"/>
      <c r="T9" s="7"/>
      <c r="U9" s="7"/>
      <c r="V9" s="7"/>
      <c r="W9" s="7"/>
      <c r="X9" s="7"/>
    </row>
    <row r="10" spans="1:24" s="42" customFormat="1" x14ac:dyDescent="0.25">
      <c r="A10" s="35" t="s">
        <v>28</v>
      </c>
      <c r="B10" s="38">
        <v>58493.944975230006</v>
      </c>
      <c r="C10" s="38">
        <v>45400.062653550005</v>
      </c>
      <c r="D10" s="38">
        <v>13094.224917289999</v>
      </c>
      <c r="E10" s="38"/>
      <c r="F10" s="38"/>
      <c r="G10" s="38"/>
      <c r="H10" s="38">
        <v>65349.61074787</v>
      </c>
      <c r="I10" s="38">
        <v>51747.537937610003</v>
      </c>
      <c r="J10" s="38">
        <v>13602.78427693</v>
      </c>
      <c r="K10" s="38">
        <v>9541.3306052099997</v>
      </c>
      <c r="L10" s="38">
        <v>2178.2882684299998</v>
      </c>
      <c r="M10" s="38">
        <v>1212.4879544400001</v>
      </c>
      <c r="N10" s="38">
        <f>H10-B10</f>
        <v>6855.6657726399935</v>
      </c>
      <c r="O10" s="38">
        <f t="shared" ref="O10:P29" si="0">I10-C10</f>
        <v>6347.4752840599976</v>
      </c>
      <c r="P10" s="38">
        <f t="shared" si="0"/>
        <v>508.55935964000128</v>
      </c>
      <c r="Q10" s="38">
        <f>H10/B10%-100</f>
        <v>11.720299896926264</v>
      </c>
      <c r="R10" s="38">
        <f t="shared" ref="R10:S29" si="1">I10/C10%-100</f>
        <v>13.981203798104602</v>
      </c>
      <c r="S10" s="39">
        <f t="shared" si="1"/>
        <v>3.8838446937663633</v>
      </c>
      <c r="T10" s="68"/>
      <c r="U10" s="68"/>
      <c r="V10" s="68"/>
      <c r="W10" s="68"/>
      <c r="X10" s="68"/>
    </row>
    <row r="11" spans="1:24" x14ac:dyDescent="0.25">
      <c r="A11" s="261" t="s">
        <v>29</v>
      </c>
      <c r="B11" s="32">
        <v>11885.041492660001</v>
      </c>
      <c r="C11" s="32">
        <v>11885.041492660001</v>
      </c>
      <c r="D11" s="32">
        <v>0</v>
      </c>
      <c r="E11" s="32"/>
      <c r="F11" s="32"/>
      <c r="G11" s="32"/>
      <c r="H11" s="32">
        <v>16043.44256607</v>
      </c>
      <c r="I11" s="32">
        <v>16043.44256607</v>
      </c>
      <c r="J11" s="32">
        <v>0</v>
      </c>
      <c r="K11" s="32">
        <v>0</v>
      </c>
      <c r="L11" s="32">
        <v>0</v>
      </c>
      <c r="M11" s="32">
        <v>0</v>
      </c>
      <c r="N11" s="32">
        <f>H11-B11</f>
        <v>4158.4010734099993</v>
      </c>
      <c r="O11" s="32">
        <f t="shared" si="0"/>
        <v>4158.4010734099993</v>
      </c>
      <c r="P11" s="32">
        <f t="shared" si="0"/>
        <v>0</v>
      </c>
      <c r="Q11" s="32">
        <f>H11/B11%-100</f>
        <v>34.988528024728879</v>
      </c>
      <c r="R11" s="32">
        <f t="shared" si="1"/>
        <v>34.988528024728879</v>
      </c>
      <c r="S11" s="50" t="s">
        <v>30</v>
      </c>
    </row>
    <row r="12" spans="1:24" x14ac:dyDescent="0.25">
      <c r="A12" s="261" t="s">
        <v>31</v>
      </c>
      <c r="B12" s="32">
        <v>24466.047472689999</v>
      </c>
      <c r="C12" s="32">
        <v>16336.98651755</v>
      </c>
      <c r="D12" s="32">
        <v>8129.0609551399994</v>
      </c>
      <c r="E12" s="32"/>
      <c r="F12" s="32"/>
      <c r="G12" s="32"/>
      <c r="H12" s="32">
        <v>25823.47927018</v>
      </c>
      <c r="I12" s="32">
        <v>17116.339419259999</v>
      </c>
      <c r="J12" s="32">
        <v>8707.1398509200008</v>
      </c>
      <c r="K12" s="32">
        <v>6000.7661295899998</v>
      </c>
      <c r="L12" s="32">
        <v>1283.85622128</v>
      </c>
      <c r="M12" s="32">
        <v>510.40473982999998</v>
      </c>
      <c r="N12" s="32">
        <f t="shared" ref="N12:P47" si="2">H12-B12</f>
        <v>1357.4317974900005</v>
      </c>
      <c r="O12" s="32">
        <f t="shared" si="0"/>
        <v>779.35290170999906</v>
      </c>
      <c r="P12" s="32">
        <f t="shared" si="0"/>
        <v>578.0788957800014</v>
      </c>
      <c r="Q12" s="32">
        <f t="shared" ref="Q12:S48" si="3">H12/B12%-100</f>
        <v>5.5482267783761188</v>
      </c>
      <c r="R12" s="32">
        <f t="shared" si="1"/>
        <v>4.7704813912454398</v>
      </c>
      <c r="S12" s="34">
        <f t="shared" si="1"/>
        <v>7.1112628994925018</v>
      </c>
    </row>
    <row r="13" spans="1:24" x14ac:dyDescent="0.25">
      <c r="A13" s="261" t="s">
        <v>32</v>
      </c>
      <c r="B13" s="32">
        <v>4925.1823151600001</v>
      </c>
      <c r="C13" s="32">
        <v>4568.83356895</v>
      </c>
      <c r="D13" s="32">
        <v>356.34874621000006</v>
      </c>
      <c r="E13" s="32"/>
      <c r="F13" s="32"/>
      <c r="G13" s="32"/>
      <c r="H13" s="32">
        <v>4315.6106682200007</v>
      </c>
      <c r="I13" s="32">
        <v>4033.0548153200002</v>
      </c>
      <c r="J13" s="32">
        <v>282.55585289999999</v>
      </c>
      <c r="K13" s="32">
        <v>30.489444859999999</v>
      </c>
      <c r="L13" s="32">
        <v>103.58877299</v>
      </c>
      <c r="M13" s="32">
        <v>146.20201930000002</v>
      </c>
      <c r="N13" s="32">
        <f t="shared" si="2"/>
        <v>-609.57164693999948</v>
      </c>
      <c r="O13" s="32">
        <f t="shared" si="0"/>
        <v>-535.77875362999976</v>
      </c>
      <c r="P13" s="32">
        <f t="shared" si="0"/>
        <v>-73.792893310000068</v>
      </c>
      <c r="Q13" s="32">
        <f t="shared" si="3"/>
        <v>-12.376631116044209</v>
      </c>
      <c r="R13" s="32">
        <f t="shared" si="1"/>
        <v>-11.726817043001446</v>
      </c>
      <c r="S13" s="34">
        <f t="shared" si="1"/>
        <v>-20.70805470619311</v>
      </c>
    </row>
    <row r="14" spans="1:24" x14ac:dyDescent="0.25">
      <c r="A14" s="261" t="s">
        <v>386</v>
      </c>
      <c r="B14" s="32">
        <v>3512.6764925700004</v>
      </c>
      <c r="C14" s="32">
        <v>2368.2918683000003</v>
      </c>
      <c r="D14" s="32">
        <v>1144.3846242699999</v>
      </c>
      <c r="E14" s="32"/>
      <c r="F14" s="32"/>
      <c r="G14" s="32"/>
      <c r="H14" s="32">
        <v>3974.2959397899999</v>
      </c>
      <c r="I14" s="32">
        <v>2863.1353783000004</v>
      </c>
      <c r="J14" s="32">
        <v>1111.16056149</v>
      </c>
      <c r="K14" s="32">
        <v>820.54844204999995</v>
      </c>
      <c r="L14" s="32">
        <v>333.65806261</v>
      </c>
      <c r="M14" s="32">
        <v>18.847999600000001</v>
      </c>
      <c r="N14" s="32">
        <f t="shared" si="2"/>
        <v>461.61944721999953</v>
      </c>
      <c r="O14" s="32">
        <f t="shared" si="0"/>
        <v>494.84351000000015</v>
      </c>
      <c r="P14" s="32">
        <f t="shared" si="0"/>
        <v>-33.22406277999994</v>
      </c>
      <c r="Q14" s="32">
        <f t="shared" si="3"/>
        <v>13.141530345775237</v>
      </c>
      <c r="R14" s="32">
        <f t="shared" si="1"/>
        <v>20.894532326170037</v>
      </c>
      <c r="S14" s="34">
        <f t="shared" si="1"/>
        <v>-2.9032251985379105</v>
      </c>
    </row>
    <row r="15" spans="1:24" s="112" customFormat="1" ht="26.4" x14ac:dyDescent="0.25">
      <c r="A15" s="262" t="s">
        <v>380</v>
      </c>
      <c r="B15" s="110">
        <v>2368.2906221599997</v>
      </c>
      <c r="C15" s="110">
        <v>2368.2906221599997</v>
      </c>
      <c r="D15" s="110">
        <v>0</v>
      </c>
      <c r="E15" s="110"/>
      <c r="F15" s="110"/>
      <c r="G15" s="110"/>
      <c r="H15" s="110">
        <v>2863.1353783000004</v>
      </c>
      <c r="I15" s="110">
        <v>2863.1353783000004</v>
      </c>
      <c r="J15" s="110"/>
      <c r="K15" s="110"/>
      <c r="L15" s="110"/>
      <c r="M15" s="110"/>
      <c r="N15" s="110">
        <f t="shared" ref="N15:N17" si="4">H15-B15</f>
        <v>494.84475614000075</v>
      </c>
      <c r="O15" s="110">
        <f t="shared" ref="O15:O17" si="5">I15-C15</f>
        <v>494.84475614000075</v>
      </c>
      <c r="P15" s="110">
        <f t="shared" ref="P15:P17" si="6">J15-D15</f>
        <v>0</v>
      </c>
      <c r="Q15" s="110">
        <f t="shared" ref="Q15:Q17" si="7">H15/B15%-100</f>
        <v>20.894595938089623</v>
      </c>
      <c r="R15" s="110">
        <f t="shared" ref="R15:R17" si="8">I15/C15%-100</f>
        <v>20.894595938089623</v>
      </c>
      <c r="S15" s="111"/>
      <c r="T15" s="358"/>
      <c r="U15" s="358"/>
      <c r="V15" s="358"/>
      <c r="W15" s="358"/>
      <c r="X15" s="358"/>
    </row>
    <row r="16" spans="1:24" s="112" customFormat="1" ht="26.4" x14ac:dyDescent="0.25">
      <c r="A16" s="262" t="s">
        <v>381</v>
      </c>
      <c r="B16" s="110">
        <v>950.34265913000002</v>
      </c>
      <c r="C16" s="110"/>
      <c r="D16" s="110">
        <v>950.34265913000002</v>
      </c>
      <c r="E16" s="110"/>
      <c r="F16" s="110"/>
      <c r="G16" s="110"/>
      <c r="H16" s="110">
        <v>947.01436014000001</v>
      </c>
      <c r="I16" s="110"/>
      <c r="J16" s="110">
        <v>947.01436014000012</v>
      </c>
      <c r="K16" s="110"/>
      <c r="L16" s="110"/>
      <c r="M16" s="110"/>
      <c r="N16" s="110">
        <f t="shared" si="4"/>
        <v>-3.3282989900000075</v>
      </c>
      <c r="O16" s="110">
        <f t="shared" si="5"/>
        <v>0</v>
      </c>
      <c r="P16" s="110">
        <f t="shared" si="6"/>
        <v>-3.3282989899998938</v>
      </c>
      <c r="Q16" s="110">
        <f t="shared" si="7"/>
        <v>-0.35022093957636002</v>
      </c>
      <c r="R16" s="110"/>
      <c r="S16" s="111">
        <f t="shared" ref="S16:S17" si="9">J16/D16%-100</f>
        <v>-0.35022093957634581</v>
      </c>
      <c r="T16" s="358"/>
      <c r="U16" s="358"/>
      <c r="V16" s="358"/>
      <c r="W16" s="358"/>
      <c r="X16" s="358"/>
    </row>
    <row r="17" spans="1:24" s="112" customFormat="1" x14ac:dyDescent="0.25">
      <c r="A17" s="262" t="s">
        <v>379</v>
      </c>
      <c r="B17" s="110">
        <v>166.05467961000002</v>
      </c>
      <c r="C17" s="110">
        <v>1.2461400000000002E-3</v>
      </c>
      <c r="D17" s="110">
        <v>166.05343346999996</v>
      </c>
      <c r="E17" s="110"/>
      <c r="F17" s="110"/>
      <c r="G17" s="110"/>
      <c r="H17" s="110">
        <v>131.58370281999998</v>
      </c>
      <c r="I17" s="110">
        <v>0</v>
      </c>
      <c r="J17" s="110">
        <v>131.58370282000001</v>
      </c>
      <c r="K17" s="110"/>
      <c r="L17" s="110"/>
      <c r="M17" s="110"/>
      <c r="N17" s="110">
        <f t="shared" si="4"/>
        <v>-34.470976790000037</v>
      </c>
      <c r="O17" s="110">
        <f t="shared" si="5"/>
        <v>-1.2461400000000002E-3</v>
      </c>
      <c r="P17" s="110">
        <f t="shared" si="6"/>
        <v>-34.469730649999946</v>
      </c>
      <c r="Q17" s="110">
        <f t="shared" si="7"/>
        <v>-20.758810815184134</v>
      </c>
      <c r="R17" s="110">
        <f t="shared" si="8"/>
        <v>-100</v>
      </c>
      <c r="S17" s="111">
        <f t="shared" si="9"/>
        <v>-20.758216153493407</v>
      </c>
      <c r="T17" s="358"/>
      <c r="U17" s="358"/>
      <c r="V17" s="358"/>
      <c r="W17" s="358"/>
      <c r="X17" s="358"/>
    </row>
    <row r="18" spans="1:24" s="112" customFormat="1" ht="26.4" x14ac:dyDescent="0.25">
      <c r="A18" s="262" t="s">
        <v>382</v>
      </c>
      <c r="B18" s="110">
        <v>27.98853167</v>
      </c>
      <c r="C18" s="110"/>
      <c r="D18" s="110">
        <v>27.98853167</v>
      </c>
      <c r="E18" s="110"/>
      <c r="F18" s="110"/>
      <c r="G18" s="110"/>
      <c r="H18" s="110">
        <v>32.562498529999999</v>
      </c>
      <c r="I18" s="110"/>
      <c r="J18" s="110">
        <v>32.562498529999999</v>
      </c>
      <c r="K18" s="110"/>
      <c r="L18" s="110"/>
      <c r="M18" s="110"/>
      <c r="N18" s="110">
        <f t="shared" ref="N18" si="10">H18-B18</f>
        <v>4.5739668599999987</v>
      </c>
      <c r="O18" s="110">
        <f t="shared" ref="O18" si="11">I18-C18</f>
        <v>0</v>
      </c>
      <c r="P18" s="110">
        <f t="shared" ref="P18" si="12">J18-D18</f>
        <v>4.5739668599999987</v>
      </c>
      <c r="Q18" s="110">
        <f t="shared" ref="Q18" si="13">H18/B18%-100</f>
        <v>16.342289456015607</v>
      </c>
      <c r="R18" s="110"/>
      <c r="S18" s="111">
        <f t="shared" ref="S18" si="14">J18/D18%-100</f>
        <v>16.342289456015607</v>
      </c>
      <c r="T18" s="358"/>
      <c r="U18" s="358"/>
      <c r="V18" s="358"/>
      <c r="W18" s="358"/>
      <c r="X18" s="358"/>
    </row>
    <row r="19" spans="1:24" x14ac:dyDescent="0.25">
      <c r="A19" s="261" t="s">
        <v>239</v>
      </c>
      <c r="B19" s="32">
        <v>7472.0665681299997</v>
      </c>
      <c r="C19" s="32">
        <v>6637.08563641</v>
      </c>
      <c r="D19" s="32">
        <v>834.98093172000006</v>
      </c>
      <c r="E19" s="32"/>
      <c r="F19" s="32"/>
      <c r="G19" s="32"/>
      <c r="H19" s="32">
        <v>8752.732718610001</v>
      </c>
      <c r="I19" s="32">
        <v>7823.2751852900001</v>
      </c>
      <c r="J19" s="32">
        <v>929.45753331999992</v>
      </c>
      <c r="K19" s="32">
        <v>616.69298838999998</v>
      </c>
      <c r="L19" s="32">
        <v>1.0525199999999999E-3</v>
      </c>
      <c r="M19" s="32">
        <v>235.05709336000001</v>
      </c>
      <c r="N19" s="32">
        <f t="shared" si="2"/>
        <v>1280.6661504800013</v>
      </c>
      <c r="O19" s="32">
        <f t="shared" si="0"/>
        <v>1186.1895488800001</v>
      </c>
      <c r="P19" s="32">
        <f t="shared" si="0"/>
        <v>94.476601599999867</v>
      </c>
      <c r="Q19" s="32">
        <f t="shared" si="3"/>
        <v>17.139383580204225</v>
      </c>
      <c r="R19" s="32">
        <f t="shared" si="1"/>
        <v>17.872144701173525</v>
      </c>
      <c r="S19" s="34">
        <f>J19/D19%-100</f>
        <v>11.314821454112135</v>
      </c>
    </row>
    <row r="20" spans="1:24" s="112" customFormat="1" x14ac:dyDescent="0.25">
      <c r="A20" s="262" t="s">
        <v>240</v>
      </c>
      <c r="B20" s="263">
        <v>122.21423416</v>
      </c>
      <c r="C20" s="263"/>
      <c r="D20" s="110">
        <v>122.21423416</v>
      </c>
      <c r="E20" s="110"/>
      <c r="F20" s="110"/>
      <c r="G20" s="110"/>
      <c r="H20" s="263">
        <v>185.51454944</v>
      </c>
      <c r="I20" s="263">
        <v>0</v>
      </c>
      <c r="J20" s="263">
        <v>185.51454944</v>
      </c>
      <c r="K20" s="110">
        <v>97.985962709999995</v>
      </c>
      <c r="L20" s="110">
        <v>5.2520000000000005E-5</v>
      </c>
      <c r="M20" s="110">
        <v>27.377498920000001</v>
      </c>
      <c r="N20" s="110">
        <f>H20-B20</f>
        <v>63.300315279999992</v>
      </c>
      <c r="O20" s="110">
        <f t="shared" si="0"/>
        <v>0</v>
      </c>
      <c r="P20" s="110">
        <f t="shared" si="0"/>
        <v>63.300315279999992</v>
      </c>
      <c r="Q20" s="110">
        <f t="shared" si="3"/>
        <v>51.794552177227331</v>
      </c>
      <c r="R20" s="54" t="s">
        <v>30</v>
      </c>
      <c r="S20" s="111">
        <f t="shared" si="1"/>
        <v>51.794552177227331</v>
      </c>
      <c r="T20" s="358"/>
      <c r="U20" s="358"/>
      <c r="V20" s="358"/>
      <c r="W20" s="358"/>
      <c r="X20" s="358"/>
    </row>
    <row r="21" spans="1:24" s="112" customFormat="1" x14ac:dyDescent="0.25">
      <c r="A21" s="262" t="s">
        <v>241</v>
      </c>
      <c r="B21" s="110">
        <v>5596.5685001600004</v>
      </c>
      <c r="C21" s="110">
        <v>5596.5685001600004</v>
      </c>
      <c r="D21" s="110"/>
      <c r="E21" s="110"/>
      <c r="F21" s="110"/>
      <c r="G21" s="110"/>
      <c r="H21" s="263">
        <v>6676.8863522000001</v>
      </c>
      <c r="I21" s="263">
        <v>6676.8863522000001</v>
      </c>
      <c r="J21" s="263">
        <v>0</v>
      </c>
      <c r="K21" s="110"/>
      <c r="L21" s="110"/>
      <c r="M21" s="110"/>
      <c r="N21" s="110">
        <f t="shared" si="2"/>
        <v>1080.3178520399997</v>
      </c>
      <c r="O21" s="110">
        <f t="shared" si="0"/>
        <v>1080.3178520399997</v>
      </c>
      <c r="P21" s="110">
        <f t="shared" si="0"/>
        <v>0</v>
      </c>
      <c r="Q21" s="110">
        <f t="shared" si="3"/>
        <v>19.303218606349844</v>
      </c>
      <c r="R21" s="110">
        <f t="shared" si="1"/>
        <v>19.303218606349844</v>
      </c>
      <c r="S21" s="264" t="s">
        <v>30</v>
      </c>
      <c r="T21" s="358"/>
      <c r="U21" s="358"/>
      <c r="V21" s="358"/>
      <c r="W21" s="358"/>
      <c r="X21" s="358"/>
    </row>
    <row r="22" spans="1:24" s="112" customFormat="1" x14ac:dyDescent="0.25">
      <c r="A22" s="262" t="s">
        <v>242</v>
      </c>
      <c r="B22" s="110">
        <v>1039.2220849800001</v>
      </c>
      <c r="C22" s="110">
        <v>1039.2220849800001</v>
      </c>
      <c r="D22" s="110"/>
      <c r="E22" s="110"/>
      <c r="F22" s="110"/>
      <c r="G22" s="110"/>
      <c r="H22" s="263">
        <v>1144.8362887200001</v>
      </c>
      <c r="I22" s="263">
        <v>1144.8362887200001</v>
      </c>
      <c r="J22" s="263">
        <v>0</v>
      </c>
      <c r="K22" s="110"/>
      <c r="L22" s="110"/>
      <c r="M22" s="110"/>
      <c r="N22" s="110">
        <f t="shared" si="2"/>
        <v>105.61420373999999</v>
      </c>
      <c r="O22" s="110">
        <f t="shared" si="0"/>
        <v>105.61420373999999</v>
      </c>
      <c r="P22" s="110">
        <f t="shared" si="0"/>
        <v>0</v>
      </c>
      <c r="Q22" s="110">
        <f t="shared" si="3"/>
        <v>10.162813634010917</v>
      </c>
      <c r="R22" s="110">
        <f t="shared" si="1"/>
        <v>10.162813634010917</v>
      </c>
      <c r="S22" s="264" t="s">
        <v>30</v>
      </c>
      <c r="T22" s="358"/>
      <c r="U22" s="358"/>
      <c r="V22" s="358"/>
      <c r="W22" s="358"/>
      <c r="X22" s="358"/>
    </row>
    <row r="23" spans="1:24" s="112" customFormat="1" x14ac:dyDescent="0.25">
      <c r="A23" s="262" t="s">
        <v>243</v>
      </c>
      <c r="B23" s="263">
        <v>712.76669756000001</v>
      </c>
      <c r="C23" s="263"/>
      <c r="D23" s="110">
        <v>712.76669756000001</v>
      </c>
      <c r="E23" s="110"/>
      <c r="F23" s="110"/>
      <c r="G23" s="110"/>
      <c r="H23" s="263">
        <v>743.94298388000004</v>
      </c>
      <c r="I23" s="263">
        <v>0</v>
      </c>
      <c r="J23" s="263">
        <v>743.94298388000004</v>
      </c>
      <c r="K23" s="110">
        <v>518.70702568000002</v>
      </c>
      <c r="L23" s="110">
        <v>1E-3</v>
      </c>
      <c r="M23" s="110">
        <v>207.67959443999999</v>
      </c>
      <c r="N23" s="110">
        <f t="shared" si="2"/>
        <v>31.176286320000031</v>
      </c>
      <c r="O23" s="110">
        <f t="shared" si="0"/>
        <v>0</v>
      </c>
      <c r="P23" s="110">
        <f t="shared" si="0"/>
        <v>31.176286320000031</v>
      </c>
      <c r="Q23" s="110">
        <f t="shared" si="3"/>
        <v>4.3739818971235849</v>
      </c>
      <c r="R23" s="187" t="s">
        <v>30</v>
      </c>
      <c r="S23" s="111">
        <f t="shared" si="1"/>
        <v>4.3739818971235849</v>
      </c>
      <c r="T23" s="358"/>
      <c r="U23" s="358"/>
      <c r="V23" s="358"/>
      <c r="W23" s="358"/>
      <c r="X23" s="358"/>
    </row>
    <row r="24" spans="1:24" ht="26.4" x14ac:dyDescent="0.25">
      <c r="A24" s="261" t="s">
        <v>244</v>
      </c>
      <c r="B24" s="32">
        <v>2243.4881155100002</v>
      </c>
      <c r="C24" s="32">
        <v>2243.4881155100002</v>
      </c>
      <c r="D24" s="32"/>
      <c r="E24" s="32"/>
      <c r="F24" s="32"/>
      <c r="G24" s="32"/>
      <c r="H24" s="32">
        <v>2503.1165521999997</v>
      </c>
      <c r="I24" s="32">
        <v>2503.1165521999997</v>
      </c>
      <c r="J24" s="32">
        <v>0</v>
      </c>
      <c r="K24" s="32">
        <v>0</v>
      </c>
      <c r="L24" s="32">
        <v>0</v>
      </c>
      <c r="M24" s="32">
        <v>0</v>
      </c>
      <c r="N24" s="32">
        <f t="shared" si="2"/>
        <v>259.62843668999949</v>
      </c>
      <c r="O24" s="32">
        <f t="shared" si="0"/>
        <v>259.62843668999949</v>
      </c>
      <c r="P24" s="32">
        <f t="shared" si="0"/>
        <v>0</v>
      </c>
      <c r="Q24" s="32">
        <f t="shared" si="3"/>
        <v>11.57253452314275</v>
      </c>
      <c r="R24" s="32">
        <f t="shared" si="1"/>
        <v>11.57253452314275</v>
      </c>
      <c r="S24" s="264" t="s">
        <v>30</v>
      </c>
    </row>
    <row r="25" spans="1:24" s="112" customFormat="1" ht="26.4" x14ac:dyDescent="0.25">
      <c r="A25" s="262" t="s">
        <v>245</v>
      </c>
      <c r="B25" s="263">
        <v>2056.9651170000002</v>
      </c>
      <c r="C25" s="263">
        <v>2056.9651170000002</v>
      </c>
      <c r="D25" s="110"/>
      <c r="E25" s="110"/>
      <c r="F25" s="110"/>
      <c r="G25" s="110"/>
      <c r="H25" s="263">
        <v>2311.9304320000001</v>
      </c>
      <c r="I25" s="263">
        <v>2311.9304320000001</v>
      </c>
      <c r="J25" s="263">
        <v>0</v>
      </c>
      <c r="K25" s="110"/>
      <c r="L25" s="110"/>
      <c r="M25" s="110"/>
      <c r="N25" s="110">
        <f t="shared" si="2"/>
        <v>254.96531499999992</v>
      </c>
      <c r="O25" s="110">
        <f t="shared" si="0"/>
        <v>254.96531499999992</v>
      </c>
      <c r="P25" s="110">
        <f t="shared" si="0"/>
        <v>0</v>
      </c>
      <c r="Q25" s="110">
        <f t="shared" si="3"/>
        <v>12.395218221875183</v>
      </c>
      <c r="R25" s="110">
        <f t="shared" si="1"/>
        <v>12.395218221875183</v>
      </c>
      <c r="S25" s="264" t="s">
        <v>30</v>
      </c>
      <c r="T25" s="358"/>
      <c r="U25" s="358"/>
      <c r="V25" s="358"/>
      <c r="W25" s="358"/>
      <c r="X25" s="358"/>
    </row>
    <row r="26" spans="1:24" x14ac:dyDescent="0.25">
      <c r="A26" s="261" t="s">
        <v>36</v>
      </c>
      <c r="B26" s="32">
        <v>343.70423492999998</v>
      </c>
      <c r="C26" s="32">
        <v>152.22846616999999</v>
      </c>
      <c r="D26" s="32">
        <v>191.47576876000002</v>
      </c>
      <c r="E26" s="32"/>
      <c r="F26" s="32"/>
      <c r="G26" s="32"/>
      <c r="H26" s="32">
        <v>346.96244811999998</v>
      </c>
      <c r="I26" s="32">
        <v>158.37724224000002</v>
      </c>
      <c r="J26" s="32">
        <v>188.58520587999999</v>
      </c>
      <c r="K26" s="32">
        <v>145.56005133000002</v>
      </c>
      <c r="L26" s="32">
        <v>39.89364939</v>
      </c>
      <c r="M26" s="32">
        <v>4.0784915699999997</v>
      </c>
      <c r="N26" s="32">
        <f t="shared" si="2"/>
        <v>3.2582131899999922</v>
      </c>
      <c r="O26" s="32">
        <f t="shared" si="0"/>
        <v>6.1487760700000251</v>
      </c>
      <c r="P26" s="32">
        <f t="shared" si="0"/>
        <v>-2.8905628800000329</v>
      </c>
      <c r="Q26" s="32">
        <f t="shared" si="3"/>
        <v>0.94797004484496483</v>
      </c>
      <c r="R26" s="32">
        <f t="shared" si="1"/>
        <v>4.0391762622986818</v>
      </c>
      <c r="S26" s="34">
        <f t="shared" si="1"/>
        <v>-1.5096233318290757</v>
      </c>
    </row>
    <row r="27" spans="1:24" ht="26.4" x14ac:dyDescent="0.25">
      <c r="A27" s="261" t="s">
        <v>37</v>
      </c>
      <c r="B27" s="32">
        <v>0.23176654999999999</v>
      </c>
      <c r="C27" s="32">
        <v>4.6617980000000003E-2</v>
      </c>
      <c r="D27" s="32">
        <v>0.18514857000000001</v>
      </c>
      <c r="E27" s="32"/>
      <c r="F27" s="32"/>
      <c r="G27" s="32"/>
      <c r="H27" s="32">
        <v>0.21779552999999999</v>
      </c>
      <c r="I27" s="32">
        <v>4.8606000000000003E-2</v>
      </c>
      <c r="J27" s="32">
        <v>0.16918952999999998</v>
      </c>
      <c r="K27" s="32">
        <v>-6.8984899999999988E-2</v>
      </c>
      <c r="L27" s="32">
        <v>0.16786114000000002</v>
      </c>
      <c r="M27" s="32">
        <v>1.866203E-2</v>
      </c>
      <c r="N27" s="32">
        <f t="shared" si="2"/>
        <v>-1.3971020000000001E-2</v>
      </c>
      <c r="O27" s="32">
        <f t="shared" si="0"/>
        <v>1.9880200000000001E-3</v>
      </c>
      <c r="P27" s="32">
        <f t="shared" si="0"/>
        <v>-1.5959040000000035E-2</v>
      </c>
      <c r="Q27" s="32">
        <f t="shared" si="3"/>
        <v>-6.0280571117790629</v>
      </c>
      <c r="R27" s="32">
        <f t="shared" si="1"/>
        <v>4.264491940663234</v>
      </c>
      <c r="S27" s="34">
        <f t="shared" si="1"/>
        <v>-8.6195858817597326</v>
      </c>
    </row>
    <row r="28" spans="1:24" ht="39.6" x14ac:dyDescent="0.25">
      <c r="A28" s="261" t="s">
        <v>38</v>
      </c>
      <c r="B28" s="32">
        <v>1212.14104103</v>
      </c>
      <c r="C28" s="32">
        <v>45.824369659999995</v>
      </c>
      <c r="D28" s="32">
        <v>1167.0281380399999</v>
      </c>
      <c r="E28" s="32"/>
      <c r="F28" s="32"/>
      <c r="G28" s="32"/>
      <c r="H28" s="32">
        <v>1272.0435672799999</v>
      </c>
      <c r="I28" s="32">
        <v>79.534746900000002</v>
      </c>
      <c r="J28" s="32">
        <v>1193.22028705</v>
      </c>
      <c r="K28" s="32">
        <v>889.92551114000003</v>
      </c>
      <c r="L28" s="32">
        <v>202.02694713999998</v>
      </c>
      <c r="M28" s="32">
        <v>165.33806622999998</v>
      </c>
      <c r="N28" s="32">
        <f t="shared" si="2"/>
        <v>59.902526249999937</v>
      </c>
      <c r="O28" s="32">
        <f t="shared" si="0"/>
        <v>33.710377240000007</v>
      </c>
      <c r="P28" s="32">
        <f t="shared" si="0"/>
        <v>26.192149010000094</v>
      </c>
      <c r="Q28" s="32">
        <f t="shared" si="3"/>
        <v>4.9418775721923112</v>
      </c>
      <c r="R28" s="32">
        <f t="shared" si="1"/>
        <v>73.5643010261104</v>
      </c>
      <c r="S28" s="34">
        <f t="shared" si="1"/>
        <v>2.2443459721536243</v>
      </c>
      <c r="T28" s="7">
        <f>J28/J50%</f>
        <v>50.057147980616399</v>
      </c>
    </row>
    <row r="29" spans="1:24" ht="26.4" x14ac:dyDescent="0.25">
      <c r="A29" s="261" t="s">
        <v>246</v>
      </c>
      <c r="B29" s="32">
        <v>904.55402889000004</v>
      </c>
      <c r="C29" s="32">
        <v>678.28884825</v>
      </c>
      <c r="D29" s="32">
        <v>226.26518063999998</v>
      </c>
      <c r="E29" s="32"/>
      <c r="F29" s="32"/>
      <c r="G29" s="32"/>
      <c r="H29" s="32">
        <v>610.9967048200001</v>
      </c>
      <c r="I29" s="32">
        <v>540.42722599000001</v>
      </c>
      <c r="J29" s="32">
        <v>70.569478829999994</v>
      </c>
      <c r="K29" s="32">
        <v>91.111124140000001</v>
      </c>
      <c r="L29" s="32">
        <v>42.880357170000003</v>
      </c>
      <c r="M29" s="32">
        <v>0</v>
      </c>
      <c r="N29" s="32">
        <f t="shared" si="2"/>
        <v>-293.55732406999994</v>
      </c>
      <c r="O29" s="32">
        <f t="shared" si="0"/>
        <v>-137.86162225999999</v>
      </c>
      <c r="P29" s="32">
        <f t="shared" si="0"/>
        <v>-155.69570181</v>
      </c>
      <c r="Q29" s="32">
        <f t="shared" si="3"/>
        <v>-32.453265885093799</v>
      </c>
      <c r="R29" s="32">
        <f t="shared" si="1"/>
        <v>-20.324913584483355</v>
      </c>
      <c r="S29" s="34">
        <f t="shared" si="1"/>
        <v>-68.811162800042212</v>
      </c>
    </row>
    <row r="30" spans="1:24" s="112" customFormat="1" ht="26.4" x14ac:dyDescent="0.25">
      <c r="A30" s="262" t="s">
        <v>247</v>
      </c>
      <c r="B30" s="110">
        <v>390.82167334000002</v>
      </c>
      <c r="C30" s="110">
        <v>164.55649270000001</v>
      </c>
      <c r="D30" s="110">
        <v>226.26518064000001</v>
      </c>
      <c r="E30" s="110"/>
      <c r="F30" s="110"/>
      <c r="G30" s="110"/>
      <c r="H30" s="263">
        <v>121.89273614</v>
      </c>
      <c r="I30" s="263">
        <v>51.323257310000002</v>
      </c>
      <c r="J30" s="263">
        <v>70.569478829999994</v>
      </c>
      <c r="K30" s="110">
        <v>91.111124140000001</v>
      </c>
      <c r="L30" s="110">
        <v>42.880357170000003</v>
      </c>
      <c r="M30" s="110">
        <v>0</v>
      </c>
      <c r="N30" s="110">
        <f t="shared" si="2"/>
        <v>-268.92893720000001</v>
      </c>
      <c r="O30" s="110">
        <f t="shared" si="2"/>
        <v>-113.23323539</v>
      </c>
      <c r="P30" s="110">
        <f t="shared" si="2"/>
        <v>-155.69570181</v>
      </c>
      <c r="Q30" s="110">
        <f t="shared" si="3"/>
        <v>-68.811162620974216</v>
      </c>
      <c r="R30" s="110">
        <f t="shared" si="3"/>
        <v>-68.811162374755696</v>
      </c>
      <c r="S30" s="111">
        <f t="shared" si="3"/>
        <v>-68.811162800042212</v>
      </c>
      <c r="T30" s="358"/>
      <c r="U30" s="358"/>
      <c r="V30" s="358"/>
      <c r="W30" s="358"/>
      <c r="X30" s="358"/>
    </row>
    <row r="31" spans="1:24" s="112" customFormat="1" x14ac:dyDescent="0.25">
      <c r="A31" s="262" t="s">
        <v>248</v>
      </c>
      <c r="B31" s="110">
        <v>61.625368260000002</v>
      </c>
      <c r="C31" s="110">
        <v>61.625368260000002</v>
      </c>
      <c r="D31" s="110"/>
      <c r="E31" s="110"/>
      <c r="F31" s="110"/>
      <c r="G31" s="110"/>
      <c r="H31" s="263">
        <v>18.298401680000001</v>
      </c>
      <c r="I31" s="263">
        <v>18.298401680000001</v>
      </c>
      <c r="J31" s="263"/>
      <c r="K31" s="110"/>
      <c r="L31" s="110"/>
      <c r="M31" s="110"/>
      <c r="N31" s="110">
        <f t="shared" si="2"/>
        <v>-43.326966580000004</v>
      </c>
      <c r="O31" s="110">
        <f t="shared" si="2"/>
        <v>-43.326966580000004</v>
      </c>
      <c r="P31" s="110">
        <f t="shared" si="2"/>
        <v>0</v>
      </c>
      <c r="Q31" s="110">
        <f t="shared" ref="Q31" si="15">H31/B31%-100</f>
        <v>-70.307030697490873</v>
      </c>
      <c r="R31" s="110">
        <f t="shared" ref="R31" si="16">I31/C31%-100</f>
        <v>-70.307030697490873</v>
      </c>
      <c r="S31" s="264" t="s">
        <v>30</v>
      </c>
      <c r="T31" s="358"/>
      <c r="U31" s="358"/>
      <c r="V31" s="358"/>
      <c r="W31" s="358"/>
      <c r="X31" s="358"/>
    </row>
    <row r="32" spans="1:24" s="112" customFormat="1" x14ac:dyDescent="0.25">
      <c r="A32" s="262" t="s">
        <v>249</v>
      </c>
      <c r="B32" s="110">
        <v>452.10698729000001</v>
      </c>
      <c r="C32" s="110">
        <v>452.10698729000001</v>
      </c>
      <c r="D32" s="110"/>
      <c r="E32" s="110"/>
      <c r="F32" s="110"/>
      <c r="G32" s="110"/>
      <c r="H32" s="263">
        <v>470.805567</v>
      </c>
      <c r="I32" s="263">
        <v>470.805567</v>
      </c>
      <c r="J32" s="263"/>
      <c r="K32" s="110"/>
      <c r="L32" s="110"/>
      <c r="M32" s="110"/>
      <c r="N32" s="110">
        <f t="shared" si="2"/>
        <v>18.69857970999999</v>
      </c>
      <c r="O32" s="110">
        <f t="shared" si="2"/>
        <v>18.69857970999999</v>
      </c>
      <c r="P32" s="110">
        <f t="shared" si="2"/>
        <v>0</v>
      </c>
      <c r="Q32" s="110">
        <f t="shared" si="3"/>
        <v>4.1358749666936632</v>
      </c>
      <c r="R32" s="110">
        <f t="shared" si="3"/>
        <v>4.1358749666936632</v>
      </c>
      <c r="S32" s="264" t="s">
        <v>30</v>
      </c>
      <c r="T32" s="358"/>
      <c r="U32" s="358"/>
      <c r="V32" s="358"/>
      <c r="W32" s="358"/>
      <c r="X32" s="358"/>
    </row>
    <row r="33" spans="1:24" ht="26.4" x14ac:dyDescent="0.25">
      <c r="A33" s="261" t="s">
        <v>387</v>
      </c>
      <c r="B33" s="32">
        <v>250.44520867</v>
      </c>
      <c r="C33" s="32">
        <v>106.34855198000001</v>
      </c>
      <c r="D33" s="32">
        <v>144.09665669</v>
      </c>
      <c r="E33" s="32"/>
      <c r="F33" s="32"/>
      <c r="G33" s="32"/>
      <c r="H33" s="32">
        <v>370.02309997000003</v>
      </c>
      <c r="I33" s="32">
        <v>195.46322061000001</v>
      </c>
      <c r="J33" s="32">
        <v>174.55987936000002</v>
      </c>
      <c r="K33" s="32">
        <v>58.120725200000003</v>
      </c>
      <c r="L33" s="32">
        <v>15.113301570000001</v>
      </c>
      <c r="M33" s="32">
        <v>50.030786249999998</v>
      </c>
      <c r="N33" s="32">
        <f t="shared" si="2"/>
        <v>119.57789130000003</v>
      </c>
      <c r="O33" s="32">
        <f t="shared" si="2"/>
        <v>89.114668629999997</v>
      </c>
      <c r="P33" s="32">
        <f>J33-D33</f>
        <v>30.463222670000022</v>
      </c>
      <c r="Q33" s="32">
        <f t="shared" si="3"/>
        <v>47.746128558427415</v>
      </c>
      <c r="R33" s="32">
        <f t="shared" si="3"/>
        <v>83.794905497875476</v>
      </c>
      <c r="S33" s="34">
        <f t="shared" si="3"/>
        <v>21.140825449917671</v>
      </c>
    </row>
    <row r="34" spans="1:24" s="112" customFormat="1" x14ac:dyDescent="0.25">
      <c r="A34" s="262" t="s">
        <v>250</v>
      </c>
      <c r="B34" s="110">
        <v>92.714500200000003</v>
      </c>
      <c r="C34" s="110">
        <v>1.9882742</v>
      </c>
      <c r="D34" s="110">
        <v>90.726225999999997</v>
      </c>
      <c r="E34" s="110"/>
      <c r="F34" s="110"/>
      <c r="G34" s="110"/>
      <c r="H34" s="263">
        <v>91.355603430000002</v>
      </c>
      <c r="I34" s="263">
        <v>4.2363887099999999</v>
      </c>
      <c r="J34" s="263">
        <v>87.119214720000002</v>
      </c>
      <c r="K34" s="110">
        <v>30.575795660000001</v>
      </c>
      <c r="L34" s="110">
        <v>2.898279</v>
      </c>
      <c r="M34" s="110">
        <v>17.471884020000001</v>
      </c>
      <c r="N34" s="110">
        <f t="shared" si="2"/>
        <v>-1.3588967700000012</v>
      </c>
      <c r="O34" s="110">
        <f t="shared" si="2"/>
        <v>2.2481145099999997</v>
      </c>
      <c r="P34" s="110">
        <f>J34-D34</f>
        <v>-3.6070112799999947</v>
      </c>
      <c r="Q34" s="110">
        <f t="shared" si="3"/>
        <v>-1.4656787957316766</v>
      </c>
      <c r="R34" s="110">
        <f t="shared" si="3"/>
        <v>113.06863560368083</v>
      </c>
      <c r="S34" s="111">
        <f t="shared" si="3"/>
        <v>-3.9757096035274202</v>
      </c>
      <c r="T34" s="358"/>
      <c r="U34" s="358"/>
      <c r="V34" s="358"/>
      <c r="W34" s="358"/>
      <c r="X34" s="358"/>
    </row>
    <row r="35" spans="1:24" s="112" customFormat="1" x14ac:dyDescent="0.25">
      <c r="A35" s="262" t="s">
        <v>251</v>
      </c>
      <c r="B35" s="110">
        <v>157.73070847</v>
      </c>
      <c r="C35" s="110">
        <v>104.36027778</v>
      </c>
      <c r="D35" s="110">
        <v>53.370430689999999</v>
      </c>
      <c r="E35" s="110"/>
      <c r="F35" s="110"/>
      <c r="G35" s="110"/>
      <c r="H35" s="263">
        <v>278.66749654</v>
      </c>
      <c r="I35" s="263">
        <v>191.22683190000001</v>
      </c>
      <c r="J35" s="263">
        <v>87.440664639999994</v>
      </c>
      <c r="K35" s="110">
        <v>26.487430839999998</v>
      </c>
      <c r="L35" s="110">
        <v>9.3435754399999986</v>
      </c>
      <c r="M35" s="110">
        <v>13.7852111</v>
      </c>
      <c r="N35" s="110">
        <f t="shared" si="2"/>
        <v>120.93678807000001</v>
      </c>
      <c r="O35" s="110">
        <f t="shared" si="2"/>
        <v>86.866554120000004</v>
      </c>
      <c r="P35" s="110">
        <f>J35-D35</f>
        <v>34.070233949999995</v>
      </c>
      <c r="Q35" s="110">
        <f t="shared" si="3"/>
        <v>76.672950526309137</v>
      </c>
      <c r="R35" s="110">
        <f t="shared" si="3"/>
        <v>83.237181778225789</v>
      </c>
      <c r="S35" s="111">
        <f t="shared" si="3"/>
        <v>63.83728500880116</v>
      </c>
      <c r="T35" s="358"/>
      <c r="U35" s="358"/>
      <c r="V35" s="358"/>
      <c r="W35" s="358"/>
      <c r="X35" s="358"/>
    </row>
    <row r="36" spans="1:24" x14ac:dyDescent="0.25">
      <c r="A36" s="261" t="s">
        <v>41</v>
      </c>
      <c r="B36" s="32">
        <v>688.73214890999998</v>
      </c>
      <c r="C36" s="32">
        <v>1.4998247199999999</v>
      </c>
      <c r="D36" s="32">
        <v>687.23232418999999</v>
      </c>
      <c r="E36" s="32"/>
      <c r="F36" s="32"/>
      <c r="G36" s="32"/>
      <c r="H36" s="32">
        <v>726.85185582000008</v>
      </c>
      <c r="I36" s="32">
        <v>9.0549851799999992</v>
      </c>
      <c r="J36" s="32">
        <v>717.79687063999995</v>
      </c>
      <c r="K36" s="32">
        <v>745.93770970000003</v>
      </c>
      <c r="L36" s="32">
        <v>117.74537706</v>
      </c>
      <c r="M36" s="32">
        <v>67.538476900000006</v>
      </c>
      <c r="N36" s="32">
        <f t="shared" si="2"/>
        <v>38.119706910000104</v>
      </c>
      <c r="O36" s="32">
        <f t="shared" si="2"/>
        <v>7.5551604599999997</v>
      </c>
      <c r="P36" s="32">
        <f t="shared" si="2"/>
        <v>30.564546449999966</v>
      </c>
      <c r="Q36" s="32">
        <f t="shared" si="3"/>
        <v>5.5347651435073999</v>
      </c>
      <c r="R36" s="32">
        <f t="shared" si="3"/>
        <v>503.7362272572758</v>
      </c>
      <c r="S36" s="34">
        <f t="shared" si="3"/>
        <v>4.447483823759967</v>
      </c>
      <c r="T36" s="7">
        <f>J36/J50%</f>
        <v>30.112515319766953</v>
      </c>
      <c r="U36" s="7">
        <f>(J28+J36)</f>
        <v>1911.01715769</v>
      </c>
    </row>
    <row r="37" spans="1:24" x14ac:dyDescent="0.25">
      <c r="A37" s="261" t="s">
        <v>42</v>
      </c>
      <c r="B37" s="32">
        <v>0.89298106999999993</v>
      </c>
      <c r="C37" s="32">
        <v>0.82075380000000009</v>
      </c>
      <c r="D37" s="32">
        <v>7.222727000000001E-2</v>
      </c>
      <c r="E37" s="32"/>
      <c r="F37" s="32"/>
      <c r="G37" s="32"/>
      <c r="H37" s="32">
        <v>1.4844644599999999</v>
      </c>
      <c r="I37" s="32">
        <v>1.4207665</v>
      </c>
      <c r="J37" s="32">
        <v>6.3697959999999998E-2</v>
      </c>
      <c r="K37" s="32">
        <v>0</v>
      </c>
      <c r="L37" s="32">
        <v>0</v>
      </c>
      <c r="M37" s="32">
        <v>0.10872841</v>
      </c>
      <c r="N37" s="32">
        <f t="shared" si="2"/>
        <v>0.59148338999999994</v>
      </c>
      <c r="O37" s="32">
        <f t="shared" si="2"/>
        <v>0.60001269999999995</v>
      </c>
      <c r="P37" s="32">
        <f t="shared" si="2"/>
        <v>-8.5293100000000122E-3</v>
      </c>
      <c r="Q37" s="32">
        <f t="shared" si="3"/>
        <v>66.236946097860738</v>
      </c>
      <c r="R37" s="32">
        <f t="shared" si="3"/>
        <v>73.105077308201317</v>
      </c>
      <c r="S37" s="34">
        <f t="shared" si="3"/>
        <v>-11.808988488696869</v>
      </c>
      <c r="U37" s="7">
        <f>U36/J50%</f>
        <v>80.169663300383348</v>
      </c>
    </row>
    <row r="38" spans="1:24" x14ac:dyDescent="0.25">
      <c r="A38" s="261" t="s">
        <v>43</v>
      </c>
      <c r="B38" s="32">
        <v>564.45424462000005</v>
      </c>
      <c r="C38" s="32">
        <v>376.01253010000005</v>
      </c>
      <c r="D38" s="32">
        <v>188.44171452</v>
      </c>
      <c r="E38" s="32"/>
      <c r="F38" s="32"/>
      <c r="G38" s="32"/>
      <c r="H38" s="32">
        <v>583.19631058000004</v>
      </c>
      <c r="I38" s="32">
        <v>380.24461631999998</v>
      </c>
      <c r="J38" s="32">
        <v>202.95169425999998</v>
      </c>
      <c r="K38" s="32">
        <v>133.05738516</v>
      </c>
      <c r="L38" s="32">
        <v>39.297494590000007</v>
      </c>
      <c r="M38" s="32">
        <v>8.7263814499999999</v>
      </c>
      <c r="N38" s="32">
        <f t="shared" si="2"/>
        <v>18.742065959999991</v>
      </c>
      <c r="O38" s="32">
        <f t="shared" si="2"/>
        <v>4.2320862199999283</v>
      </c>
      <c r="P38" s="32">
        <f t="shared" si="2"/>
        <v>14.509979739999977</v>
      </c>
      <c r="Q38" s="32">
        <f t="shared" si="3"/>
        <v>3.3203871064194743</v>
      </c>
      <c r="R38" s="32">
        <f t="shared" si="3"/>
        <v>1.1255173381787102</v>
      </c>
      <c r="S38" s="34">
        <f t="shared" si="3"/>
        <v>7.6999828710749654</v>
      </c>
    </row>
    <row r="39" spans="1:24" x14ac:dyDescent="0.25">
      <c r="A39" s="261" t="s">
        <v>44</v>
      </c>
      <c r="B39" s="32">
        <v>24.286863839999999</v>
      </c>
      <c r="C39" s="32">
        <v>-0.73450848999999996</v>
      </c>
      <c r="D39" s="53">
        <v>25.021372329999998</v>
      </c>
      <c r="E39" s="32"/>
      <c r="F39" s="32"/>
      <c r="G39" s="32"/>
      <c r="H39" s="32">
        <v>25.156786219999997</v>
      </c>
      <c r="I39" s="32">
        <v>0.60261143000000006</v>
      </c>
      <c r="J39" s="53">
        <v>24.554174789999998</v>
      </c>
      <c r="K39" s="32">
        <v>9.1900785500000008</v>
      </c>
      <c r="L39" s="32">
        <v>5.9170970000000003E-2</v>
      </c>
      <c r="M39" s="32">
        <v>6.1365095099999998</v>
      </c>
      <c r="N39" s="32">
        <f t="shared" si="2"/>
        <v>0.86992237999999844</v>
      </c>
      <c r="O39" s="32">
        <f t="shared" si="2"/>
        <v>1.3371199200000001</v>
      </c>
      <c r="P39" s="32">
        <f t="shared" si="2"/>
        <v>-0.4671975400000008</v>
      </c>
      <c r="Q39" s="32">
        <f t="shared" si="3"/>
        <v>3.5818637833644686</v>
      </c>
      <c r="R39" s="32">
        <f t="shared" si="3"/>
        <v>-182.04281341935206</v>
      </c>
      <c r="S39" s="34">
        <f t="shared" si="3"/>
        <v>-1.8671939086244294</v>
      </c>
    </row>
    <row r="40" spans="1:24" s="265" customFormat="1" ht="26.4" x14ac:dyDescent="0.25">
      <c r="A40" s="261" t="s">
        <v>46</v>
      </c>
      <c r="B40" s="32">
        <v>0</v>
      </c>
      <c r="C40" s="32">
        <v>0</v>
      </c>
      <c r="D40" s="32">
        <v>-0.36887105999999997</v>
      </c>
      <c r="E40" s="32"/>
      <c r="F40" s="32"/>
      <c r="G40" s="32"/>
      <c r="H40" s="32"/>
      <c r="I40" s="32"/>
      <c r="J40" s="32"/>
      <c r="K40" s="32"/>
      <c r="L40" s="32"/>
      <c r="M40" s="32"/>
      <c r="N40" s="32">
        <f>H40-B40</f>
        <v>0</v>
      </c>
      <c r="O40" s="32">
        <f t="shared" si="2"/>
        <v>0</v>
      </c>
      <c r="P40" s="32">
        <f t="shared" si="2"/>
        <v>0.36887105999999997</v>
      </c>
      <c r="Q40" s="54" t="s">
        <v>30</v>
      </c>
      <c r="R40" s="54" t="s">
        <v>30</v>
      </c>
      <c r="S40" s="50" t="s">
        <v>30</v>
      </c>
      <c r="T40" s="359"/>
      <c r="U40" s="359"/>
      <c r="V40" s="359"/>
      <c r="W40" s="359"/>
      <c r="X40" s="359"/>
    </row>
    <row r="41" spans="1:24" s="42" customFormat="1" x14ac:dyDescent="0.25">
      <c r="A41" s="35" t="s">
        <v>47</v>
      </c>
      <c r="B41" s="38">
        <v>17783.922782900001</v>
      </c>
      <c r="C41" s="38">
        <v>18637.089179169998</v>
      </c>
      <c r="D41" s="38">
        <v>19647.883838829999</v>
      </c>
      <c r="E41" s="38"/>
      <c r="F41" s="38"/>
      <c r="G41" s="38"/>
      <c r="H41" s="38">
        <v>18059.632663119999</v>
      </c>
      <c r="I41" s="38">
        <v>18128.015292279997</v>
      </c>
      <c r="J41" s="38">
        <v>20613.944733020006</v>
      </c>
      <c r="K41" s="38">
        <v>8506.432424229999</v>
      </c>
      <c r="L41" s="38">
        <v>12966.188553549999</v>
      </c>
      <c r="M41" s="38">
        <v>2981.7611813899998</v>
      </c>
      <c r="N41" s="38">
        <f t="shared" si="2"/>
        <v>275.70988021999801</v>
      </c>
      <c r="O41" s="38">
        <f t="shared" si="2"/>
        <v>-509.07388689000072</v>
      </c>
      <c r="P41" s="38">
        <f t="shared" si="2"/>
        <v>966.06089419000637</v>
      </c>
      <c r="Q41" s="38">
        <f t="shared" si="3"/>
        <v>1.5503321937784449</v>
      </c>
      <c r="R41" s="38">
        <f t="shared" si="3"/>
        <v>-2.731509636488596</v>
      </c>
      <c r="S41" s="39">
        <f t="shared" si="3"/>
        <v>4.9168699393508462</v>
      </c>
      <c r="T41" s="68"/>
      <c r="U41" s="68"/>
      <c r="V41" s="68"/>
      <c r="W41" s="68"/>
      <c r="X41" s="68"/>
    </row>
    <row r="42" spans="1:24" x14ac:dyDescent="0.25">
      <c r="A42" s="43" t="s">
        <v>49</v>
      </c>
      <c r="B42" s="32">
        <v>15423.71271308</v>
      </c>
      <c r="C42" s="32">
        <v>15423.71271308</v>
      </c>
      <c r="D42" s="32">
        <v>20500.68136404</v>
      </c>
      <c r="E42" s="32"/>
      <c r="F42" s="32"/>
      <c r="G42" s="32"/>
      <c r="H42" s="32">
        <v>17291.321825660001</v>
      </c>
      <c r="I42" s="32">
        <v>17291.321825660001</v>
      </c>
      <c r="J42" s="32">
        <v>20682.327362179996</v>
      </c>
      <c r="K42" s="32">
        <v>8687.6106230400001</v>
      </c>
      <c r="L42" s="32">
        <v>12848.836455930001</v>
      </c>
      <c r="M42" s="32">
        <v>3012.5910873499997</v>
      </c>
      <c r="N42" s="32">
        <f t="shared" si="2"/>
        <v>1867.6091125800012</v>
      </c>
      <c r="O42" s="32">
        <f t="shared" si="2"/>
        <v>1867.6091125800012</v>
      </c>
      <c r="P42" s="32">
        <f>J42-D42</f>
        <v>181.64599813999666</v>
      </c>
      <c r="Q42" s="32">
        <f t="shared" si="3"/>
        <v>12.108687106160801</v>
      </c>
      <c r="R42" s="32">
        <f t="shared" si="3"/>
        <v>12.108687106160801</v>
      </c>
      <c r="S42" s="34">
        <f t="shared" si="3"/>
        <v>0.88604858987086743</v>
      </c>
    </row>
    <row r="43" spans="1:24" ht="26.4" x14ac:dyDescent="0.25">
      <c r="A43" s="43" t="s">
        <v>50</v>
      </c>
      <c r="B43" s="32">
        <v>2323.9065259200001</v>
      </c>
      <c r="C43" s="32">
        <v>2323.8958959199999</v>
      </c>
      <c r="D43" s="32">
        <v>1.0630000000000001E-2</v>
      </c>
      <c r="E43" s="32"/>
      <c r="F43" s="32"/>
      <c r="G43" s="32"/>
      <c r="H43" s="32">
        <v>693.43591291999996</v>
      </c>
      <c r="I43" s="32">
        <v>693.33591291999994</v>
      </c>
      <c r="J43" s="32">
        <v>0.1</v>
      </c>
      <c r="K43" s="32">
        <v>1.67136</v>
      </c>
      <c r="L43" s="32">
        <v>0</v>
      </c>
      <c r="M43" s="32">
        <v>7.9000000000000001E-2</v>
      </c>
      <c r="N43" s="32">
        <f t="shared" si="2"/>
        <v>-1630.4706130000002</v>
      </c>
      <c r="O43" s="32">
        <f t="shared" si="2"/>
        <v>-1630.5599830000001</v>
      </c>
      <c r="P43" s="32">
        <f t="shared" si="2"/>
        <v>8.9370000000000005E-2</v>
      </c>
      <c r="Q43" s="32">
        <f t="shared" si="3"/>
        <v>-70.160765711285265</v>
      </c>
      <c r="R43" s="32">
        <f t="shared" si="3"/>
        <v>-70.164932338954131</v>
      </c>
      <c r="S43" s="34">
        <f t="shared" si="3"/>
        <v>840.73377234242707</v>
      </c>
    </row>
    <row r="44" spans="1:24" s="79" customFormat="1" ht="26.4" x14ac:dyDescent="0.25">
      <c r="A44" s="43" t="s">
        <v>51</v>
      </c>
      <c r="B44" s="33">
        <v>1.9655487</v>
      </c>
      <c r="C44" s="33">
        <v>0.16</v>
      </c>
      <c r="D44" s="33">
        <v>1.8055486999999999</v>
      </c>
      <c r="E44" s="33"/>
      <c r="F44" s="33"/>
      <c r="G44" s="33"/>
      <c r="H44" s="33">
        <v>2.8170584500000002</v>
      </c>
      <c r="I44" s="33">
        <v>0.96499999999999997</v>
      </c>
      <c r="J44" s="33">
        <v>1.8520584499999999</v>
      </c>
      <c r="K44" s="33">
        <v>0</v>
      </c>
      <c r="L44" s="33">
        <v>106.58834899999999</v>
      </c>
      <c r="M44" s="33">
        <v>0.11899999999999999</v>
      </c>
      <c r="N44" s="32">
        <f t="shared" si="2"/>
        <v>0.85150975000000018</v>
      </c>
      <c r="O44" s="32">
        <f t="shared" si="2"/>
        <v>0.80499999999999994</v>
      </c>
      <c r="P44" s="32">
        <f t="shared" si="2"/>
        <v>4.6509750000000016E-2</v>
      </c>
      <c r="Q44" s="32">
        <f t="shared" si="3"/>
        <v>43.321732501463856</v>
      </c>
      <c r="R44" s="32">
        <f t="shared" si="3"/>
        <v>503.125</v>
      </c>
      <c r="S44" s="34">
        <f t="shared" si="3"/>
        <v>2.575934396009373</v>
      </c>
      <c r="T44" s="217"/>
      <c r="U44" s="217"/>
      <c r="V44" s="217"/>
      <c r="W44" s="217"/>
      <c r="X44" s="217"/>
    </row>
    <row r="45" spans="1:24" x14ac:dyDescent="0.25">
      <c r="A45" s="43" t="s">
        <v>52</v>
      </c>
      <c r="B45" s="32">
        <v>84.427815609999996</v>
      </c>
      <c r="C45" s="32">
        <v>40.862363000000002</v>
      </c>
      <c r="D45" s="32">
        <v>43.565452610000001</v>
      </c>
      <c r="E45" s="32"/>
      <c r="F45" s="32"/>
      <c r="G45" s="32"/>
      <c r="H45" s="32">
        <v>116.88274776999999</v>
      </c>
      <c r="I45" s="32">
        <v>54.5381</v>
      </c>
      <c r="J45" s="32">
        <v>62.344647769999995</v>
      </c>
      <c r="K45" s="32">
        <v>4.9307575999999997</v>
      </c>
      <c r="L45" s="32">
        <v>8.9747444999999999</v>
      </c>
      <c r="M45" s="32">
        <v>8.1271741199999994</v>
      </c>
      <c r="N45" s="32">
        <f t="shared" si="2"/>
        <v>32.454932159999998</v>
      </c>
      <c r="O45" s="32">
        <f t="shared" si="2"/>
        <v>13.675736999999998</v>
      </c>
      <c r="P45" s="32">
        <f t="shared" si="2"/>
        <v>18.779195159999993</v>
      </c>
      <c r="Q45" s="32">
        <f t="shared" si="3"/>
        <v>38.441042120431092</v>
      </c>
      <c r="R45" s="32">
        <f t="shared" si="3"/>
        <v>33.467807527430551</v>
      </c>
      <c r="S45" s="34">
        <f t="shared" si="3"/>
        <v>43.105704256334121</v>
      </c>
    </row>
    <row r="46" spans="1:24" ht="13.5" customHeight="1" x14ac:dyDescent="0.25">
      <c r="A46" s="43" t="s">
        <v>54</v>
      </c>
      <c r="B46" s="32">
        <v>67.027637280000008</v>
      </c>
      <c r="C46" s="32">
        <v>965.57566485999996</v>
      </c>
      <c r="D46" s="32">
        <v>28.584508669999956</v>
      </c>
      <c r="E46" s="32"/>
      <c r="F46" s="32"/>
      <c r="G46" s="32"/>
      <c r="H46" s="32">
        <v>27.14074638</v>
      </c>
      <c r="I46" s="32">
        <v>159.82008175999999</v>
      </c>
      <c r="J46" s="32">
        <v>6.2293817100000011</v>
      </c>
      <c r="K46" s="32">
        <v>9.4423191400000004</v>
      </c>
      <c r="L46" s="32">
        <v>55.314676720000001</v>
      </c>
      <c r="M46" s="32">
        <v>14.08613109</v>
      </c>
      <c r="N46" s="32">
        <f t="shared" si="2"/>
        <v>-39.886890900000012</v>
      </c>
      <c r="O46" s="32">
        <f t="shared" si="2"/>
        <v>-805.75558309999997</v>
      </c>
      <c r="P46" s="32">
        <f t="shared" si="2"/>
        <v>-22.355126959999954</v>
      </c>
      <c r="Q46" s="32">
        <f t="shared" si="3"/>
        <v>-59.508126078467079</v>
      </c>
      <c r="R46" s="32">
        <f t="shared" si="3"/>
        <v>-83.448207367242162</v>
      </c>
      <c r="S46" s="34">
        <f t="shared" si="3"/>
        <v>-78.207140861099106</v>
      </c>
    </row>
    <row r="47" spans="1:24" x14ac:dyDescent="0.25">
      <c r="A47" s="43" t="s">
        <v>55</v>
      </c>
      <c r="B47" s="32">
        <v>-117.11745768999999</v>
      </c>
      <c r="C47" s="32">
        <v>-117.11745768999999</v>
      </c>
      <c r="D47" s="32">
        <v>-926.7636651900001</v>
      </c>
      <c r="E47" s="32"/>
      <c r="F47" s="32"/>
      <c r="G47" s="32"/>
      <c r="H47" s="32">
        <v>-71.96562806</v>
      </c>
      <c r="I47" s="32">
        <v>-71.96562806</v>
      </c>
      <c r="J47" s="32">
        <v>-138.90871709000001</v>
      </c>
      <c r="K47" s="32">
        <v>-197.22263555000001</v>
      </c>
      <c r="L47" s="32">
        <v>-53.5256726</v>
      </c>
      <c r="M47" s="32">
        <v>-53.24121117</v>
      </c>
      <c r="N47" s="32">
        <f t="shared" si="2"/>
        <v>45.151829629999995</v>
      </c>
      <c r="O47" s="32">
        <f t="shared" si="2"/>
        <v>45.151829629999995</v>
      </c>
      <c r="P47" s="32">
        <f t="shared" si="2"/>
        <v>787.85494810000012</v>
      </c>
      <c r="Q47" s="32">
        <f t="shared" si="3"/>
        <v>-38.552603958935883</v>
      </c>
      <c r="R47" s="32">
        <f t="shared" si="3"/>
        <v>-38.552603958935883</v>
      </c>
      <c r="S47" s="34">
        <f t="shared" si="3"/>
        <v>-85.011419598380385</v>
      </c>
    </row>
    <row r="48" spans="1:24" s="42" customFormat="1" x14ac:dyDescent="0.25">
      <c r="A48" s="266" t="s">
        <v>56</v>
      </c>
      <c r="B48" s="267">
        <f>B41+B10</f>
        <v>76277.867758130014</v>
      </c>
      <c r="C48" s="267">
        <f t="shared" ref="C48:P48" si="17">C41+C10</f>
        <v>64037.151832720003</v>
      </c>
      <c r="D48" s="267">
        <f t="shared" si="17"/>
        <v>32742.108756119997</v>
      </c>
      <c r="E48" s="267">
        <f t="shared" si="17"/>
        <v>0</v>
      </c>
      <c r="F48" s="267">
        <f t="shared" si="17"/>
        <v>0</v>
      </c>
      <c r="G48" s="267">
        <f t="shared" si="17"/>
        <v>0</v>
      </c>
      <c r="H48" s="267">
        <f t="shared" si="17"/>
        <v>83409.243410989991</v>
      </c>
      <c r="I48" s="267">
        <f t="shared" si="17"/>
        <v>69875.553229890007</v>
      </c>
      <c r="J48" s="267">
        <f t="shared" si="17"/>
        <v>34216.72900995001</v>
      </c>
      <c r="K48" s="267">
        <f t="shared" si="17"/>
        <v>18047.763029440001</v>
      </c>
      <c r="L48" s="267">
        <f t="shared" si="17"/>
        <v>15144.476821979999</v>
      </c>
      <c r="M48" s="267">
        <f t="shared" si="17"/>
        <v>4194.2491358299994</v>
      </c>
      <c r="N48" s="267">
        <f t="shared" si="17"/>
        <v>7131.3756528599915</v>
      </c>
      <c r="O48" s="267">
        <f t="shared" si="17"/>
        <v>5838.4013971699969</v>
      </c>
      <c r="P48" s="267">
        <f t="shared" si="17"/>
        <v>1474.6202538300076</v>
      </c>
      <c r="Q48" s="267">
        <f t="shared" si="3"/>
        <v>9.3492068701669808</v>
      </c>
      <c r="R48" s="267">
        <f t="shared" si="3"/>
        <v>9.1172096666967093</v>
      </c>
      <c r="S48" s="268">
        <f t="shared" si="3"/>
        <v>4.5037424584156867</v>
      </c>
      <c r="T48" s="68"/>
      <c r="U48" s="68"/>
      <c r="V48" s="68"/>
      <c r="W48" s="68"/>
      <c r="X48" s="68"/>
    </row>
    <row r="49" spans="1:24" s="42" customFormat="1" x14ac:dyDescent="0.25">
      <c r="A49" s="266" t="s">
        <v>57</v>
      </c>
      <c r="B49" s="267">
        <f>+B11+B12+B13+B14+B19+B24+B26+B27</f>
        <v>54848.438458200006</v>
      </c>
      <c r="C49" s="267">
        <f t="shared" ref="C49:P49" si="18">+C11+C12+C13+C14+C19+C24+C26+C27</f>
        <v>44192.002283530011</v>
      </c>
      <c r="D49" s="267">
        <f t="shared" si="18"/>
        <v>10656.43617467</v>
      </c>
      <c r="E49" s="267">
        <f t="shared" si="18"/>
        <v>0</v>
      </c>
      <c r="F49" s="267">
        <f t="shared" si="18"/>
        <v>0</v>
      </c>
      <c r="G49" s="267">
        <f t="shared" si="18"/>
        <v>0</v>
      </c>
      <c r="H49" s="267">
        <f t="shared" si="18"/>
        <v>61759.85795872</v>
      </c>
      <c r="I49" s="267">
        <f t="shared" si="18"/>
        <v>50540.789764679997</v>
      </c>
      <c r="J49" s="267">
        <f t="shared" si="18"/>
        <v>11219.068194039999</v>
      </c>
      <c r="K49" s="267">
        <f t="shared" si="18"/>
        <v>7613.9880713199991</v>
      </c>
      <c r="L49" s="267">
        <f t="shared" si="18"/>
        <v>1761.1656199300003</v>
      </c>
      <c r="M49" s="267">
        <f t="shared" si="18"/>
        <v>914.60900569</v>
      </c>
      <c r="N49" s="267">
        <f t="shared" si="18"/>
        <v>6911.4195005199999</v>
      </c>
      <c r="O49" s="267">
        <f t="shared" si="18"/>
        <v>6348.7874811499987</v>
      </c>
      <c r="P49" s="267">
        <f t="shared" si="18"/>
        <v>562.63201937000122</v>
      </c>
      <c r="Q49" s="267">
        <f t="shared" ref="Q49:S50" si="19">H49/B49%-100</f>
        <v>12.600941238805163</v>
      </c>
      <c r="R49" s="267">
        <f t="shared" si="19"/>
        <v>14.366372087910861</v>
      </c>
      <c r="S49" s="268">
        <f t="shared" si="19"/>
        <v>5.2797390248285581</v>
      </c>
      <c r="T49" s="68"/>
      <c r="U49" s="68"/>
      <c r="V49" s="68"/>
      <c r="W49" s="68"/>
      <c r="X49" s="68"/>
    </row>
    <row r="50" spans="1:24" s="42" customFormat="1" x14ac:dyDescent="0.25">
      <c r="A50" s="266" t="s">
        <v>58</v>
      </c>
      <c r="B50" s="267">
        <f>+B28+B29+B33+B36+B37+B38+B39+B40</f>
        <v>3645.5065170299999</v>
      </c>
      <c r="C50" s="267">
        <f t="shared" ref="C50:P50" si="20">+C28+C29+C33+C36+C37+C38+C39+C40</f>
        <v>1208.0603700200002</v>
      </c>
      <c r="D50" s="267">
        <f t="shared" si="20"/>
        <v>2437.7887426199995</v>
      </c>
      <c r="E50" s="267">
        <f t="shared" si="20"/>
        <v>0</v>
      </c>
      <c r="F50" s="267">
        <f t="shared" si="20"/>
        <v>0</v>
      </c>
      <c r="G50" s="267">
        <f t="shared" si="20"/>
        <v>0</v>
      </c>
      <c r="H50" s="267">
        <f>+H28+H29+H33+H36+H37+H38+H39+H40</f>
        <v>3589.7527891499999</v>
      </c>
      <c r="I50" s="267">
        <f t="shared" si="20"/>
        <v>1206.74817293</v>
      </c>
      <c r="J50" s="267">
        <f t="shared" si="20"/>
        <v>2383.7160828900001</v>
      </c>
      <c r="K50" s="267">
        <f t="shared" si="20"/>
        <v>1927.3425338900001</v>
      </c>
      <c r="L50" s="267">
        <f t="shared" si="20"/>
        <v>417.12264849999997</v>
      </c>
      <c r="M50" s="267">
        <f t="shared" si="20"/>
        <v>297.87894875000001</v>
      </c>
      <c r="N50" s="267">
        <f>+N28+N29+N33+N36+N37+N38+N39+N40</f>
        <v>-55.753727879999879</v>
      </c>
      <c r="O50" s="267">
        <f t="shared" si="20"/>
        <v>-1.3121970900000512</v>
      </c>
      <c r="P50" s="267">
        <f t="shared" si="20"/>
        <v>-54.072659729999948</v>
      </c>
      <c r="Q50" s="267">
        <f>H50/B50%-100</f>
        <v>-1.52938220298185</v>
      </c>
      <c r="R50" s="267">
        <f t="shared" si="19"/>
        <v>-0.10862015860833196</v>
      </c>
      <c r="S50" s="268">
        <f>J50/D50%-100</f>
        <v>-2.2181027742332162</v>
      </c>
      <c r="T50" s="68"/>
      <c r="U50" s="68"/>
      <c r="V50" s="68"/>
      <c r="W50" s="68"/>
      <c r="X50" s="68"/>
    </row>
    <row r="51" spans="1:24" s="1" customFormat="1" x14ac:dyDescent="0.25">
      <c r="A51" s="251" t="s">
        <v>64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276"/>
      <c r="T51" s="7"/>
      <c r="U51" s="7"/>
      <c r="V51" s="7"/>
      <c r="W51" s="7"/>
      <c r="X51" s="7"/>
    </row>
    <row r="52" spans="1:24" x14ac:dyDescent="0.25">
      <c r="A52" s="107" t="s">
        <v>252</v>
      </c>
      <c r="B52" s="38">
        <v>5228.87358004</v>
      </c>
      <c r="C52" s="38">
        <v>2137.2476881600001</v>
      </c>
      <c r="D52" s="38">
        <v>3193.1111279100001</v>
      </c>
      <c r="E52" s="38"/>
      <c r="F52" s="38"/>
      <c r="G52" s="38"/>
      <c r="H52" s="38">
        <v>5343.5806811800003</v>
      </c>
      <c r="I52" s="38">
        <v>2122.3132707499999</v>
      </c>
      <c r="J52" s="38">
        <v>3303.4588010000002</v>
      </c>
      <c r="K52" s="38"/>
      <c r="L52" s="38"/>
      <c r="M52" s="38"/>
      <c r="N52" s="38">
        <f t="shared" ref="N52:P75" si="21">H52-B52</f>
        <v>114.7071011400003</v>
      </c>
      <c r="O52" s="38">
        <f t="shared" si="21"/>
        <v>-14.934417410000151</v>
      </c>
      <c r="P52" s="38">
        <f t="shared" si="21"/>
        <v>110.34767309000017</v>
      </c>
      <c r="Q52" s="38">
        <f t="shared" ref="Q52:S75" si="22">H52/B52%-100</f>
        <v>2.1937248890060772</v>
      </c>
      <c r="R52" s="38">
        <f t="shared" si="22"/>
        <v>-0.69876867771266404</v>
      </c>
      <c r="S52" s="39">
        <f t="shared" si="22"/>
        <v>3.4558043447183877</v>
      </c>
    </row>
    <row r="53" spans="1:24" ht="24.75" customHeight="1" x14ac:dyDescent="0.25">
      <c r="A53" s="269" t="s">
        <v>253</v>
      </c>
      <c r="B53" s="32">
        <v>159.22894418999999</v>
      </c>
      <c r="C53" s="32">
        <v>4.3103015500000001</v>
      </c>
      <c r="D53" s="32">
        <v>154.91864264</v>
      </c>
      <c r="E53" s="32"/>
      <c r="F53" s="32"/>
      <c r="G53" s="32"/>
      <c r="H53" s="32">
        <v>158.37502359000001</v>
      </c>
      <c r="I53" s="32">
        <v>5.4935424400000006</v>
      </c>
      <c r="J53" s="32">
        <v>152.88148115000001</v>
      </c>
      <c r="K53" s="32"/>
      <c r="L53" s="32"/>
      <c r="M53" s="32"/>
      <c r="N53" s="32">
        <f t="shared" si="21"/>
        <v>-0.85392059999998082</v>
      </c>
      <c r="O53" s="32">
        <f t="shared" si="21"/>
        <v>1.1832408900000004</v>
      </c>
      <c r="P53" s="32">
        <f t="shared" si="21"/>
        <v>-2.0371614899999884</v>
      </c>
      <c r="Q53" s="32">
        <f t="shared" si="22"/>
        <v>-0.5362847843674956</v>
      </c>
      <c r="R53" s="32">
        <f t="shared" si="22"/>
        <v>27.451464271681886</v>
      </c>
      <c r="S53" s="34">
        <f t="shared" si="22"/>
        <v>-1.3149879545058667</v>
      </c>
    </row>
    <row r="54" spans="1:24" ht="52.8" x14ac:dyDescent="0.25">
      <c r="A54" s="269" t="s">
        <v>254</v>
      </c>
      <c r="B54" s="32">
        <v>344.01392131</v>
      </c>
      <c r="C54" s="32">
        <v>193.29714841000001</v>
      </c>
      <c r="D54" s="32">
        <v>151.00592936999999</v>
      </c>
      <c r="E54" s="32"/>
      <c r="F54" s="32"/>
      <c r="G54" s="32"/>
      <c r="H54" s="32">
        <v>349.45169063999998</v>
      </c>
      <c r="I54" s="32">
        <v>199.01663336999999</v>
      </c>
      <c r="J54" s="32">
        <f>150.50117532-J55</f>
        <v>150.49717532</v>
      </c>
      <c r="K54" s="32"/>
      <c r="L54" s="32"/>
      <c r="M54" s="32"/>
      <c r="N54" s="32">
        <f t="shared" si="21"/>
        <v>5.4377693299999805</v>
      </c>
      <c r="O54" s="32">
        <f t="shared" si="21"/>
        <v>5.7194849599999884</v>
      </c>
      <c r="P54" s="32">
        <f t="shared" si="21"/>
        <v>-0.50875404999999319</v>
      </c>
      <c r="Q54" s="32">
        <f t="shared" si="22"/>
        <v>1.5806829297177956</v>
      </c>
      <c r="R54" s="32">
        <f t="shared" si="22"/>
        <v>2.9589080889431756</v>
      </c>
      <c r="S54" s="34">
        <f t="shared" si="22"/>
        <v>-0.33690998235799441</v>
      </c>
    </row>
    <row r="55" spans="1:24" s="274" customFormat="1" hidden="1" x14ac:dyDescent="0.25">
      <c r="A55" s="271" t="s">
        <v>325</v>
      </c>
      <c r="B55" s="272"/>
      <c r="C55" s="272"/>
      <c r="D55" s="272"/>
      <c r="E55" s="272"/>
      <c r="F55" s="272"/>
      <c r="G55" s="272"/>
      <c r="H55" s="272">
        <v>0</v>
      </c>
      <c r="I55" s="272">
        <v>6.2118050000000001E-2</v>
      </c>
      <c r="J55" s="272">
        <v>4.0000000000000001E-3</v>
      </c>
      <c r="K55" s="272"/>
      <c r="L55" s="272"/>
      <c r="M55" s="272"/>
      <c r="N55" s="272"/>
      <c r="O55" s="272"/>
      <c r="P55" s="272"/>
      <c r="Q55" s="272"/>
      <c r="R55" s="272"/>
      <c r="S55" s="273"/>
      <c r="T55" s="360"/>
      <c r="U55" s="360"/>
      <c r="V55" s="360"/>
      <c r="W55" s="360"/>
      <c r="X55" s="360"/>
    </row>
    <row r="56" spans="1:24" ht="37.5" customHeight="1" x14ac:dyDescent="0.25">
      <c r="A56" s="269" t="s">
        <v>255</v>
      </c>
      <c r="B56" s="32">
        <v>1877.95608627</v>
      </c>
      <c r="C56" s="32">
        <v>307.91060548000002</v>
      </c>
      <c r="D56" s="32">
        <v>1635.2725450600001</v>
      </c>
      <c r="E56" s="32"/>
      <c r="F56" s="32"/>
      <c r="G56" s="32"/>
      <c r="H56" s="32">
        <v>1924.6295433</v>
      </c>
      <c r="I56" s="32">
        <v>364.92529645999997</v>
      </c>
      <c r="J56" s="32">
        <f>1643.53973403-J57</f>
        <v>1624.1722902200001</v>
      </c>
      <c r="K56" s="32"/>
      <c r="L56" s="32"/>
      <c r="M56" s="32"/>
      <c r="N56" s="32">
        <f t="shared" si="21"/>
        <v>46.673457030000009</v>
      </c>
      <c r="O56" s="32">
        <f t="shared" si="21"/>
        <v>57.014690979999955</v>
      </c>
      <c r="P56" s="32">
        <f t="shared" si="21"/>
        <v>-11.100254839999934</v>
      </c>
      <c r="Q56" s="32">
        <f t="shared" si="22"/>
        <v>2.4853327173748312</v>
      </c>
      <c r="R56" s="32">
        <f t="shared" si="22"/>
        <v>18.516637610166143</v>
      </c>
      <c r="S56" s="34">
        <f t="shared" si="22"/>
        <v>-0.6788015168194903</v>
      </c>
    </row>
    <row r="57" spans="1:24" s="76" customFormat="1" hidden="1" x14ac:dyDescent="0.25">
      <c r="A57" s="275" t="s">
        <v>325</v>
      </c>
      <c r="B57" s="63"/>
      <c r="C57" s="63"/>
      <c r="D57" s="63"/>
      <c r="E57" s="63"/>
      <c r="F57" s="63"/>
      <c r="G57" s="63"/>
      <c r="H57" s="63">
        <v>0</v>
      </c>
      <c r="I57" s="63">
        <v>64.468043379999997</v>
      </c>
      <c r="J57" s="63">
        <v>19.367443810000001</v>
      </c>
      <c r="K57" s="63"/>
      <c r="L57" s="63"/>
      <c r="M57" s="63"/>
      <c r="N57" s="63"/>
      <c r="O57" s="63"/>
      <c r="P57" s="63"/>
      <c r="Q57" s="63"/>
      <c r="R57" s="63"/>
      <c r="S57" s="276"/>
      <c r="T57" s="75"/>
      <c r="U57" s="75"/>
      <c r="V57" s="75"/>
      <c r="W57" s="75"/>
      <c r="X57" s="75"/>
    </row>
    <row r="58" spans="1:24" x14ac:dyDescent="0.25">
      <c r="A58" s="269" t="s">
        <v>256</v>
      </c>
      <c r="B58" s="32">
        <v>287.00305513000001</v>
      </c>
      <c r="C58" s="32">
        <v>287.00305513000001</v>
      </c>
      <c r="D58" s="32">
        <v>0.94965823999999999</v>
      </c>
      <c r="E58" s="32"/>
      <c r="F58" s="32"/>
      <c r="G58" s="32"/>
      <c r="H58" s="32">
        <v>283.87895610000004</v>
      </c>
      <c r="I58" s="32">
        <v>283.87895610000004</v>
      </c>
      <c r="J58" s="32">
        <v>0</v>
      </c>
      <c r="K58" s="32"/>
      <c r="L58" s="32"/>
      <c r="M58" s="32"/>
      <c r="N58" s="32">
        <f t="shared" si="21"/>
        <v>-3.124099029999968</v>
      </c>
      <c r="O58" s="32">
        <f t="shared" si="21"/>
        <v>-3.124099029999968</v>
      </c>
      <c r="P58" s="32">
        <f t="shared" si="21"/>
        <v>-0.94965823999999999</v>
      </c>
      <c r="Q58" s="32">
        <f t="shared" si="22"/>
        <v>-1.0885246599848557</v>
      </c>
      <c r="R58" s="32">
        <f t="shared" si="22"/>
        <v>-1.0885246599848557</v>
      </c>
      <c r="S58" s="50" t="s">
        <v>30</v>
      </c>
    </row>
    <row r="59" spans="1:24" ht="39.6" x14ac:dyDescent="0.25">
      <c r="A59" s="269" t="s">
        <v>257</v>
      </c>
      <c r="B59" s="32">
        <v>450.59949403000002</v>
      </c>
      <c r="C59" s="32">
        <v>142.98803425</v>
      </c>
      <c r="D59" s="32">
        <v>307.61145978000002</v>
      </c>
      <c r="E59" s="32"/>
      <c r="F59" s="32"/>
      <c r="G59" s="32"/>
      <c r="H59" s="32">
        <v>432.76231201999997</v>
      </c>
      <c r="I59" s="32">
        <v>130.78983812000001</v>
      </c>
      <c r="J59" s="32">
        <f>311.4559949-J60</f>
        <v>301.97247390000001</v>
      </c>
      <c r="K59" s="32"/>
      <c r="L59" s="32"/>
      <c r="M59" s="32"/>
      <c r="N59" s="32">
        <f t="shared" si="21"/>
        <v>-17.837182010000049</v>
      </c>
      <c r="O59" s="32">
        <f t="shared" si="21"/>
        <v>-12.198196129999985</v>
      </c>
      <c r="P59" s="32">
        <f t="shared" si="21"/>
        <v>-5.638985880000007</v>
      </c>
      <c r="Q59" s="32">
        <f t="shared" si="22"/>
        <v>-3.9585446158562405</v>
      </c>
      <c r="R59" s="32">
        <f t="shared" si="22"/>
        <v>-8.5309209221470041</v>
      </c>
      <c r="S59" s="34">
        <f t="shared" si="22"/>
        <v>-1.8331520821860607</v>
      </c>
    </row>
    <row r="60" spans="1:24" s="76" customFormat="1" hidden="1" x14ac:dyDescent="0.25">
      <c r="A60" s="275" t="s">
        <v>325</v>
      </c>
      <c r="B60" s="63"/>
      <c r="C60" s="63"/>
      <c r="D60" s="63"/>
      <c r="E60" s="63"/>
      <c r="F60" s="63"/>
      <c r="G60" s="63"/>
      <c r="H60" s="63">
        <v>0</v>
      </c>
      <c r="I60" s="63">
        <v>0</v>
      </c>
      <c r="J60" s="63">
        <v>9.4835209999999996</v>
      </c>
      <c r="K60" s="63"/>
      <c r="L60" s="63"/>
      <c r="M60" s="63"/>
      <c r="N60" s="63"/>
      <c r="O60" s="63"/>
      <c r="P60" s="63"/>
      <c r="Q60" s="63"/>
      <c r="R60" s="63"/>
      <c r="S60" s="276"/>
      <c r="T60" s="75"/>
      <c r="U60" s="75"/>
      <c r="V60" s="75"/>
      <c r="W60" s="75"/>
      <c r="X60" s="75"/>
    </row>
    <row r="61" spans="1:24" ht="26.4" x14ac:dyDescent="0.25">
      <c r="A61" s="269" t="s">
        <v>258</v>
      </c>
      <c r="B61" s="32">
        <v>65.569197970000005</v>
      </c>
      <c r="C61" s="32">
        <v>38.647102750000002</v>
      </c>
      <c r="D61" s="32">
        <v>26.922095219999999</v>
      </c>
      <c r="E61" s="32"/>
      <c r="F61" s="32"/>
      <c r="G61" s="32"/>
      <c r="H61" s="32">
        <v>85.695189939999992</v>
      </c>
      <c r="I61" s="32">
        <v>45.948929060000005</v>
      </c>
      <c r="J61" s="32">
        <f>39.84116088-J62</f>
        <v>39.746260879999994</v>
      </c>
      <c r="K61" s="32"/>
      <c r="L61" s="32"/>
      <c r="M61" s="32"/>
      <c r="N61" s="32">
        <f t="shared" si="21"/>
        <v>20.125991969999987</v>
      </c>
      <c r="O61" s="32">
        <f t="shared" si="21"/>
        <v>7.3018263100000027</v>
      </c>
      <c r="P61" s="32">
        <f t="shared" si="21"/>
        <v>12.824165659999995</v>
      </c>
      <c r="Q61" s="32">
        <f t="shared" si="22"/>
        <v>30.694278095651356</v>
      </c>
      <c r="R61" s="32">
        <f t="shared" si="22"/>
        <v>18.893593026193926</v>
      </c>
      <c r="S61" s="34">
        <f t="shared" si="22"/>
        <v>47.634352212204959</v>
      </c>
    </row>
    <row r="62" spans="1:24" s="76" customFormat="1" hidden="1" x14ac:dyDescent="0.25">
      <c r="A62" s="275" t="s">
        <v>325</v>
      </c>
      <c r="B62" s="63"/>
      <c r="C62" s="63"/>
      <c r="D62" s="63"/>
      <c r="E62" s="63"/>
      <c r="F62" s="63"/>
      <c r="G62" s="63"/>
      <c r="H62" s="63">
        <v>0</v>
      </c>
      <c r="I62" s="63">
        <v>0</v>
      </c>
      <c r="J62" s="63">
        <v>9.4899999999999998E-2</v>
      </c>
      <c r="K62" s="63"/>
      <c r="L62" s="63"/>
      <c r="M62" s="63"/>
      <c r="N62" s="63"/>
      <c r="O62" s="63"/>
      <c r="P62" s="63"/>
      <c r="Q62" s="32"/>
      <c r="R62" s="32"/>
      <c r="S62" s="34"/>
      <c r="T62" s="75"/>
      <c r="U62" s="75"/>
      <c r="V62" s="75"/>
      <c r="W62" s="75"/>
      <c r="X62" s="75"/>
    </row>
    <row r="63" spans="1:24" x14ac:dyDescent="0.25">
      <c r="A63" s="269" t="s">
        <v>259</v>
      </c>
      <c r="B63" s="32">
        <v>1.507445E-2</v>
      </c>
      <c r="C63" s="32">
        <v>0</v>
      </c>
      <c r="D63" s="32">
        <v>1.507445E-2</v>
      </c>
      <c r="E63" s="32"/>
      <c r="F63" s="32"/>
      <c r="G63" s="32"/>
      <c r="H63" s="32">
        <v>5.0000000000000001E-3</v>
      </c>
      <c r="I63" s="32">
        <v>0</v>
      </c>
      <c r="J63" s="32">
        <v>5.0000000000000001E-3</v>
      </c>
      <c r="K63" s="32"/>
      <c r="L63" s="32"/>
      <c r="M63" s="32"/>
      <c r="N63" s="32">
        <f t="shared" si="21"/>
        <v>-1.0074449999999999E-2</v>
      </c>
      <c r="O63" s="32">
        <f t="shared" si="21"/>
        <v>0</v>
      </c>
      <c r="P63" s="32">
        <f t="shared" si="21"/>
        <v>-1.0074449999999999E-2</v>
      </c>
      <c r="Q63" s="32">
        <f t="shared" ref="Q63:Q65" si="23">H63/B63%-100</f>
        <v>-66.831294010726765</v>
      </c>
      <c r="R63" s="54" t="s">
        <v>30</v>
      </c>
      <c r="S63" s="34">
        <f t="shared" ref="S63" si="24">J63/D63%-100</f>
        <v>-66.831294010726765</v>
      </c>
    </row>
    <row r="64" spans="1:24" s="76" customFormat="1" hidden="1" x14ac:dyDescent="0.25">
      <c r="A64" s="275" t="s">
        <v>325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>
        <f t="shared" si="21"/>
        <v>0</v>
      </c>
      <c r="O64" s="63">
        <f t="shared" si="21"/>
        <v>0</v>
      </c>
      <c r="P64" s="63">
        <f t="shared" si="21"/>
        <v>0</v>
      </c>
      <c r="Q64" s="32"/>
      <c r="R64" s="32"/>
      <c r="S64" s="34"/>
      <c r="T64" s="75"/>
      <c r="U64" s="75"/>
      <c r="V64" s="75"/>
      <c r="W64" s="75"/>
      <c r="X64" s="75"/>
    </row>
    <row r="65" spans="1:24" ht="26.4" x14ac:dyDescent="0.25">
      <c r="A65" s="269" t="s">
        <v>260</v>
      </c>
      <c r="B65" s="32">
        <v>9.1907999999999994</v>
      </c>
      <c r="C65" s="32">
        <v>9.1907999999999994</v>
      </c>
      <c r="D65" s="32"/>
      <c r="E65" s="32"/>
      <c r="F65" s="32"/>
      <c r="G65" s="32"/>
      <c r="H65" s="32">
        <v>11.82</v>
      </c>
      <c r="I65" s="32">
        <v>11.82</v>
      </c>
      <c r="J65" s="32">
        <v>0</v>
      </c>
      <c r="K65" s="32"/>
      <c r="L65" s="32"/>
      <c r="M65" s="32"/>
      <c r="N65" s="32">
        <f t="shared" si="21"/>
        <v>2.6292000000000009</v>
      </c>
      <c r="O65" s="32">
        <f t="shared" si="21"/>
        <v>2.6292000000000009</v>
      </c>
      <c r="P65" s="32">
        <f t="shared" si="21"/>
        <v>0</v>
      </c>
      <c r="Q65" s="32">
        <f t="shared" si="23"/>
        <v>28.606867737302537</v>
      </c>
      <c r="R65" s="32">
        <f t="shared" ref="R65" si="25">I65/C65%-100</f>
        <v>28.606867737302537</v>
      </c>
      <c r="S65" s="50" t="s">
        <v>30</v>
      </c>
    </row>
    <row r="66" spans="1:24" x14ac:dyDescent="0.25">
      <c r="A66" s="269" t="s">
        <v>261</v>
      </c>
      <c r="B66" s="32">
        <v>2035.29700669</v>
      </c>
      <c r="C66" s="32">
        <v>1153.90064059</v>
      </c>
      <c r="D66" s="32">
        <v>916.41572314999996</v>
      </c>
      <c r="E66" s="32"/>
      <c r="F66" s="32"/>
      <c r="G66" s="32"/>
      <c r="H66" s="32">
        <v>2096.9629655899998</v>
      </c>
      <c r="I66" s="32">
        <v>1080.4400752000001</v>
      </c>
      <c r="J66" s="32">
        <f>1068.37526133-J67</f>
        <v>1034.1841195300001</v>
      </c>
      <c r="K66" s="32"/>
      <c r="L66" s="32"/>
      <c r="M66" s="32"/>
      <c r="N66" s="32">
        <f t="shared" si="21"/>
        <v>61.66595889999985</v>
      </c>
      <c r="O66" s="32">
        <f t="shared" si="21"/>
        <v>-73.460565389999829</v>
      </c>
      <c r="P66" s="32">
        <f t="shared" si="21"/>
        <v>117.76839638000013</v>
      </c>
      <c r="Q66" s="32">
        <f t="shared" si="22"/>
        <v>3.0298260498248908</v>
      </c>
      <c r="R66" s="32">
        <f t="shared" si="22"/>
        <v>-6.3662817062341617</v>
      </c>
      <c r="S66" s="34">
        <f t="shared" si="22"/>
        <v>12.850979463249971</v>
      </c>
    </row>
    <row r="67" spans="1:24" s="76" customFormat="1" hidden="1" x14ac:dyDescent="0.25">
      <c r="A67" s="275" t="s">
        <v>325</v>
      </c>
      <c r="B67" s="63"/>
      <c r="C67" s="63"/>
      <c r="D67" s="63"/>
      <c r="E67" s="63"/>
      <c r="F67" s="63"/>
      <c r="G67" s="63"/>
      <c r="H67" s="63">
        <v>0</v>
      </c>
      <c r="I67" s="63">
        <v>17.66122914</v>
      </c>
      <c r="J67" s="63">
        <v>34.191141799999997</v>
      </c>
      <c r="K67" s="63"/>
      <c r="L67" s="63"/>
      <c r="M67" s="63"/>
      <c r="N67" s="63"/>
      <c r="O67" s="63"/>
      <c r="P67" s="63"/>
      <c r="Q67" s="63"/>
      <c r="R67" s="63"/>
      <c r="S67" s="276"/>
      <c r="T67" s="75"/>
      <c r="U67" s="75"/>
      <c r="V67" s="75"/>
      <c r="W67" s="75"/>
      <c r="X67" s="75"/>
    </row>
    <row r="68" spans="1:24" x14ac:dyDescent="0.25">
      <c r="A68" s="107" t="s">
        <v>262</v>
      </c>
      <c r="B68" s="38">
        <v>31.205144990000001</v>
      </c>
      <c r="C68" s="38">
        <v>31.21093157</v>
      </c>
      <c r="D68" s="38">
        <v>31.205144990000001</v>
      </c>
      <c r="E68" s="38"/>
      <c r="F68" s="38"/>
      <c r="G68" s="38"/>
      <c r="H68" s="38">
        <v>30.390223489999997</v>
      </c>
      <c r="I68" s="38">
        <v>30.395782499999999</v>
      </c>
      <c r="J68" s="38">
        <v>30.390223489999997</v>
      </c>
      <c r="K68" s="38"/>
      <c r="L68" s="38"/>
      <c r="M68" s="38"/>
      <c r="N68" s="38">
        <f t="shared" si="21"/>
        <v>-0.81492150000000407</v>
      </c>
      <c r="O68" s="38">
        <f t="shared" si="21"/>
        <v>-0.81514907000000036</v>
      </c>
      <c r="P68" s="38">
        <f t="shared" si="21"/>
        <v>-0.81492150000000407</v>
      </c>
      <c r="Q68" s="38">
        <f t="shared" si="22"/>
        <v>-2.6114972395133975</v>
      </c>
      <c r="R68" s="38">
        <f t="shared" si="22"/>
        <v>-2.6117421973508925</v>
      </c>
      <c r="S68" s="39">
        <f t="shared" si="22"/>
        <v>-2.6114972395133975</v>
      </c>
    </row>
    <row r="69" spans="1:24" ht="15.75" customHeight="1" x14ac:dyDescent="0.25">
      <c r="A69" s="269" t="s">
        <v>263</v>
      </c>
      <c r="B69" s="32">
        <v>31.205144990000001</v>
      </c>
      <c r="C69" s="32">
        <v>31.21093157</v>
      </c>
      <c r="D69" s="32">
        <v>31.205144990000001</v>
      </c>
      <c r="E69" s="32"/>
      <c r="F69" s="32"/>
      <c r="G69" s="32"/>
      <c r="H69" s="32">
        <v>30.390223489999997</v>
      </c>
      <c r="I69" s="32">
        <v>30.395782499999999</v>
      </c>
      <c r="J69" s="32">
        <f>54.69999886-J70</f>
        <v>30.39022349</v>
      </c>
      <c r="K69" s="32"/>
      <c r="L69" s="32"/>
      <c r="M69" s="32"/>
      <c r="N69" s="32">
        <f t="shared" si="21"/>
        <v>-0.81492150000000407</v>
      </c>
      <c r="O69" s="32">
        <f t="shared" si="21"/>
        <v>-0.81514907000000036</v>
      </c>
      <c r="P69" s="32">
        <f>J69-D69</f>
        <v>-0.81492150000000052</v>
      </c>
      <c r="Q69" s="32">
        <f t="shared" si="22"/>
        <v>-2.6114972395133975</v>
      </c>
      <c r="R69" s="32">
        <f t="shared" si="22"/>
        <v>-2.6117421973508925</v>
      </c>
      <c r="S69" s="34">
        <f t="shared" si="22"/>
        <v>-2.6114972395133833</v>
      </c>
    </row>
    <row r="70" spans="1:24" s="76" customFormat="1" hidden="1" x14ac:dyDescent="0.25">
      <c r="A70" s="275" t="s">
        <v>325</v>
      </c>
      <c r="B70" s="63"/>
      <c r="C70" s="63"/>
      <c r="D70" s="63"/>
      <c r="E70" s="63"/>
      <c r="F70" s="63"/>
      <c r="G70" s="63"/>
      <c r="H70" s="63">
        <v>0</v>
      </c>
      <c r="I70" s="63">
        <v>30.395782499999999</v>
      </c>
      <c r="J70" s="63">
        <v>24.309775370000001</v>
      </c>
      <c r="K70" s="63"/>
      <c r="L70" s="63"/>
      <c r="M70" s="63"/>
      <c r="N70" s="63"/>
      <c r="O70" s="63"/>
      <c r="P70" s="63"/>
      <c r="Q70" s="63"/>
      <c r="R70" s="63"/>
      <c r="S70" s="276"/>
      <c r="T70" s="75"/>
      <c r="U70" s="75"/>
      <c r="V70" s="75"/>
      <c r="W70" s="75"/>
      <c r="X70" s="75"/>
    </row>
    <row r="71" spans="1:24" ht="26.4" x14ac:dyDescent="0.25">
      <c r="A71" s="107" t="s">
        <v>264</v>
      </c>
      <c r="B71" s="38">
        <v>1247.6607731399999</v>
      </c>
      <c r="C71" s="38">
        <v>1078.62264207</v>
      </c>
      <c r="D71" s="38">
        <v>175.99967706999999</v>
      </c>
      <c r="E71" s="38"/>
      <c r="F71" s="38"/>
      <c r="G71" s="38"/>
      <c r="H71" s="38">
        <v>1282.7003683800001</v>
      </c>
      <c r="I71" s="38">
        <v>1108.7959097299999</v>
      </c>
      <c r="J71" s="38">
        <v>182.44355765</v>
      </c>
      <c r="K71" s="38">
        <f>SUM(K72:K77)</f>
        <v>0</v>
      </c>
      <c r="L71" s="38">
        <f>SUM(L72:L77)</f>
        <v>0</v>
      </c>
      <c r="M71" s="38">
        <f>SUM(M72:M77)</f>
        <v>0</v>
      </c>
      <c r="N71" s="38">
        <f t="shared" si="21"/>
        <v>35.039595240000153</v>
      </c>
      <c r="O71" s="38">
        <f t="shared" si="21"/>
        <v>30.173267659999965</v>
      </c>
      <c r="P71" s="38">
        <f t="shared" si="21"/>
        <v>6.4438805800000125</v>
      </c>
      <c r="Q71" s="38">
        <f t="shared" si="22"/>
        <v>2.8084232504814253</v>
      </c>
      <c r="R71" s="38">
        <f t="shared" si="22"/>
        <v>2.797388677294407</v>
      </c>
      <c r="S71" s="39">
        <f t="shared" si="22"/>
        <v>3.661302501956925</v>
      </c>
    </row>
    <row r="72" spans="1:24" x14ac:dyDescent="0.25">
      <c r="A72" s="269" t="s">
        <v>265</v>
      </c>
      <c r="B72" s="32">
        <v>5.9892000000000001E-2</v>
      </c>
      <c r="C72" s="32"/>
      <c r="D72" s="32">
        <v>5.9892000000000001E-2</v>
      </c>
      <c r="E72" s="32"/>
      <c r="F72" s="32"/>
      <c r="G72" s="32"/>
      <c r="H72" s="32"/>
      <c r="I72" s="32"/>
      <c r="J72" s="32"/>
      <c r="K72" s="32"/>
      <c r="L72" s="32"/>
      <c r="M72" s="32"/>
      <c r="N72" s="32">
        <f t="shared" si="21"/>
        <v>-5.9892000000000001E-2</v>
      </c>
      <c r="O72" s="32">
        <f t="shared" si="21"/>
        <v>0</v>
      </c>
      <c r="P72" s="32">
        <f t="shared" si="21"/>
        <v>-5.9892000000000001E-2</v>
      </c>
      <c r="Q72" s="54" t="s">
        <v>30</v>
      </c>
      <c r="R72" s="54" t="s">
        <v>30</v>
      </c>
      <c r="S72" s="34">
        <f t="shared" si="22"/>
        <v>-100</v>
      </c>
    </row>
    <row r="73" spans="1:24" ht="39.6" x14ac:dyDescent="0.25">
      <c r="A73" s="269" t="s">
        <v>266</v>
      </c>
      <c r="B73" s="32">
        <v>356.15437831999998</v>
      </c>
      <c r="C73" s="32">
        <v>202.77026968000001</v>
      </c>
      <c r="D73" s="32">
        <v>159.74565464</v>
      </c>
      <c r="E73" s="32"/>
      <c r="F73" s="32"/>
      <c r="G73" s="32"/>
      <c r="H73" s="32">
        <v>389.18038029000002</v>
      </c>
      <c r="I73" s="32">
        <v>230.91990709999999</v>
      </c>
      <c r="J73" s="32">
        <f>168.49512493-J74</f>
        <v>165.86486318999999</v>
      </c>
      <c r="K73" s="32"/>
      <c r="L73" s="32"/>
      <c r="M73" s="32"/>
      <c r="N73" s="32">
        <f t="shared" si="21"/>
        <v>33.026001970000038</v>
      </c>
      <c r="O73" s="32">
        <f t="shared" si="21"/>
        <v>28.149637419999976</v>
      </c>
      <c r="P73" s="32">
        <f t="shared" si="21"/>
        <v>6.1192085499999962</v>
      </c>
      <c r="Q73" s="32">
        <f t="shared" si="22"/>
        <v>9.2729456607512475</v>
      </c>
      <c r="R73" s="32">
        <f t="shared" si="22"/>
        <v>13.882526991961925</v>
      </c>
      <c r="S73" s="34">
        <f t="shared" si="22"/>
        <v>3.8305946811449445</v>
      </c>
    </row>
    <row r="74" spans="1:24" s="76" customFormat="1" hidden="1" x14ac:dyDescent="0.25">
      <c r="A74" s="275" t="s">
        <v>325</v>
      </c>
      <c r="B74" s="63"/>
      <c r="C74" s="63"/>
      <c r="D74" s="63"/>
      <c r="E74" s="63"/>
      <c r="F74" s="63"/>
      <c r="G74" s="63"/>
      <c r="H74" s="63">
        <v>0</v>
      </c>
      <c r="I74" s="63">
        <v>7.6043900000000004</v>
      </c>
      <c r="J74" s="63">
        <v>2.6302617400000003</v>
      </c>
      <c r="K74" s="63"/>
      <c r="L74" s="63"/>
      <c r="M74" s="63"/>
      <c r="N74" s="63"/>
      <c r="O74" s="63"/>
      <c r="P74" s="63"/>
      <c r="Q74" s="63"/>
      <c r="R74" s="63"/>
      <c r="S74" s="276"/>
      <c r="T74" s="75"/>
      <c r="U74" s="75"/>
      <c r="V74" s="75"/>
      <c r="W74" s="75"/>
      <c r="X74" s="75"/>
    </row>
    <row r="75" spans="1:24" x14ac:dyDescent="0.25">
      <c r="A75" s="269" t="s">
        <v>267</v>
      </c>
      <c r="B75" s="32">
        <v>890.60877144000006</v>
      </c>
      <c r="C75" s="32">
        <v>875.85237239000003</v>
      </c>
      <c r="D75" s="32">
        <v>15.35639905</v>
      </c>
      <c r="E75" s="32"/>
      <c r="F75" s="32"/>
      <c r="G75" s="32"/>
      <c r="H75" s="32">
        <v>892.93575284999997</v>
      </c>
      <c r="I75" s="32">
        <v>877.87600263000002</v>
      </c>
      <c r="J75" s="32">
        <f>18.14327483-J76</f>
        <v>15.99445922</v>
      </c>
      <c r="K75" s="32"/>
      <c r="L75" s="32"/>
      <c r="M75" s="32"/>
      <c r="N75" s="32">
        <f t="shared" si="21"/>
        <v>2.3269814099999167</v>
      </c>
      <c r="O75" s="32">
        <f t="shared" si="21"/>
        <v>2.0236302399999886</v>
      </c>
      <c r="P75" s="32">
        <f t="shared" si="21"/>
        <v>0.63806016999999926</v>
      </c>
      <c r="Q75" s="32">
        <f t="shared" si="22"/>
        <v>0.26127986660601721</v>
      </c>
      <c r="R75" s="32">
        <f t="shared" si="22"/>
        <v>0.2310469553765131</v>
      </c>
      <c r="S75" s="34">
        <f t="shared" si="22"/>
        <v>4.1550116529434717</v>
      </c>
    </row>
    <row r="76" spans="1:24" s="76" customFormat="1" hidden="1" x14ac:dyDescent="0.25">
      <c r="A76" s="275" t="s">
        <v>325</v>
      </c>
      <c r="B76" s="63"/>
      <c r="C76" s="63"/>
      <c r="D76" s="63"/>
      <c r="E76" s="63"/>
      <c r="F76" s="63"/>
      <c r="G76" s="63"/>
      <c r="H76" s="63">
        <v>0</v>
      </c>
      <c r="I76" s="63">
        <v>0.93470900000000001</v>
      </c>
      <c r="J76" s="63">
        <v>2.1488156099999998</v>
      </c>
      <c r="K76" s="63"/>
      <c r="L76" s="63"/>
      <c r="M76" s="63"/>
      <c r="N76" s="63"/>
      <c r="O76" s="63"/>
      <c r="P76" s="63"/>
      <c r="Q76" s="63"/>
      <c r="R76" s="63"/>
      <c r="S76" s="276"/>
      <c r="T76" s="75"/>
      <c r="U76" s="75"/>
      <c r="V76" s="75"/>
      <c r="W76" s="75"/>
      <c r="X76" s="75"/>
    </row>
    <row r="77" spans="1:24" ht="25.5" customHeight="1" x14ac:dyDescent="0.25">
      <c r="A77" s="269" t="s">
        <v>268</v>
      </c>
      <c r="B77" s="32">
        <v>0.83773138000000003</v>
      </c>
      <c r="C77" s="32"/>
      <c r="D77" s="32">
        <v>0.83773138000000003</v>
      </c>
      <c r="E77" s="32"/>
      <c r="F77" s="32"/>
      <c r="G77" s="32"/>
      <c r="H77" s="32">
        <v>0.58423524000000004</v>
      </c>
      <c r="I77" s="32">
        <v>0</v>
      </c>
      <c r="J77" s="32">
        <v>0.58423524000000004</v>
      </c>
      <c r="K77" s="32"/>
      <c r="L77" s="32"/>
      <c r="M77" s="32"/>
      <c r="N77" s="32">
        <f t="shared" ref="N77:P169" si="26">H77-B77</f>
        <v>-0.25349613999999998</v>
      </c>
      <c r="O77" s="32">
        <f t="shared" si="26"/>
        <v>0</v>
      </c>
      <c r="P77" s="32">
        <f t="shared" si="26"/>
        <v>-0.25349613999999998</v>
      </c>
      <c r="Q77" s="32">
        <f t="shared" ref="Q77:R167" si="27">H77/B77%-100</f>
        <v>-30.259835796051959</v>
      </c>
      <c r="R77" s="54" t="s">
        <v>30</v>
      </c>
      <c r="S77" s="34">
        <f t="shared" ref="S77:S167" si="28">J77/D77%-100</f>
        <v>-30.259835796051959</v>
      </c>
    </row>
    <row r="78" spans="1:24" x14ac:dyDescent="0.25">
      <c r="A78" s="107" t="s">
        <v>269</v>
      </c>
      <c r="B78" s="38">
        <v>11412.115961289999</v>
      </c>
      <c r="C78" s="38">
        <v>9731.9328306900024</v>
      </c>
      <c r="D78" s="38">
        <v>2424.4573842</v>
      </c>
      <c r="E78" s="38"/>
      <c r="F78" s="38"/>
      <c r="G78" s="38"/>
      <c r="H78" s="38">
        <v>10887.56106717</v>
      </c>
      <c r="I78" s="38">
        <v>9245.3107255699997</v>
      </c>
      <c r="J78" s="38">
        <v>2247.2460668600002</v>
      </c>
      <c r="K78" s="38"/>
      <c r="L78" s="38"/>
      <c r="M78" s="38"/>
      <c r="N78" s="38">
        <f t="shared" si="26"/>
        <v>-524.55489411999952</v>
      </c>
      <c r="O78" s="38">
        <f t="shared" si="26"/>
        <v>-486.62210512000274</v>
      </c>
      <c r="P78" s="38">
        <f t="shared" si="26"/>
        <v>-177.21131733999982</v>
      </c>
      <c r="Q78" s="38">
        <f t="shared" si="27"/>
        <v>-4.5964735715908773</v>
      </c>
      <c r="R78" s="38">
        <f t="shared" si="27"/>
        <v>-5.0002616498278911</v>
      </c>
      <c r="S78" s="39">
        <f t="shared" si="28"/>
        <v>-7.3093187158030588</v>
      </c>
    </row>
    <row r="79" spans="1:24" x14ac:dyDescent="0.25">
      <c r="A79" s="269" t="s">
        <v>270</v>
      </c>
      <c r="B79" s="32">
        <v>570.45895193000001</v>
      </c>
      <c r="C79" s="32">
        <v>570.35812290000001</v>
      </c>
      <c r="D79" s="32">
        <v>0.10082903</v>
      </c>
      <c r="E79" s="32"/>
      <c r="F79" s="32"/>
      <c r="G79" s="32"/>
      <c r="H79" s="32">
        <v>516.05119736999995</v>
      </c>
      <c r="I79" s="32">
        <v>515.94444704</v>
      </c>
      <c r="J79" s="32">
        <v>0.10675033</v>
      </c>
      <c r="K79" s="32"/>
      <c r="L79" s="32"/>
      <c r="M79" s="32"/>
      <c r="N79" s="32">
        <f t="shared" si="26"/>
        <v>-54.407754560000058</v>
      </c>
      <c r="O79" s="32">
        <f t="shared" si="26"/>
        <v>-54.413675860000012</v>
      </c>
      <c r="P79" s="32">
        <f t="shared" si="26"/>
        <v>5.9213000000000043E-3</v>
      </c>
      <c r="Q79" s="32">
        <f t="shared" si="27"/>
        <v>-9.5375406724577658</v>
      </c>
      <c r="R79" s="32">
        <f t="shared" si="27"/>
        <v>-9.5402649099362975</v>
      </c>
      <c r="S79" s="34">
        <f t="shared" si="28"/>
        <v>5.8726142659510003</v>
      </c>
    </row>
    <row r="80" spans="1:24" x14ac:dyDescent="0.25">
      <c r="A80" s="269" t="s">
        <v>271</v>
      </c>
      <c r="B80" s="32">
        <v>67.954806529999999</v>
      </c>
      <c r="C80" s="32">
        <v>62.299317549999998</v>
      </c>
      <c r="D80" s="32">
        <v>11.655488979999999</v>
      </c>
      <c r="E80" s="32"/>
      <c r="F80" s="32"/>
      <c r="G80" s="32"/>
      <c r="H80" s="32">
        <v>60.61227461</v>
      </c>
      <c r="I80" s="32">
        <v>54.066957500000001</v>
      </c>
      <c r="J80" s="32">
        <v>6.5453171099999992</v>
      </c>
      <c r="K80" s="32"/>
      <c r="L80" s="32"/>
      <c r="M80" s="32"/>
      <c r="N80" s="32">
        <f t="shared" si="26"/>
        <v>-7.342531919999999</v>
      </c>
      <c r="O80" s="32">
        <f t="shared" si="26"/>
        <v>-8.2323600499999969</v>
      </c>
      <c r="P80" s="32">
        <f t="shared" si="26"/>
        <v>-5.1101718700000003</v>
      </c>
      <c r="Q80" s="32">
        <f t="shared" si="27"/>
        <v>-10.805022183027617</v>
      </c>
      <c r="R80" s="32">
        <f t="shared" si="27"/>
        <v>-13.214205827203315</v>
      </c>
      <c r="S80" s="34">
        <f t="shared" si="28"/>
        <v>-43.843479057538438</v>
      </c>
    </row>
    <row r="81" spans="1:24" s="76" customFormat="1" hidden="1" x14ac:dyDescent="0.25">
      <c r="A81" s="275" t="s">
        <v>325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>
        <f t="shared" si="26"/>
        <v>0</v>
      </c>
      <c r="O81" s="63">
        <f t="shared" si="26"/>
        <v>0</v>
      </c>
      <c r="P81" s="63"/>
      <c r="Q81" s="63"/>
      <c r="R81" s="63"/>
      <c r="S81" s="276"/>
      <c r="T81" s="75"/>
      <c r="U81" s="75"/>
      <c r="V81" s="75"/>
      <c r="W81" s="75"/>
      <c r="X81" s="75"/>
    </row>
    <row r="82" spans="1:24" x14ac:dyDescent="0.25">
      <c r="A82" s="269" t="s">
        <v>272</v>
      </c>
      <c r="B82" s="32">
        <v>1159.7262692700001</v>
      </c>
      <c r="C82" s="32">
        <v>1147.8135116200001</v>
      </c>
      <c r="D82" s="32">
        <v>12.79260584</v>
      </c>
      <c r="E82" s="32"/>
      <c r="F82" s="32"/>
      <c r="G82" s="32"/>
      <c r="H82" s="32">
        <v>1159.4586127800001</v>
      </c>
      <c r="I82" s="32">
        <v>1148.8645720699999</v>
      </c>
      <c r="J82" s="32">
        <v>10.774040710000001</v>
      </c>
      <c r="K82" s="32"/>
      <c r="L82" s="32"/>
      <c r="M82" s="32"/>
      <c r="N82" s="32">
        <f t="shared" si="26"/>
        <v>-0.26765649000003577</v>
      </c>
      <c r="O82" s="32">
        <f t="shared" si="26"/>
        <v>1.0510604499997953</v>
      </c>
      <c r="P82" s="32">
        <f t="shared" si="26"/>
        <v>-2.0185651299999989</v>
      </c>
      <c r="Q82" s="32">
        <f t="shared" si="27"/>
        <v>-2.3079281472902835E-2</v>
      </c>
      <c r="R82" s="32">
        <f t="shared" si="27"/>
        <v>9.1570663645214267E-2</v>
      </c>
      <c r="S82" s="34">
        <f t="shared" si="28"/>
        <v>-15.77915520298717</v>
      </c>
    </row>
    <row r="83" spans="1:24" s="76" customFormat="1" hidden="1" x14ac:dyDescent="0.25">
      <c r="A83" s="275" t="s">
        <v>325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276"/>
      <c r="T83" s="75"/>
      <c r="U83" s="75"/>
      <c r="V83" s="75"/>
      <c r="W83" s="75"/>
      <c r="X83" s="75"/>
    </row>
    <row r="84" spans="1:24" x14ac:dyDescent="0.25">
      <c r="A84" s="269" t="s">
        <v>273</v>
      </c>
      <c r="B84" s="32">
        <v>11.185184850000001</v>
      </c>
      <c r="C84" s="32">
        <v>8.3583768799999998</v>
      </c>
      <c r="D84" s="32">
        <v>2.8268079699999999</v>
      </c>
      <c r="E84" s="32"/>
      <c r="F84" s="32"/>
      <c r="G84" s="32"/>
      <c r="H84" s="32">
        <v>141.26732618</v>
      </c>
      <c r="I84" s="32">
        <v>137.18672818000002</v>
      </c>
      <c r="J84" s="32">
        <v>4.0805980000000002</v>
      </c>
      <c r="K84" s="32"/>
      <c r="L84" s="32"/>
      <c r="M84" s="32"/>
      <c r="N84" s="32">
        <f t="shared" si="26"/>
        <v>130.08214132999998</v>
      </c>
      <c r="O84" s="32">
        <f t="shared" si="26"/>
        <v>128.82835130000001</v>
      </c>
      <c r="P84" s="32">
        <f t="shared" si="26"/>
        <v>1.2537900300000002</v>
      </c>
      <c r="Q84" s="32">
        <f t="shared" si="27"/>
        <v>1162.9860666093507</v>
      </c>
      <c r="R84" s="32">
        <f t="shared" si="27"/>
        <v>1541.3082366297895</v>
      </c>
      <c r="S84" s="34">
        <f t="shared" si="28"/>
        <v>44.353562155833316</v>
      </c>
      <c r="U84" s="7">
        <f>I84/C84</f>
        <v>16.413082366297896</v>
      </c>
    </row>
    <row r="85" spans="1:24" s="76" customFormat="1" hidden="1" x14ac:dyDescent="0.25">
      <c r="A85" s="275" t="s">
        <v>325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276"/>
      <c r="T85" s="75"/>
      <c r="U85" s="75"/>
      <c r="V85" s="75"/>
      <c r="W85" s="75"/>
      <c r="X85" s="75"/>
    </row>
    <row r="86" spans="1:24" x14ac:dyDescent="0.25">
      <c r="A86" s="269" t="s">
        <v>274</v>
      </c>
      <c r="B86" s="32">
        <v>863.58589729000005</v>
      </c>
      <c r="C86" s="32">
        <v>862.90589728999998</v>
      </c>
      <c r="D86" s="32">
        <v>0.68</v>
      </c>
      <c r="E86" s="32"/>
      <c r="F86" s="32"/>
      <c r="G86" s="32"/>
      <c r="H86" s="32">
        <v>831.53661924000005</v>
      </c>
      <c r="I86" s="32">
        <v>831.27661924000006</v>
      </c>
      <c r="J86" s="32">
        <v>0.26</v>
      </c>
      <c r="K86" s="32"/>
      <c r="L86" s="32"/>
      <c r="M86" s="32"/>
      <c r="N86" s="32">
        <f t="shared" si="26"/>
        <v>-32.049278049999998</v>
      </c>
      <c r="O86" s="32">
        <f t="shared" si="26"/>
        <v>-31.629278049999925</v>
      </c>
      <c r="P86" s="32">
        <f t="shared" si="26"/>
        <v>-0.42000000000000004</v>
      </c>
      <c r="Q86" s="32">
        <f t="shared" si="27"/>
        <v>-3.7111858994656188</v>
      </c>
      <c r="R86" s="32">
        <f t="shared" si="27"/>
        <v>-3.6654376971270324</v>
      </c>
      <c r="S86" s="50" t="s">
        <v>30</v>
      </c>
    </row>
    <row r="87" spans="1:24" x14ac:dyDescent="0.25">
      <c r="A87" s="269" t="s">
        <v>275</v>
      </c>
      <c r="B87" s="32">
        <v>732.75194237000005</v>
      </c>
      <c r="C87" s="32">
        <v>538.879728</v>
      </c>
      <c r="D87" s="32">
        <v>199.64953037000001</v>
      </c>
      <c r="E87" s="32"/>
      <c r="F87" s="32"/>
      <c r="G87" s="32"/>
      <c r="H87" s="32">
        <v>680.10529767999992</v>
      </c>
      <c r="I87" s="32">
        <v>541.16208886000004</v>
      </c>
      <c r="J87" s="32">
        <v>169.98522308</v>
      </c>
      <c r="K87" s="32"/>
      <c r="L87" s="32"/>
      <c r="M87" s="32"/>
      <c r="N87" s="32">
        <f t="shared" si="26"/>
        <v>-52.64664469000013</v>
      </c>
      <c r="O87" s="32">
        <f t="shared" si="26"/>
        <v>2.2823608600000398</v>
      </c>
      <c r="P87" s="32">
        <f t="shared" si="26"/>
        <v>-29.664307290000011</v>
      </c>
      <c r="Q87" s="32">
        <f t="shared" si="27"/>
        <v>-7.1847840511648116</v>
      </c>
      <c r="R87" s="32">
        <f t="shared" si="27"/>
        <v>0.42353808120984127</v>
      </c>
      <c r="S87" s="34">
        <f t="shared" si="28"/>
        <v>-14.858190367402671</v>
      </c>
    </row>
    <row r="88" spans="1:24" s="76" customFormat="1" hidden="1" x14ac:dyDescent="0.25">
      <c r="A88" s="275" t="s">
        <v>325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276"/>
      <c r="T88" s="75"/>
      <c r="U88" s="75"/>
      <c r="V88" s="75"/>
      <c r="W88" s="75"/>
      <c r="X88" s="75"/>
    </row>
    <row r="89" spans="1:24" x14ac:dyDescent="0.25">
      <c r="A89" s="269" t="s">
        <v>276</v>
      </c>
      <c r="B89" s="32">
        <v>7583.7033735499999</v>
      </c>
      <c r="C89" s="32">
        <v>6230.6611107500003</v>
      </c>
      <c r="D89" s="32">
        <v>2035.54536431</v>
      </c>
      <c r="E89" s="32"/>
      <c r="F89" s="32"/>
      <c r="G89" s="32"/>
      <c r="H89" s="32">
        <v>6796.6336627500004</v>
      </c>
      <c r="I89" s="32">
        <v>5453.6859192900001</v>
      </c>
      <c r="J89" s="32">
        <v>1889.4495785200002</v>
      </c>
      <c r="K89" s="32"/>
      <c r="L89" s="32"/>
      <c r="M89" s="32"/>
      <c r="N89" s="32">
        <f t="shared" si="26"/>
        <v>-787.06971079999948</v>
      </c>
      <c r="O89" s="32">
        <f t="shared" si="26"/>
        <v>-776.97519146000013</v>
      </c>
      <c r="P89" s="32">
        <f t="shared" si="26"/>
        <v>-146.09578578999981</v>
      </c>
      <c r="Q89" s="32">
        <f t="shared" si="27"/>
        <v>-10.378434809899019</v>
      </c>
      <c r="R89" s="32">
        <f t="shared" si="27"/>
        <v>-12.470188598758085</v>
      </c>
      <c r="S89" s="34">
        <f t="shared" si="28"/>
        <v>-7.1772306503973482</v>
      </c>
    </row>
    <row r="90" spans="1:24" s="76" customFormat="1" hidden="1" x14ac:dyDescent="0.25">
      <c r="A90" s="275" t="s">
        <v>325</v>
      </c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276"/>
      <c r="T90" s="75"/>
      <c r="U90" s="75"/>
      <c r="V90" s="75"/>
      <c r="W90" s="75"/>
      <c r="X90" s="75"/>
    </row>
    <row r="91" spans="1:24" x14ac:dyDescent="0.25">
      <c r="A91" s="269" t="s">
        <v>277</v>
      </c>
      <c r="B91" s="32">
        <v>23.289344509999999</v>
      </c>
      <c r="C91" s="32">
        <v>20.69980451</v>
      </c>
      <c r="D91" s="32">
        <v>2.58954</v>
      </c>
      <c r="E91" s="32"/>
      <c r="F91" s="32"/>
      <c r="G91" s="32"/>
      <c r="H91" s="32">
        <v>35.2675938</v>
      </c>
      <c r="I91" s="32">
        <v>32.115930200000001</v>
      </c>
      <c r="J91" s="32">
        <v>3.1516636</v>
      </c>
      <c r="K91" s="32"/>
      <c r="L91" s="32"/>
      <c r="M91" s="32"/>
      <c r="N91" s="32">
        <f t="shared" si="26"/>
        <v>11.978249290000001</v>
      </c>
      <c r="O91" s="32">
        <f t="shared" si="26"/>
        <v>11.416125690000001</v>
      </c>
      <c r="P91" s="32">
        <f t="shared" si="26"/>
        <v>0.56212360000000006</v>
      </c>
      <c r="Q91" s="32">
        <f t="shared" si="27"/>
        <v>51.432316117170103</v>
      </c>
      <c r="R91" s="32">
        <f t="shared" si="27"/>
        <v>55.150886495014532</v>
      </c>
      <c r="S91" s="34">
        <f t="shared" si="28"/>
        <v>21.70746928025828</v>
      </c>
    </row>
    <row r="92" spans="1:24" ht="26.4" x14ac:dyDescent="0.25">
      <c r="A92" s="269" t="s">
        <v>278</v>
      </c>
      <c r="B92" s="32">
        <v>399.46019099</v>
      </c>
      <c r="C92" s="32">
        <v>289.95696119000002</v>
      </c>
      <c r="D92" s="32">
        <v>158.6172177</v>
      </c>
      <c r="E92" s="32"/>
      <c r="F92" s="32"/>
      <c r="G92" s="32"/>
      <c r="H92" s="32">
        <v>665.66348275999997</v>
      </c>
      <c r="I92" s="32">
        <v>530.04246319000003</v>
      </c>
      <c r="J92" s="32">
        <v>162.89289551000002</v>
      </c>
      <c r="K92" s="32"/>
      <c r="L92" s="32"/>
      <c r="M92" s="32"/>
      <c r="N92" s="32">
        <f t="shared" si="26"/>
        <v>266.20329176999996</v>
      </c>
      <c r="O92" s="32">
        <f t="shared" si="26"/>
        <v>240.08550200000002</v>
      </c>
      <c r="P92" s="32">
        <f t="shared" si="26"/>
        <v>4.275677810000019</v>
      </c>
      <c r="Q92" s="32">
        <f t="shared" si="27"/>
        <v>66.64075614399934</v>
      </c>
      <c r="R92" s="32">
        <f t="shared" si="27"/>
        <v>82.800392518488025</v>
      </c>
      <c r="S92" s="34">
        <f t="shared" si="28"/>
        <v>2.6955950129492265</v>
      </c>
    </row>
    <row r="93" spans="1:24" s="76" customFormat="1" hidden="1" x14ac:dyDescent="0.25">
      <c r="A93" s="275" t="s">
        <v>325</v>
      </c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276"/>
      <c r="T93" s="75"/>
      <c r="U93" s="75"/>
      <c r="V93" s="75"/>
      <c r="W93" s="75"/>
      <c r="X93" s="75"/>
    </row>
    <row r="94" spans="1:24" x14ac:dyDescent="0.25">
      <c r="A94" s="107" t="s">
        <v>279</v>
      </c>
      <c r="B94" s="38">
        <v>8380.4797514900001</v>
      </c>
      <c r="C94" s="38">
        <v>6296.0579040700004</v>
      </c>
      <c r="D94" s="38">
        <v>3929.03055911</v>
      </c>
      <c r="E94" s="38"/>
      <c r="F94" s="38"/>
      <c r="G94" s="38"/>
      <c r="H94" s="38">
        <v>9781.75504181</v>
      </c>
      <c r="I94" s="38">
        <v>7696.5836571499995</v>
      </c>
      <c r="J94" s="38">
        <v>4058.8945365100003</v>
      </c>
      <c r="K94" s="38"/>
      <c r="L94" s="38"/>
      <c r="M94" s="38"/>
      <c r="N94" s="38">
        <f t="shared" si="26"/>
        <v>1401.2752903199998</v>
      </c>
      <c r="O94" s="38">
        <f t="shared" si="26"/>
        <v>1400.525753079999</v>
      </c>
      <c r="P94" s="38">
        <f t="shared" si="26"/>
        <v>129.86397740000029</v>
      </c>
      <c r="Q94" s="38">
        <f t="shared" si="27"/>
        <v>16.720704922303057</v>
      </c>
      <c r="R94" s="38">
        <f t="shared" si="27"/>
        <v>22.244486540929813</v>
      </c>
      <c r="S94" s="39">
        <f t="shared" si="28"/>
        <v>3.3052422333262967</v>
      </c>
    </row>
    <row r="95" spans="1:24" x14ac:dyDescent="0.25">
      <c r="A95" s="269" t="s">
        <v>280</v>
      </c>
      <c r="B95" s="32">
        <v>3500.8841919900001</v>
      </c>
      <c r="C95" s="32">
        <v>2634.5895347800001</v>
      </c>
      <c r="D95" s="32">
        <v>2310.2647430699999</v>
      </c>
      <c r="E95" s="32"/>
      <c r="F95" s="32"/>
      <c r="G95" s="32"/>
      <c r="H95" s="32">
        <v>4185.61059501</v>
      </c>
      <c r="I95" s="32">
        <v>3301.93088145</v>
      </c>
      <c r="J95" s="32">
        <v>2517.7847008799999</v>
      </c>
      <c r="K95" s="32"/>
      <c r="L95" s="32"/>
      <c r="M95" s="32"/>
      <c r="N95" s="32">
        <f t="shared" si="26"/>
        <v>684.72640301999991</v>
      </c>
      <c r="O95" s="32">
        <f t="shared" si="26"/>
        <v>667.34134666999989</v>
      </c>
      <c r="P95" s="32">
        <f t="shared" si="26"/>
        <v>207.51995781000005</v>
      </c>
      <c r="Q95" s="32">
        <f t="shared" si="27"/>
        <v>19.558670480635996</v>
      </c>
      <c r="R95" s="32">
        <f t="shared" si="27"/>
        <v>25.329993073312863</v>
      </c>
      <c r="S95" s="34">
        <f t="shared" si="28"/>
        <v>8.9825184941461202</v>
      </c>
    </row>
    <row r="96" spans="1:24" s="76" customFormat="1" hidden="1" x14ac:dyDescent="0.25">
      <c r="A96" s="275" t="s">
        <v>325</v>
      </c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276"/>
      <c r="T96" s="75"/>
      <c r="U96" s="75"/>
      <c r="V96" s="75"/>
      <c r="W96" s="75"/>
      <c r="X96" s="75"/>
    </row>
    <row r="97" spans="1:24" x14ac:dyDescent="0.25">
      <c r="A97" s="269" t="s">
        <v>528</v>
      </c>
      <c r="B97" s="32">
        <v>3837.6744255600001</v>
      </c>
      <c r="C97" s="32">
        <v>3590.86051933</v>
      </c>
      <c r="D97" s="32">
        <v>629.96094369000002</v>
      </c>
      <c r="E97" s="32"/>
      <c r="F97" s="32"/>
      <c r="G97" s="32"/>
      <c r="H97" s="32">
        <v>4301.10597254</v>
      </c>
      <c r="I97" s="32">
        <v>4054.6769314099997</v>
      </c>
      <c r="J97" s="32">
        <v>298.45161574000008</v>
      </c>
      <c r="K97" s="32"/>
      <c r="L97" s="32"/>
      <c r="M97" s="32"/>
      <c r="N97" s="32">
        <f>H97-B97</f>
        <v>463.43154697999989</v>
      </c>
      <c r="O97" s="32">
        <f>I97-C97</f>
        <v>463.81641207999974</v>
      </c>
      <c r="P97" s="32">
        <f>J97-D97</f>
        <v>-331.50932794999994</v>
      </c>
      <c r="Q97" s="32">
        <f t="shared" si="27"/>
        <v>12.075843221441986</v>
      </c>
      <c r="R97" s="32">
        <f t="shared" si="27"/>
        <v>12.916581125421743</v>
      </c>
      <c r="S97" s="34">
        <f t="shared" si="28"/>
        <v>-52.623790612824671</v>
      </c>
    </row>
    <row r="98" spans="1:24" hidden="1" x14ac:dyDescent="0.25">
      <c r="A98" s="275" t="s">
        <v>325</v>
      </c>
      <c r="B98" s="63"/>
      <c r="C98" s="63"/>
      <c r="D98" s="63"/>
      <c r="E98" s="63"/>
      <c r="F98" s="63"/>
      <c r="G98" s="63"/>
      <c r="H98" s="63"/>
      <c r="I98" s="63"/>
      <c r="J98" s="63"/>
      <c r="K98" s="32"/>
      <c r="L98" s="32"/>
      <c r="M98" s="32"/>
      <c r="N98" s="32"/>
      <c r="O98" s="32"/>
      <c r="P98" s="32"/>
      <c r="Q98" s="32"/>
      <c r="R98" s="32"/>
      <c r="S98" s="34"/>
    </row>
    <row r="99" spans="1:24" x14ac:dyDescent="0.25">
      <c r="A99" s="269" t="s">
        <v>281</v>
      </c>
      <c r="B99" s="32">
        <v>746.83842015000005</v>
      </c>
      <c r="C99" s="32">
        <v>16.09158837</v>
      </c>
      <c r="D99" s="32">
        <v>746.83842015000005</v>
      </c>
      <c r="E99" s="32"/>
      <c r="F99" s="32"/>
      <c r="G99" s="32"/>
      <c r="H99" s="32">
        <v>1059.5127252499999</v>
      </c>
      <c r="I99" s="32">
        <v>287.59558992000001</v>
      </c>
      <c r="J99" s="32">
        <v>1059.5127252500001</v>
      </c>
      <c r="K99" s="32"/>
      <c r="L99" s="32"/>
      <c r="M99" s="32"/>
      <c r="N99" s="32">
        <f t="shared" si="26"/>
        <v>312.67430509999986</v>
      </c>
      <c r="O99" s="32">
        <f t="shared" si="26"/>
        <v>271.50400155</v>
      </c>
      <c r="P99" s="32">
        <f t="shared" si="26"/>
        <v>312.67430510000008</v>
      </c>
      <c r="Q99" s="32">
        <f t="shared" si="27"/>
        <v>41.866392604333384</v>
      </c>
      <c r="R99" s="32">
        <f t="shared" si="27"/>
        <v>1687.2417769284511</v>
      </c>
      <c r="S99" s="34">
        <f t="shared" si="28"/>
        <v>41.866392604333413</v>
      </c>
      <c r="U99" s="7">
        <f>I99/C99</f>
        <v>17.872417769284514</v>
      </c>
    </row>
    <row r="100" spans="1:24" hidden="1" x14ac:dyDescent="0.25">
      <c r="A100" s="275" t="s">
        <v>325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32"/>
      <c r="L100" s="32"/>
      <c r="M100" s="32"/>
      <c r="N100" s="32"/>
      <c r="O100" s="32"/>
      <c r="P100" s="32"/>
      <c r="Q100" s="32"/>
      <c r="R100" s="32"/>
      <c r="S100" s="34"/>
    </row>
    <row r="101" spans="1:24" ht="26.4" x14ac:dyDescent="0.25">
      <c r="A101" s="269" t="s">
        <v>282</v>
      </c>
      <c r="B101" s="32">
        <v>295.08271379000001</v>
      </c>
      <c r="C101" s="32">
        <v>54.516261589999999</v>
      </c>
      <c r="D101" s="32">
        <v>241.96645219999999</v>
      </c>
      <c r="E101" s="32"/>
      <c r="F101" s="32"/>
      <c r="G101" s="32"/>
      <c r="H101" s="32">
        <v>235.52574901</v>
      </c>
      <c r="I101" s="32">
        <v>52.380254369999996</v>
      </c>
      <c r="J101" s="32">
        <v>183.14549464000001</v>
      </c>
      <c r="K101" s="32"/>
      <c r="L101" s="32"/>
      <c r="M101" s="32"/>
      <c r="N101" s="32">
        <f t="shared" si="26"/>
        <v>-59.556964780000015</v>
      </c>
      <c r="O101" s="32">
        <f t="shared" si="26"/>
        <v>-2.1360072200000033</v>
      </c>
      <c r="P101" s="32">
        <f t="shared" si="26"/>
        <v>-58.820957559999982</v>
      </c>
      <c r="Q101" s="32">
        <f t="shared" si="27"/>
        <v>-20.183142555203901</v>
      </c>
      <c r="R101" s="32">
        <f t="shared" si="27"/>
        <v>-3.9181102256502101</v>
      </c>
      <c r="S101" s="34">
        <f t="shared" si="28"/>
        <v>-24.309550776642737</v>
      </c>
    </row>
    <row r="102" spans="1:24" hidden="1" x14ac:dyDescent="0.25">
      <c r="A102" s="275" t="s">
        <v>325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32"/>
      <c r="L102" s="32"/>
      <c r="M102" s="32"/>
      <c r="N102" s="32"/>
      <c r="O102" s="32"/>
      <c r="P102" s="32"/>
      <c r="Q102" s="32"/>
      <c r="R102" s="32"/>
      <c r="S102" s="34"/>
    </row>
    <row r="103" spans="1:24" x14ac:dyDescent="0.25">
      <c r="A103" s="270" t="s">
        <v>283</v>
      </c>
      <c r="B103" s="38">
        <v>73.582182590000002</v>
      </c>
      <c r="C103" s="38">
        <v>65.928667810000007</v>
      </c>
      <c r="D103" s="38">
        <v>7.6535147800000001</v>
      </c>
      <c r="E103" s="38"/>
      <c r="F103" s="38"/>
      <c r="G103" s="38"/>
      <c r="H103" s="38">
        <v>84.114270480000002</v>
      </c>
      <c r="I103" s="38">
        <v>78.80528846</v>
      </c>
      <c r="J103" s="38">
        <v>5.3089820200000002</v>
      </c>
      <c r="K103" s="38"/>
      <c r="L103" s="38"/>
      <c r="M103" s="38"/>
      <c r="N103" s="38">
        <f t="shared" si="26"/>
        <v>10.53208789</v>
      </c>
      <c r="O103" s="38">
        <f t="shared" si="26"/>
        <v>12.876620649999992</v>
      </c>
      <c r="P103" s="38">
        <f t="shared" si="26"/>
        <v>-2.3445327599999999</v>
      </c>
      <c r="Q103" s="38">
        <f t="shared" si="27"/>
        <v>14.313367066977079</v>
      </c>
      <c r="R103" s="38">
        <f t="shared" si="27"/>
        <v>19.531140363868957</v>
      </c>
      <c r="S103" s="39">
        <f t="shared" si="28"/>
        <v>-30.633412587464804</v>
      </c>
    </row>
    <row r="104" spans="1:24" ht="26.4" x14ac:dyDescent="0.25">
      <c r="A104" s="269" t="s">
        <v>284</v>
      </c>
      <c r="B104" s="32">
        <v>0.21856800000000001</v>
      </c>
      <c r="C104" s="32">
        <v>0.21856800000000001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>
        <f t="shared" si="26"/>
        <v>-0.21856800000000001</v>
      </c>
      <c r="O104" s="32">
        <f t="shared" si="26"/>
        <v>-0.21856800000000001</v>
      </c>
      <c r="P104" s="32">
        <f t="shared" si="26"/>
        <v>0</v>
      </c>
      <c r="Q104" s="54" t="s">
        <v>30</v>
      </c>
      <c r="R104" s="54" t="s">
        <v>30</v>
      </c>
      <c r="S104" s="50" t="s">
        <v>30</v>
      </c>
    </row>
    <row r="105" spans="1:24" ht="26.4" x14ac:dyDescent="0.25">
      <c r="A105" s="269" t="s">
        <v>285</v>
      </c>
      <c r="B105" s="32">
        <v>65.922398610000002</v>
      </c>
      <c r="C105" s="32">
        <v>65.710099810000003</v>
      </c>
      <c r="D105" s="32">
        <v>0.21229880000000001</v>
      </c>
      <c r="E105" s="32"/>
      <c r="F105" s="32"/>
      <c r="G105" s="32"/>
      <c r="H105" s="32">
        <v>35.558891179999996</v>
      </c>
      <c r="I105" s="32">
        <v>35.468593630000001</v>
      </c>
      <c r="J105" s="32">
        <v>9.0297550000000004E-2</v>
      </c>
      <c r="K105" s="32"/>
      <c r="L105" s="32"/>
      <c r="M105" s="32"/>
      <c r="N105" s="32">
        <f t="shared" si="26"/>
        <v>-30.363507430000006</v>
      </c>
      <c r="O105" s="32">
        <f t="shared" si="26"/>
        <v>-30.241506180000002</v>
      </c>
      <c r="P105" s="32">
        <f t="shared" si="26"/>
        <v>-0.12200125000000001</v>
      </c>
      <c r="Q105" s="32">
        <f t="shared" si="27"/>
        <v>-46.059470028740819</v>
      </c>
      <c r="R105" s="32">
        <f t="shared" si="27"/>
        <v>-46.022614890926917</v>
      </c>
      <c r="S105" s="34">
        <f t="shared" si="28"/>
        <v>-57.466763825325437</v>
      </c>
    </row>
    <row r="106" spans="1:24" ht="26.4" x14ac:dyDescent="0.25">
      <c r="A106" s="269" t="s">
        <v>466</v>
      </c>
      <c r="B106" s="32"/>
      <c r="C106" s="32"/>
      <c r="D106" s="32"/>
      <c r="E106" s="32"/>
      <c r="F106" s="32"/>
      <c r="G106" s="32"/>
      <c r="H106" s="32">
        <v>6</v>
      </c>
      <c r="I106" s="32">
        <v>6</v>
      </c>
      <c r="J106" s="32"/>
      <c r="K106" s="32"/>
      <c r="L106" s="32"/>
      <c r="M106" s="32"/>
      <c r="N106" s="32">
        <f t="shared" ref="N106" si="29">H106-B106</f>
        <v>6</v>
      </c>
      <c r="O106" s="32">
        <f t="shared" ref="O106" si="30">I106-C106</f>
        <v>6</v>
      </c>
      <c r="P106" s="32">
        <f t="shared" ref="P106" si="31">J106-D106</f>
        <v>0</v>
      </c>
      <c r="Q106" s="54" t="s">
        <v>30</v>
      </c>
      <c r="R106" s="54" t="s">
        <v>30</v>
      </c>
      <c r="S106" s="50" t="s">
        <v>30</v>
      </c>
    </row>
    <row r="107" spans="1:24" ht="26.4" x14ac:dyDescent="0.25">
      <c r="A107" s="269" t="s">
        <v>286</v>
      </c>
      <c r="B107" s="32">
        <v>7.44121598</v>
      </c>
      <c r="C107" s="32"/>
      <c r="D107" s="32">
        <v>7.44121598</v>
      </c>
      <c r="E107" s="32"/>
      <c r="F107" s="32"/>
      <c r="G107" s="32"/>
      <c r="H107" s="32">
        <v>42.555379299999998</v>
      </c>
      <c r="I107" s="32">
        <v>37.336694829999999</v>
      </c>
      <c r="J107" s="32">
        <v>5.2186844699999995</v>
      </c>
      <c r="K107" s="32"/>
      <c r="L107" s="32"/>
      <c r="M107" s="32"/>
      <c r="N107" s="32">
        <f t="shared" si="26"/>
        <v>35.114163319999996</v>
      </c>
      <c r="O107" s="32">
        <f t="shared" si="26"/>
        <v>37.336694829999999</v>
      </c>
      <c r="P107" s="32">
        <f t="shared" si="26"/>
        <v>-2.2225315100000005</v>
      </c>
      <c r="Q107" s="32">
        <f t="shared" si="27"/>
        <v>471.88743633268382</v>
      </c>
      <c r="R107" s="54" t="s">
        <v>30</v>
      </c>
      <c r="S107" s="34">
        <f t="shared" si="28"/>
        <v>-29.867853802034119</v>
      </c>
    </row>
    <row r="108" spans="1:24" x14ac:dyDescent="0.25">
      <c r="A108" s="107" t="s">
        <v>287</v>
      </c>
      <c r="B108" s="38">
        <v>24705.522260270001</v>
      </c>
      <c r="C108" s="38">
        <v>17570.275951410003</v>
      </c>
      <c r="D108" s="38">
        <v>19954.134480180001</v>
      </c>
      <c r="E108" s="38"/>
      <c r="F108" s="38"/>
      <c r="G108" s="38"/>
      <c r="H108" s="38">
        <v>24933.196999700001</v>
      </c>
      <c r="I108" s="38">
        <v>17588.68997005</v>
      </c>
      <c r="J108" s="38">
        <v>20155.30186453</v>
      </c>
      <c r="K108" s="38">
        <f t="shared" ref="K108:M108" si="32">K109+K111+K113+K115+K116+K117+K119+K120</f>
        <v>0</v>
      </c>
      <c r="L108" s="38">
        <f t="shared" si="32"/>
        <v>0</v>
      </c>
      <c r="M108" s="38">
        <f t="shared" si="32"/>
        <v>0</v>
      </c>
      <c r="N108" s="38">
        <f t="shared" si="26"/>
        <v>227.67473943000005</v>
      </c>
      <c r="O108" s="38">
        <f t="shared" si="26"/>
        <v>18.414018639996357</v>
      </c>
      <c r="P108" s="38">
        <f t="shared" si="26"/>
        <v>201.16738434999934</v>
      </c>
      <c r="Q108" s="38">
        <f t="shared" si="27"/>
        <v>0.92155404379421668</v>
      </c>
      <c r="R108" s="38">
        <f t="shared" si="27"/>
        <v>0.1048021026586099</v>
      </c>
      <c r="S108" s="39">
        <f t="shared" si="28"/>
        <v>1.0081488853842018</v>
      </c>
      <c r="T108" s="7">
        <f>H108/H165%</f>
        <v>29.557782037431618</v>
      </c>
      <c r="U108" s="7">
        <f>I108/I165%</f>
        <v>24.872699603006392</v>
      </c>
      <c r="V108" s="7">
        <f>J108/J165%</f>
        <v>58.723661020594527</v>
      </c>
    </row>
    <row r="109" spans="1:24" x14ac:dyDescent="0.25">
      <c r="A109" s="269" t="s">
        <v>288</v>
      </c>
      <c r="B109" s="32">
        <v>7010.7091977199998</v>
      </c>
      <c r="C109" s="32">
        <v>201.19305535000001</v>
      </c>
      <c r="D109" s="32">
        <v>7010.7091977199998</v>
      </c>
      <c r="E109" s="32"/>
      <c r="F109" s="32"/>
      <c r="G109" s="32"/>
      <c r="H109" s="32">
        <v>7277.8931006099992</v>
      </c>
      <c r="I109" s="32">
        <v>57.608259500000003</v>
      </c>
      <c r="J109" s="32">
        <v>7262.0643806100006</v>
      </c>
      <c r="K109" s="32"/>
      <c r="L109" s="32"/>
      <c r="M109" s="32"/>
      <c r="N109" s="32">
        <f t="shared" si="26"/>
        <v>267.18390288999944</v>
      </c>
      <c r="O109" s="32">
        <f t="shared" si="26"/>
        <v>-143.58479585000001</v>
      </c>
      <c r="P109" s="32">
        <f t="shared" si="26"/>
        <v>251.35518289000083</v>
      </c>
      <c r="Q109" s="32">
        <f t="shared" si="27"/>
        <v>3.811082379182011</v>
      </c>
      <c r="R109" s="32">
        <f t="shared" si="27"/>
        <v>-71.366675952217449</v>
      </c>
      <c r="S109" s="34">
        <f t="shared" si="28"/>
        <v>3.5853032239840417</v>
      </c>
    </row>
    <row r="110" spans="1:24" s="76" customFormat="1" hidden="1" x14ac:dyDescent="0.25">
      <c r="A110" s="275" t="s">
        <v>325</v>
      </c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276"/>
      <c r="T110" s="75"/>
      <c r="U110" s="75"/>
      <c r="V110" s="75"/>
      <c r="W110" s="75"/>
      <c r="X110" s="75"/>
    </row>
    <row r="111" spans="1:24" x14ac:dyDescent="0.25">
      <c r="A111" s="269" t="s">
        <v>289</v>
      </c>
      <c r="B111" s="32">
        <v>13945.9380274</v>
      </c>
      <c r="C111" s="32">
        <v>13794.93263137</v>
      </c>
      <c r="D111" s="32">
        <v>12132.387723960001</v>
      </c>
      <c r="E111" s="32"/>
      <c r="F111" s="32"/>
      <c r="G111" s="32"/>
      <c r="H111" s="32">
        <v>12127.51322067</v>
      </c>
      <c r="I111" s="32">
        <v>13839.187886360001</v>
      </c>
      <c r="J111" s="32">
        <v>10456.396617010001</v>
      </c>
      <c r="K111" s="32"/>
      <c r="L111" s="32"/>
      <c r="M111" s="32"/>
      <c r="N111" s="32">
        <f t="shared" si="26"/>
        <v>-1818.4248067299995</v>
      </c>
      <c r="O111" s="32">
        <f t="shared" si="26"/>
        <v>44.255254990001049</v>
      </c>
      <c r="P111" s="32">
        <f t="shared" si="26"/>
        <v>-1675.9911069499994</v>
      </c>
      <c r="Q111" s="32">
        <f t="shared" si="27"/>
        <v>-13.039100010033636</v>
      </c>
      <c r="R111" s="32">
        <f t="shared" si="27"/>
        <v>0.32080805446895511</v>
      </c>
      <c r="S111" s="34">
        <f t="shared" si="28"/>
        <v>-13.814190125494591</v>
      </c>
    </row>
    <row r="112" spans="1:24" hidden="1" x14ac:dyDescent="0.25">
      <c r="A112" s="275" t="s">
        <v>325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32"/>
      <c r="L112" s="32"/>
      <c r="M112" s="32"/>
      <c r="N112" s="32"/>
      <c r="O112" s="32"/>
      <c r="P112" s="32"/>
      <c r="Q112" s="32"/>
      <c r="R112" s="32"/>
      <c r="S112" s="34"/>
    </row>
    <row r="113" spans="1:24" x14ac:dyDescent="0.25">
      <c r="A113" s="269" t="s">
        <v>354</v>
      </c>
      <c r="B113" s="32"/>
      <c r="C113" s="32"/>
      <c r="D113" s="32"/>
      <c r="E113" s="32"/>
      <c r="F113" s="32"/>
      <c r="G113" s="32"/>
      <c r="H113" s="32">
        <v>2000.2975144500001</v>
      </c>
      <c r="I113" s="32">
        <v>215.54601738999997</v>
      </c>
      <c r="J113" s="32">
        <v>1860.04210266</v>
      </c>
      <c r="K113" s="32"/>
      <c r="L113" s="32"/>
      <c r="M113" s="32"/>
      <c r="N113" s="32">
        <f t="shared" ref="N113" si="33">H113-B113</f>
        <v>2000.2975144500001</v>
      </c>
      <c r="O113" s="32">
        <f t="shared" ref="O113" si="34">I113-C113</f>
        <v>215.54601738999997</v>
      </c>
      <c r="P113" s="32">
        <f t="shared" ref="P113" si="35">J113-D113</f>
        <v>1860.04210266</v>
      </c>
      <c r="Q113" s="54" t="s">
        <v>30</v>
      </c>
      <c r="R113" s="54" t="s">
        <v>30</v>
      </c>
      <c r="S113" s="50" t="s">
        <v>30</v>
      </c>
    </row>
    <row r="114" spans="1:24" hidden="1" x14ac:dyDescent="0.25">
      <c r="A114" s="275" t="s">
        <v>325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32"/>
      <c r="L114" s="32"/>
      <c r="M114" s="32"/>
      <c r="N114" s="32"/>
      <c r="O114" s="32"/>
      <c r="P114" s="32"/>
      <c r="Q114" s="32"/>
      <c r="R114" s="32"/>
      <c r="S114" s="34"/>
    </row>
    <row r="115" spans="1:24" x14ac:dyDescent="0.25">
      <c r="A115" s="269" t="s">
        <v>290</v>
      </c>
      <c r="B115" s="32">
        <v>2219.8010266400001</v>
      </c>
      <c r="C115" s="32">
        <v>2219.8010266400001</v>
      </c>
      <c r="D115" s="32"/>
      <c r="E115" s="32"/>
      <c r="F115" s="32"/>
      <c r="G115" s="32"/>
      <c r="H115" s="32">
        <v>2202.9015027300002</v>
      </c>
      <c r="I115" s="32">
        <v>2202.9015027300002</v>
      </c>
      <c r="J115" s="32"/>
      <c r="K115" s="32"/>
      <c r="L115" s="32"/>
      <c r="M115" s="32"/>
      <c r="N115" s="32">
        <f t="shared" si="26"/>
        <v>-16.899523909999971</v>
      </c>
      <c r="O115" s="32">
        <f t="shared" si="26"/>
        <v>-16.899523909999971</v>
      </c>
      <c r="P115" s="32">
        <f t="shared" si="26"/>
        <v>0</v>
      </c>
      <c r="Q115" s="32">
        <f t="shared" si="27"/>
        <v>-0.761308050009319</v>
      </c>
      <c r="R115" s="32">
        <f t="shared" si="27"/>
        <v>-0.761308050009319</v>
      </c>
      <c r="S115" s="50" t="s">
        <v>30</v>
      </c>
    </row>
    <row r="116" spans="1:24" ht="26.4" x14ac:dyDescent="0.25">
      <c r="A116" s="269" t="s">
        <v>291</v>
      </c>
      <c r="B116" s="32">
        <v>114.6208014</v>
      </c>
      <c r="C116" s="32">
        <v>111.63696822</v>
      </c>
      <c r="D116" s="32">
        <v>2.98383318</v>
      </c>
      <c r="E116" s="32"/>
      <c r="F116" s="32"/>
      <c r="G116" s="32"/>
      <c r="H116" s="32">
        <v>101.64869353</v>
      </c>
      <c r="I116" s="32">
        <v>98.9418024</v>
      </c>
      <c r="J116" s="32">
        <v>2.7068911299999998</v>
      </c>
      <c r="K116" s="32"/>
      <c r="L116" s="32"/>
      <c r="M116" s="32"/>
      <c r="N116" s="32">
        <f t="shared" si="26"/>
        <v>-12.972107870000002</v>
      </c>
      <c r="O116" s="32">
        <f t="shared" si="26"/>
        <v>-12.69516582</v>
      </c>
      <c r="P116" s="32">
        <f t="shared" si="26"/>
        <v>-0.27694205000000016</v>
      </c>
      <c r="Q116" s="32">
        <f t="shared" si="27"/>
        <v>-11.317411596809848</v>
      </c>
      <c r="R116" s="32">
        <f t="shared" si="27"/>
        <v>-11.371829620974637</v>
      </c>
      <c r="S116" s="34">
        <f t="shared" si="28"/>
        <v>-9.2814186750212428</v>
      </c>
    </row>
    <row r="117" spans="1:24" x14ac:dyDescent="0.25">
      <c r="A117" s="269" t="s">
        <v>355</v>
      </c>
      <c r="B117" s="32">
        <v>612.91153262</v>
      </c>
      <c r="C117" s="32">
        <v>515.18607560999999</v>
      </c>
      <c r="D117" s="32">
        <v>294.08445454999998</v>
      </c>
      <c r="E117" s="32"/>
      <c r="F117" s="32"/>
      <c r="G117" s="32"/>
      <c r="H117" s="32">
        <v>552.62079873000005</v>
      </c>
      <c r="I117" s="32">
        <v>459.06311846</v>
      </c>
      <c r="J117" s="32">
        <v>159.87637516999999</v>
      </c>
      <c r="K117" s="32"/>
      <c r="L117" s="32"/>
      <c r="M117" s="32"/>
      <c r="N117" s="32">
        <f t="shared" si="26"/>
        <v>-60.290733889999956</v>
      </c>
      <c r="O117" s="32">
        <f t="shared" si="26"/>
        <v>-56.122957149999991</v>
      </c>
      <c r="P117" s="32">
        <f t="shared" si="26"/>
        <v>-134.20807937999999</v>
      </c>
      <c r="Q117" s="32">
        <f t="shared" si="27"/>
        <v>-9.8367758936230842</v>
      </c>
      <c r="R117" s="32">
        <f t="shared" si="27"/>
        <v>-10.893725550238955</v>
      </c>
      <c r="S117" s="34">
        <f t="shared" si="28"/>
        <v>-45.635897206930416</v>
      </c>
    </row>
    <row r="118" spans="1:24" hidden="1" x14ac:dyDescent="0.25">
      <c r="A118" s="275" t="s">
        <v>325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32"/>
      <c r="L118" s="32"/>
      <c r="M118" s="32"/>
      <c r="N118" s="32"/>
      <c r="O118" s="32"/>
      <c r="P118" s="32"/>
      <c r="Q118" s="32"/>
      <c r="R118" s="32"/>
      <c r="S118" s="34"/>
    </row>
    <row r="119" spans="1:24" ht="26.4" x14ac:dyDescent="0.25">
      <c r="A119" s="269" t="s">
        <v>292</v>
      </c>
      <c r="B119" s="32">
        <v>4.4437794000000004</v>
      </c>
      <c r="C119" s="32">
        <v>4.4437794000000004</v>
      </c>
      <c r="D119" s="32"/>
      <c r="E119" s="32"/>
      <c r="F119" s="32"/>
      <c r="G119" s="32"/>
      <c r="H119" s="32">
        <v>3.5954002099999998</v>
      </c>
      <c r="I119" s="32">
        <v>3.5954002099999998</v>
      </c>
      <c r="J119" s="32"/>
      <c r="K119" s="32"/>
      <c r="L119" s="32"/>
      <c r="M119" s="32"/>
      <c r="N119" s="32">
        <f t="shared" si="26"/>
        <v>-0.84837919000000062</v>
      </c>
      <c r="O119" s="32">
        <f t="shared" si="26"/>
        <v>-0.84837919000000062</v>
      </c>
      <c r="P119" s="32">
        <f t="shared" si="26"/>
        <v>0</v>
      </c>
      <c r="Q119" s="32">
        <f t="shared" si="27"/>
        <v>-19.091388514920439</v>
      </c>
      <c r="R119" s="32">
        <f t="shared" si="27"/>
        <v>-19.091388514920439</v>
      </c>
      <c r="S119" s="50" t="s">
        <v>30</v>
      </c>
    </row>
    <row r="120" spans="1:24" x14ac:dyDescent="0.25">
      <c r="A120" s="269" t="s">
        <v>293</v>
      </c>
      <c r="B120" s="32">
        <v>797.09789508999995</v>
      </c>
      <c r="C120" s="32">
        <v>723.08241482000005</v>
      </c>
      <c r="D120" s="32">
        <v>513.96927076999998</v>
      </c>
      <c r="E120" s="32"/>
      <c r="F120" s="32"/>
      <c r="G120" s="32"/>
      <c r="H120" s="32">
        <v>666.72676877000004</v>
      </c>
      <c r="I120" s="32">
        <v>711.84598300000005</v>
      </c>
      <c r="J120" s="32">
        <v>414.21549794999999</v>
      </c>
      <c r="K120" s="32"/>
      <c r="L120" s="32"/>
      <c r="M120" s="32"/>
      <c r="N120" s="32">
        <f t="shared" si="26"/>
        <v>-130.37112631999992</v>
      </c>
      <c r="O120" s="32">
        <f t="shared" si="26"/>
        <v>-11.236431820000007</v>
      </c>
      <c r="P120" s="32">
        <f t="shared" si="26"/>
        <v>-99.753772819999995</v>
      </c>
      <c r="Q120" s="32">
        <f t="shared" si="27"/>
        <v>-16.355723321196294</v>
      </c>
      <c r="R120" s="32">
        <f t="shared" si="27"/>
        <v>-1.5539628111129105</v>
      </c>
      <c r="S120" s="34">
        <f t="shared" si="28"/>
        <v>-19.408509125565914</v>
      </c>
    </row>
    <row r="121" spans="1:24" hidden="1" x14ac:dyDescent="0.25">
      <c r="A121" s="275" t="s">
        <v>325</v>
      </c>
      <c r="B121" s="63"/>
      <c r="C121" s="63"/>
      <c r="D121" s="63"/>
      <c r="E121" s="63"/>
      <c r="F121" s="63"/>
      <c r="G121" s="63"/>
      <c r="H121" s="63"/>
      <c r="I121" s="63"/>
      <c r="J121" s="63"/>
      <c r="K121" s="32"/>
      <c r="L121" s="32"/>
      <c r="M121" s="32"/>
      <c r="N121" s="32"/>
      <c r="O121" s="32"/>
      <c r="P121" s="32"/>
      <c r="Q121" s="32"/>
      <c r="R121" s="32"/>
      <c r="S121" s="34"/>
    </row>
    <row r="122" spans="1:24" x14ac:dyDescent="0.25">
      <c r="A122" s="107" t="s">
        <v>294</v>
      </c>
      <c r="B122" s="38">
        <v>2522.3958235200002</v>
      </c>
      <c r="C122" s="38">
        <v>840.17377434999992</v>
      </c>
      <c r="D122" s="38">
        <v>1754.2484321699999</v>
      </c>
      <c r="E122" s="38"/>
      <c r="F122" s="38"/>
      <c r="G122" s="38"/>
      <c r="H122" s="38">
        <v>3140.1064902399999</v>
      </c>
      <c r="I122" s="38">
        <v>1523.3833936600001</v>
      </c>
      <c r="J122" s="38">
        <v>2162.0620704200001</v>
      </c>
      <c r="K122" s="38">
        <f t="shared" ref="K122:M122" si="36">K123+K125</f>
        <v>0</v>
      </c>
      <c r="L122" s="38">
        <f t="shared" si="36"/>
        <v>0</v>
      </c>
      <c r="M122" s="38">
        <f t="shared" si="36"/>
        <v>0</v>
      </c>
      <c r="N122" s="38">
        <f t="shared" si="26"/>
        <v>617.71066671999961</v>
      </c>
      <c r="O122" s="38">
        <f>I122-C122</f>
        <v>683.20961931000022</v>
      </c>
      <c r="P122" s="38">
        <f t="shared" si="26"/>
        <v>407.81363825000017</v>
      </c>
      <c r="Q122" s="38">
        <f t="shared" si="27"/>
        <v>24.489045730260742</v>
      </c>
      <c r="R122" s="38">
        <f t="shared" si="27"/>
        <v>81.317655962132932</v>
      </c>
      <c r="S122" s="39">
        <f t="shared" si="28"/>
        <v>23.247199813400201</v>
      </c>
    </row>
    <row r="123" spans="1:24" x14ac:dyDescent="0.25">
      <c r="A123" s="269" t="s">
        <v>295</v>
      </c>
      <c r="B123" s="32">
        <v>2397.2520466800001</v>
      </c>
      <c r="C123" s="32">
        <v>795.86861798999996</v>
      </c>
      <c r="D123" s="32">
        <v>1673.40981169</v>
      </c>
      <c r="E123" s="32"/>
      <c r="F123" s="32"/>
      <c r="G123" s="32"/>
      <c r="H123" s="32">
        <v>3012.6954177800003</v>
      </c>
      <c r="I123" s="32">
        <v>1480.1874850899999</v>
      </c>
      <c r="J123" s="32">
        <f>2249.42177222-J124</f>
        <v>2077.7951815300003</v>
      </c>
      <c r="K123" s="32"/>
      <c r="L123" s="32"/>
      <c r="M123" s="32"/>
      <c r="N123" s="32">
        <f t="shared" si="26"/>
        <v>615.44337110000015</v>
      </c>
      <c r="O123" s="32">
        <f t="shared" si="26"/>
        <v>684.31886709999992</v>
      </c>
      <c r="P123" s="32">
        <f t="shared" si="26"/>
        <v>404.38536984000029</v>
      </c>
      <c r="Q123" s="32">
        <f t="shared" si="27"/>
        <v>25.672868731193248</v>
      </c>
      <c r="R123" s="32">
        <f t="shared" si="27"/>
        <v>85.983898803332181</v>
      </c>
      <c r="S123" s="34">
        <f t="shared" si="28"/>
        <v>24.165351906931022</v>
      </c>
    </row>
    <row r="124" spans="1:24" s="76" customFormat="1" hidden="1" x14ac:dyDescent="0.25">
      <c r="A124" s="275" t="s">
        <v>325</v>
      </c>
      <c r="B124" s="63"/>
      <c r="C124" s="63"/>
      <c r="D124" s="63"/>
      <c r="E124" s="63"/>
      <c r="F124" s="63"/>
      <c r="G124" s="63"/>
      <c r="H124" s="63">
        <v>0</v>
      </c>
      <c r="I124" s="63">
        <v>545.28724884000007</v>
      </c>
      <c r="J124" s="63">
        <v>171.62659069</v>
      </c>
      <c r="K124" s="63"/>
      <c r="L124" s="63"/>
      <c r="M124" s="63"/>
      <c r="N124" s="63"/>
      <c r="O124" s="63"/>
      <c r="P124" s="63"/>
      <c r="Q124" s="63"/>
      <c r="R124" s="63"/>
      <c r="S124" s="276"/>
      <c r="T124" s="75"/>
      <c r="U124" s="75"/>
      <c r="V124" s="75"/>
      <c r="W124" s="75"/>
      <c r="X124" s="75"/>
    </row>
    <row r="125" spans="1:24" ht="26.4" x14ac:dyDescent="0.25">
      <c r="A125" s="269" t="s">
        <v>296</v>
      </c>
      <c r="B125" s="32">
        <v>125.14377684</v>
      </c>
      <c r="C125" s="32">
        <v>44.305156359999998</v>
      </c>
      <c r="D125" s="32">
        <v>80.838620480000003</v>
      </c>
      <c r="E125" s="32"/>
      <c r="F125" s="32"/>
      <c r="G125" s="32"/>
      <c r="H125" s="32">
        <v>127.41107246</v>
      </c>
      <c r="I125" s="32">
        <v>43.19590857</v>
      </c>
      <c r="J125" s="32">
        <f>84.76861389-J126</f>
        <v>84.266888890000004</v>
      </c>
      <c r="K125" s="32"/>
      <c r="L125" s="32"/>
      <c r="M125" s="32"/>
      <c r="N125" s="32">
        <f t="shared" si="26"/>
        <v>2.2672956199999987</v>
      </c>
      <c r="O125" s="32">
        <f t="shared" si="26"/>
        <v>-1.1092477899999977</v>
      </c>
      <c r="P125" s="32">
        <f t="shared" si="26"/>
        <v>3.4282684100000012</v>
      </c>
      <c r="Q125" s="32">
        <f t="shared" si="27"/>
        <v>1.8117525915002659</v>
      </c>
      <c r="R125" s="32">
        <f t="shared" si="27"/>
        <v>-2.5036539336118011</v>
      </c>
      <c r="S125" s="34">
        <f t="shared" si="28"/>
        <v>4.2408794084359442</v>
      </c>
    </row>
    <row r="126" spans="1:24" hidden="1" x14ac:dyDescent="0.25">
      <c r="A126" s="275" t="s">
        <v>325</v>
      </c>
      <c r="B126" s="63"/>
      <c r="C126" s="63"/>
      <c r="D126" s="63"/>
      <c r="E126" s="63"/>
      <c r="F126" s="63"/>
      <c r="G126" s="63"/>
      <c r="H126" s="63">
        <v>0</v>
      </c>
      <c r="I126" s="63">
        <v>5.1725E-2</v>
      </c>
      <c r="J126" s="63">
        <v>0.50172499999999998</v>
      </c>
      <c r="K126" s="63"/>
      <c r="L126" s="63"/>
      <c r="M126" s="63"/>
      <c r="N126" s="63"/>
      <c r="O126" s="63"/>
      <c r="P126" s="63"/>
      <c r="Q126" s="63"/>
      <c r="R126" s="63"/>
      <c r="S126" s="276"/>
    </row>
    <row r="127" spans="1:24" x14ac:dyDescent="0.25">
      <c r="A127" s="107" t="s">
        <v>297</v>
      </c>
      <c r="B127" s="38">
        <v>12541.454742710001</v>
      </c>
      <c r="C127" s="38">
        <v>12541.335527249999</v>
      </c>
      <c r="D127" s="38">
        <v>0.11921546</v>
      </c>
      <c r="E127" s="38"/>
      <c r="F127" s="38"/>
      <c r="G127" s="38"/>
      <c r="H127" s="38">
        <v>5466.7936</v>
      </c>
      <c r="I127" s="38">
        <v>5466.5402494300006</v>
      </c>
      <c r="J127" s="38">
        <v>0.33435057000000001</v>
      </c>
      <c r="K127" s="38">
        <f t="shared" ref="K127:M127" si="37">K128+K129+K131+K132+K133+K134+K135</f>
        <v>0</v>
      </c>
      <c r="L127" s="38">
        <f t="shared" si="37"/>
        <v>0</v>
      </c>
      <c r="M127" s="38">
        <f t="shared" si="37"/>
        <v>0</v>
      </c>
      <c r="N127" s="38">
        <f t="shared" si="26"/>
        <v>-7074.6611427100006</v>
      </c>
      <c r="O127" s="38">
        <f t="shared" si="26"/>
        <v>-7074.7952778199988</v>
      </c>
      <c r="P127" s="38">
        <f t="shared" si="26"/>
        <v>0.21513511000000002</v>
      </c>
      <c r="Q127" s="38">
        <f t="shared" si="27"/>
        <v>-56.410211477438885</v>
      </c>
      <c r="R127" s="38">
        <f t="shared" si="27"/>
        <v>-56.411817245840993</v>
      </c>
      <c r="S127" s="39">
        <f t="shared" si="28"/>
        <v>180.45906965422103</v>
      </c>
      <c r="T127" s="7">
        <f>H127/H165%</f>
        <v>6.4807691398086797</v>
      </c>
      <c r="U127" s="7">
        <f t="shared" ref="U127:V127" si="38">I127/I165%</f>
        <v>7.7304002585378173</v>
      </c>
      <c r="V127" s="7">
        <f t="shared" si="38"/>
        <v>9.7415011031294282E-4</v>
      </c>
    </row>
    <row r="128" spans="1:24" x14ac:dyDescent="0.25">
      <c r="A128" s="269" t="s">
        <v>298</v>
      </c>
      <c r="B128" s="32">
        <v>2324.1688383699998</v>
      </c>
      <c r="C128" s="32">
        <v>2324.1688383699998</v>
      </c>
      <c r="D128" s="32"/>
      <c r="E128" s="32"/>
      <c r="F128" s="32"/>
      <c r="G128" s="32"/>
      <c r="H128" s="32">
        <v>1874.2478956</v>
      </c>
      <c r="I128" s="32">
        <v>1874.2478956</v>
      </c>
      <c r="J128" s="32"/>
      <c r="K128" s="32"/>
      <c r="L128" s="32"/>
      <c r="M128" s="32"/>
      <c r="N128" s="32">
        <f t="shared" si="26"/>
        <v>-449.92094276999978</v>
      </c>
      <c r="O128" s="32">
        <f t="shared" si="26"/>
        <v>-449.92094276999978</v>
      </c>
      <c r="P128" s="32">
        <f t="shared" si="26"/>
        <v>0</v>
      </c>
      <c r="Q128" s="32">
        <f t="shared" si="27"/>
        <v>-19.358358796581285</v>
      </c>
      <c r="R128" s="32">
        <f t="shared" si="27"/>
        <v>-19.358358796581285</v>
      </c>
      <c r="S128" s="50" t="s">
        <v>30</v>
      </c>
    </row>
    <row r="129" spans="1:24" x14ac:dyDescent="0.25">
      <c r="A129" s="269" t="s">
        <v>299</v>
      </c>
      <c r="B129" s="32">
        <v>1222.2427270000001</v>
      </c>
      <c r="C129" s="32">
        <v>1222.2427270000001</v>
      </c>
      <c r="D129" s="32"/>
      <c r="E129" s="32"/>
      <c r="F129" s="32"/>
      <c r="G129" s="32"/>
      <c r="H129" s="32">
        <v>1868.8027069300001</v>
      </c>
      <c r="I129" s="32">
        <v>1868.88370693</v>
      </c>
      <c r="J129" s="32"/>
      <c r="K129" s="32"/>
      <c r="L129" s="32"/>
      <c r="M129" s="32"/>
      <c r="N129" s="32">
        <f t="shared" si="26"/>
        <v>646.55997993000005</v>
      </c>
      <c r="O129" s="32">
        <f t="shared" si="26"/>
        <v>646.64097992999996</v>
      </c>
      <c r="P129" s="32">
        <f t="shared" si="26"/>
        <v>0</v>
      </c>
      <c r="Q129" s="32">
        <f t="shared" ref="Q129" si="39">H129/B129%-100</f>
        <v>52.899474519024892</v>
      </c>
      <c r="R129" s="32">
        <f t="shared" ref="R129" si="40">I129/C129%-100</f>
        <v>52.906101680570686</v>
      </c>
      <c r="S129" s="50" t="s">
        <v>30</v>
      </c>
    </row>
    <row r="130" spans="1:24" ht="26.4" x14ac:dyDescent="0.25">
      <c r="A130" s="269" t="s">
        <v>327</v>
      </c>
      <c r="B130" s="32"/>
      <c r="C130" s="32"/>
      <c r="D130" s="32"/>
      <c r="E130" s="32"/>
      <c r="F130" s="32"/>
      <c r="G130" s="32"/>
      <c r="H130" s="32">
        <v>22.983699999999999</v>
      </c>
      <c r="I130" s="32">
        <v>22.983699999999999</v>
      </c>
      <c r="J130" s="32"/>
      <c r="K130" s="32"/>
      <c r="L130" s="32"/>
      <c r="M130" s="32"/>
      <c r="N130" s="32">
        <f t="shared" ref="N130" si="41">H130-B130</f>
        <v>22.983699999999999</v>
      </c>
      <c r="O130" s="32">
        <f t="shared" ref="O130" si="42">I130-C130</f>
        <v>22.983699999999999</v>
      </c>
      <c r="P130" s="32">
        <f t="shared" ref="P130" si="43">J130-D130</f>
        <v>0</v>
      </c>
      <c r="Q130" s="54" t="s">
        <v>30</v>
      </c>
      <c r="R130" s="54" t="s">
        <v>30</v>
      </c>
      <c r="S130" s="50" t="s">
        <v>30</v>
      </c>
    </row>
    <row r="131" spans="1:24" x14ac:dyDescent="0.25">
      <c r="A131" s="269" t="s">
        <v>300</v>
      </c>
      <c r="B131" s="32">
        <v>73.365767000000005</v>
      </c>
      <c r="C131" s="32">
        <v>73.365767000000005</v>
      </c>
      <c r="D131" s="32"/>
      <c r="E131" s="32"/>
      <c r="F131" s="32"/>
      <c r="G131" s="32"/>
      <c r="H131" s="32">
        <v>368.22119935000001</v>
      </c>
      <c r="I131" s="32">
        <v>368.22119935000001</v>
      </c>
      <c r="J131" s="32"/>
      <c r="K131" s="32"/>
      <c r="L131" s="32"/>
      <c r="M131" s="32"/>
      <c r="N131" s="32">
        <f t="shared" si="26"/>
        <v>294.85543235</v>
      </c>
      <c r="O131" s="32">
        <f t="shared" si="26"/>
        <v>294.85543235</v>
      </c>
      <c r="P131" s="32">
        <f t="shared" si="26"/>
        <v>0</v>
      </c>
      <c r="Q131" s="32">
        <f t="shared" ref="Q131" si="44">H131/B131%-100</f>
        <v>401.89783928790655</v>
      </c>
      <c r="R131" s="32">
        <f t="shared" ref="R131" si="45">I131/C131%-100</f>
        <v>401.89783928790655</v>
      </c>
      <c r="S131" s="50" t="s">
        <v>30</v>
      </c>
      <c r="T131" s="7">
        <f>I131/C131</f>
        <v>5.0189783928790659</v>
      </c>
    </row>
    <row r="132" spans="1:24" x14ac:dyDescent="0.25">
      <c r="A132" s="269" t="s">
        <v>301</v>
      </c>
      <c r="B132" s="32">
        <v>153.67850000000001</v>
      </c>
      <c r="C132" s="32">
        <v>153.67850000000001</v>
      </c>
      <c r="D132" s="32"/>
      <c r="E132" s="32"/>
      <c r="F132" s="32"/>
      <c r="G132" s="32"/>
      <c r="H132" s="32">
        <v>190.37200887</v>
      </c>
      <c r="I132" s="32">
        <v>190.37200887</v>
      </c>
      <c r="J132" s="32"/>
      <c r="K132" s="32"/>
      <c r="L132" s="32"/>
      <c r="M132" s="32"/>
      <c r="N132" s="32">
        <f t="shared" si="26"/>
        <v>36.693508869999988</v>
      </c>
      <c r="O132" s="32">
        <f t="shared" si="26"/>
        <v>36.693508869999988</v>
      </c>
      <c r="P132" s="32">
        <f t="shared" si="26"/>
        <v>0</v>
      </c>
      <c r="Q132" s="32">
        <f t="shared" si="27"/>
        <v>23.876800508854515</v>
      </c>
      <c r="R132" s="32">
        <f t="shared" si="27"/>
        <v>23.876800508854515</v>
      </c>
      <c r="S132" s="50" t="s">
        <v>30</v>
      </c>
    </row>
    <row r="133" spans="1:24" ht="39.6" x14ac:dyDescent="0.25">
      <c r="A133" s="269" t="s">
        <v>302</v>
      </c>
      <c r="B133" s="32">
        <v>122.1302</v>
      </c>
      <c r="C133" s="32">
        <v>122.1302</v>
      </c>
      <c r="D133" s="32"/>
      <c r="E133" s="32"/>
      <c r="F133" s="32"/>
      <c r="G133" s="32"/>
      <c r="H133" s="32">
        <v>121.4149</v>
      </c>
      <c r="I133" s="32">
        <v>121.4149</v>
      </c>
      <c r="J133" s="32"/>
      <c r="K133" s="32"/>
      <c r="L133" s="32"/>
      <c r="M133" s="32"/>
      <c r="N133" s="32">
        <f t="shared" si="26"/>
        <v>-0.71529999999999916</v>
      </c>
      <c r="O133" s="32">
        <f t="shared" si="26"/>
        <v>-0.71529999999999916</v>
      </c>
      <c r="P133" s="32">
        <f t="shared" si="26"/>
        <v>0</v>
      </c>
      <c r="Q133" s="32">
        <f t="shared" si="27"/>
        <v>-0.58568642317788999</v>
      </c>
      <c r="R133" s="32">
        <f t="shared" si="27"/>
        <v>-0.58568642317788999</v>
      </c>
      <c r="S133" s="50" t="s">
        <v>30</v>
      </c>
    </row>
    <row r="134" spans="1:24" ht="26.4" hidden="1" x14ac:dyDescent="0.25">
      <c r="A134" s="269" t="s">
        <v>303</v>
      </c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>
        <f t="shared" si="26"/>
        <v>0</v>
      </c>
      <c r="O134" s="32">
        <f t="shared" si="26"/>
        <v>0</v>
      </c>
      <c r="P134" s="32">
        <f t="shared" si="26"/>
        <v>0</v>
      </c>
      <c r="Q134" s="54" t="s">
        <v>30</v>
      </c>
      <c r="R134" s="54" t="s">
        <v>30</v>
      </c>
      <c r="S134" s="50" t="s">
        <v>30</v>
      </c>
    </row>
    <row r="135" spans="1:24" ht="14.25" customHeight="1" x14ac:dyDescent="0.25">
      <c r="A135" s="269" t="s">
        <v>304</v>
      </c>
      <c r="B135" s="32">
        <v>8645.8687103400007</v>
      </c>
      <c r="C135" s="32">
        <v>8645.7494948799995</v>
      </c>
      <c r="D135" s="32">
        <v>0.11921546</v>
      </c>
      <c r="E135" s="32"/>
      <c r="F135" s="32"/>
      <c r="G135" s="32"/>
      <c r="H135" s="32">
        <v>1020.75118925</v>
      </c>
      <c r="I135" s="32">
        <v>1020.41683868</v>
      </c>
      <c r="J135" s="32">
        <v>0.33435057000000001</v>
      </c>
      <c r="K135" s="32"/>
      <c r="L135" s="32"/>
      <c r="M135" s="32"/>
      <c r="N135" s="32">
        <f t="shared" si="26"/>
        <v>-7625.117521090001</v>
      </c>
      <c r="O135" s="32">
        <f t="shared" si="26"/>
        <v>-7625.3326561999993</v>
      </c>
      <c r="P135" s="32">
        <f t="shared" si="26"/>
        <v>0.21513511000000002</v>
      </c>
      <c r="Q135" s="32">
        <f t="shared" si="27"/>
        <v>-88.193769493292962</v>
      </c>
      <c r="R135" s="32">
        <f t="shared" si="27"/>
        <v>-88.197473923061395</v>
      </c>
      <c r="S135" s="34">
        <f t="shared" si="28"/>
        <v>180.45906965422103</v>
      </c>
    </row>
    <row r="136" spans="1:24" x14ac:dyDescent="0.25">
      <c r="A136" s="107" t="s">
        <v>305</v>
      </c>
      <c r="B136" s="38">
        <v>13322.668742750002</v>
      </c>
      <c r="C136" s="38">
        <v>12574.236574320001</v>
      </c>
      <c r="D136" s="38">
        <v>2175.31158499</v>
      </c>
      <c r="E136" s="38"/>
      <c r="F136" s="38"/>
      <c r="G136" s="38"/>
      <c r="H136" s="38">
        <v>20884.413186040001</v>
      </c>
      <c r="I136" s="38">
        <v>20426.024674790002</v>
      </c>
      <c r="J136" s="38">
        <v>1735.6600702999999</v>
      </c>
      <c r="K136" s="38"/>
      <c r="L136" s="38"/>
      <c r="M136" s="38"/>
      <c r="N136" s="38">
        <f t="shared" si="26"/>
        <v>7561.7444432899993</v>
      </c>
      <c r="O136" s="38">
        <f t="shared" si="26"/>
        <v>7851.7881004700012</v>
      </c>
      <c r="P136" s="38">
        <f t="shared" si="26"/>
        <v>-439.65151469000011</v>
      </c>
      <c r="Q136" s="38">
        <f t="shared" si="27"/>
        <v>56.758481272042332</v>
      </c>
      <c r="R136" s="38">
        <f t="shared" si="27"/>
        <v>62.443457732499496</v>
      </c>
      <c r="S136" s="39">
        <f t="shared" si="28"/>
        <v>-20.210967372383166</v>
      </c>
      <c r="T136" s="7">
        <f>H136/H165%</f>
        <v>24.75803375475919</v>
      </c>
      <c r="U136" s="7">
        <f>I136/I165%</f>
        <v>28.885060609104805</v>
      </c>
      <c r="V136" s="7">
        <f>J136/J165%</f>
        <v>5.0569480080399298</v>
      </c>
      <c r="W136" s="7">
        <f>H136/B136</f>
        <v>1.5675848127204235</v>
      </c>
    </row>
    <row r="137" spans="1:24" x14ac:dyDescent="0.25">
      <c r="A137" s="269" t="s">
        <v>306</v>
      </c>
      <c r="B137" s="32">
        <v>147.44370863</v>
      </c>
      <c r="C137" s="32">
        <v>54.840919419999999</v>
      </c>
      <c r="D137" s="32">
        <v>92.602789209999997</v>
      </c>
      <c r="E137" s="32"/>
      <c r="F137" s="32"/>
      <c r="G137" s="32"/>
      <c r="H137" s="32">
        <v>204.40631053999999</v>
      </c>
      <c r="I137" s="32">
        <v>79.896461590000001</v>
      </c>
      <c r="J137" s="32">
        <v>124.50984895000001</v>
      </c>
      <c r="K137" s="32"/>
      <c r="L137" s="32"/>
      <c r="M137" s="32"/>
      <c r="N137" s="32">
        <f t="shared" si="26"/>
        <v>56.962601909999989</v>
      </c>
      <c r="O137" s="32">
        <f t="shared" si="26"/>
        <v>25.055542170000002</v>
      </c>
      <c r="P137" s="32">
        <f t="shared" si="26"/>
        <v>31.907059740000008</v>
      </c>
      <c r="Q137" s="32">
        <f t="shared" si="27"/>
        <v>38.6334570930685</v>
      </c>
      <c r="R137" s="32">
        <f t="shared" si="27"/>
        <v>45.687677075783057</v>
      </c>
      <c r="S137" s="34">
        <f t="shared" si="28"/>
        <v>34.455830123693971</v>
      </c>
    </row>
    <row r="138" spans="1:24" s="76" customFormat="1" hidden="1" x14ac:dyDescent="0.25">
      <c r="A138" s="275" t="s">
        <v>325</v>
      </c>
      <c r="B138" s="63"/>
      <c r="C138" s="63"/>
      <c r="D138" s="63"/>
      <c r="E138" s="63"/>
      <c r="F138" s="63"/>
      <c r="G138" s="63"/>
      <c r="H138" s="63">
        <v>19.075560059999997</v>
      </c>
      <c r="I138" s="63">
        <v>19.075560059999997</v>
      </c>
      <c r="J138" s="63">
        <v>0</v>
      </c>
      <c r="K138" s="63"/>
      <c r="L138" s="63"/>
      <c r="M138" s="63"/>
      <c r="N138" s="63"/>
      <c r="O138" s="63"/>
      <c r="P138" s="63"/>
      <c r="Q138" s="63"/>
      <c r="R138" s="63"/>
      <c r="S138" s="276"/>
      <c r="T138" s="75"/>
      <c r="U138" s="75"/>
      <c r="V138" s="75"/>
      <c r="W138" s="75"/>
      <c r="X138" s="75"/>
    </row>
    <row r="139" spans="1:24" x14ac:dyDescent="0.25">
      <c r="A139" s="261" t="s">
        <v>307</v>
      </c>
      <c r="B139" s="32">
        <v>2097.1695185600001</v>
      </c>
      <c r="C139" s="32">
        <v>2097.06851856</v>
      </c>
      <c r="D139" s="32">
        <v>0.10100000000000001</v>
      </c>
      <c r="E139" s="32"/>
      <c r="F139" s="32"/>
      <c r="G139" s="32"/>
      <c r="H139" s="32">
        <v>2101.2678100200001</v>
      </c>
      <c r="I139" s="32">
        <v>2101.23181002</v>
      </c>
      <c r="J139" s="32">
        <v>3.5999999999999997E-2</v>
      </c>
      <c r="K139" s="32"/>
      <c r="L139" s="32"/>
      <c r="M139" s="32"/>
      <c r="N139" s="32">
        <f t="shared" si="26"/>
        <v>4.0982914599999276</v>
      </c>
      <c r="O139" s="32">
        <f t="shared" si="26"/>
        <v>4.1632914599999822</v>
      </c>
      <c r="P139" s="32">
        <f t="shared" si="26"/>
        <v>-6.5000000000000002E-2</v>
      </c>
      <c r="Q139" s="32">
        <f t="shared" si="27"/>
        <v>0.19542013288530313</v>
      </c>
      <c r="R139" s="32">
        <f t="shared" si="27"/>
        <v>0.19852910971448523</v>
      </c>
      <c r="S139" s="34">
        <f t="shared" si="28"/>
        <v>-64.356435643564367</v>
      </c>
    </row>
    <row r="140" spans="1:24" x14ac:dyDescent="0.25">
      <c r="A140" s="261" t="s">
        <v>356</v>
      </c>
      <c r="B140" s="32">
        <v>8192.5885612500006</v>
      </c>
      <c r="C140" s="32">
        <v>7608.2038018599997</v>
      </c>
      <c r="D140" s="32">
        <v>1277.66450384</v>
      </c>
      <c r="E140" s="32"/>
      <c r="F140" s="32"/>
      <c r="G140" s="32"/>
      <c r="H140" s="32">
        <v>15574.865538100001</v>
      </c>
      <c r="I140" s="32">
        <v>15315.33893609</v>
      </c>
      <c r="J140" s="32">
        <v>797.67171039999994</v>
      </c>
      <c r="K140" s="32"/>
      <c r="L140" s="32"/>
      <c r="M140" s="32"/>
      <c r="N140" s="32">
        <f t="shared" si="26"/>
        <v>7382.2769768500002</v>
      </c>
      <c r="O140" s="32">
        <f t="shared" si="26"/>
        <v>7707.1351342300004</v>
      </c>
      <c r="P140" s="32">
        <f t="shared" si="26"/>
        <v>-479.99279344000001</v>
      </c>
      <c r="Q140" s="32">
        <f t="shared" si="27"/>
        <v>90.109211779135563</v>
      </c>
      <c r="R140" s="32">
        <f t="shared" si="27"/>
        <v>101.30032442540266</v>
      </c>
      <c r="S140" s="34">
        <f t="shared" si="28"/>
        <v>-37.567983770182977</v>
      </c>
      <c r="W140" s="7">
        <f>H140/B140</f>
        <v>1.9010921177913558</v>
      </c>
    </row>
    <row r="141" spans="1:24" s="76" customFormat="1" hidden="1" x14ac:dyDescent="0.25">
      <c r="A141" s="275" t="s">
        <v>325</v>
      </c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276"/>
      <c r="T141" s="75"/>
      <c r="U141" s="75"/>
      <c r="V141" s="75"/>
      <c r="W141" s="75"/>
      <c r="X141" s="75"/>
    </row>
    <row r="142" spans="1:24" x14ac:dyDescent="0.25">
      <c r="A142" s="269" t="s">
        <v>308</v>
      </c>
      <c r="B142" s="32">
        <v>2650.4227689499999</v>
      </c>
      <c r="C142" s="32">
        <v>2638.6649220700001</v>
      </c>
      <c r="D142" s="32">
        <v>600.39621767000006</v>
      </c>
      <c r="E142" s="32"/>
      <c r="F142" s="32"/>
      <c r="G142" s="32"/>
      <c r="H142" s="32">
        <v>2801.5705147800004</v>
      </c>
      <c r="I142" s="32">
        <v>2786.4615252199997</v>
      </c>
      <c r="J142" s="32">
        <v>616.43248930999994</v>
      </c>
      <c r="K142" s="32"/>
      <c r="L142" s="32"/>
      <c r="M142" s="32"/>
      <c r="N142" s="32">
        <f t="shared" si="26"/>
        <v>151.14774583000053</v>
      </c>
      <c r="O142" s="32">
        <f t="shared" si="26"/>
        <v>147.79660314999956</v>
      </c>
      <c r="P142" s="32">
        <f t="shared" si="26"/>
        <v>16.036271639999882</v>
      </c>
      <c r="Q142" s="32">
        <f t="shared" si="27"/>
        <v>5.7027787265002843</v>
      </c>
      <c r="R142" s="32">
        <f t="shared" si="27"/>
        <v>5.6011887645838385</v>
      </c>
      <c r="S142" s="34">
        <f t="shared" si="28"/>
        <v>2.6709481452486443</v>
      </c>
    </row>
    <row r="143" spans="1:24" s="76" customFormat="1" hidden="1" x14ac:dyDescent="0.25">
      <c r="A143" s="275" t="s">
        <v>325</v>
      </c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276"/>
      <c r="T143" s="75"/>
      <c r="U143" s="75"/>
      <c r="V143" s="75"/>
      <c r="W143" s="75"/>
      <c r="X143" s="75"/>
    </row>
    <row r="144" spans="1:24" ht="26.4" x14ac:dyDescent="0.25">
      <c r="A144" s="269" t="s">
        <v>309</v>
      </c>
      <c r="B144" s="32">
        <v>235.04418536</v>
      </c>
      <c r="C144" s="32">
        <v>175.45841240999999</v>
      </c>
      <c r="D144" s="32">
        <v>204.54707427</v>
      </c>
      <c r="E144" s="32"/>
      <c r="F144" s="32"/>
      <c r="G144" s="32"/>
      <c r="H144" s="32">
        <v>202.30301259999999</v>
      </c>
      <c r="I144" s="32">
        <v>143.09594187000002</v>
      </c>
      <c r="J144" s="32">
        <f>197.15848164-J145</f>
        <v>197.01002163999999</v>
      </c>
      <c r="K144" s="32"/>
      <c r="L144" s="32"/>
      <c r="M144" s="32"/>
      <c r="N144" s="32">
        <f t="shared" si="26"/>
        <v>-32.741172760000012</v>
      </c>
      <c r="O144" s="32">
        <f t="shared" si="26"/>
        <v>-32.362470539999975</v>
      </c>
      <c r="P144" s="32">
        <f t="shared" si="26"/>
        <v>-7.5370526300000051</v>
      </c>
      <c r="Q144" s="32">
        <f t="shared" si="27"/>
        <v>-13.929794821281263</v>
      </c>
      <c r="R144" s="32">
        <f t="shared" si="27"/>
        <v>-18.4445248851206</v>
      </c>
      <c r="S144" s="34">
        <f t="shared" si="28"/>
        <v>-3.684752107503229</v>
      </c>
    </row>
    <row r="145" spans="1:24" s="76" customFormat="1" hidden="1" x14ac:dyDescent="0.25">
      <c r="A145" s="275" t="s">
        <v>325</v>
      </c>
      <c r="B145" s="63"/>
      <c r="C145" s="63"/>
      <c r="D145" s="63"/>
      <c r="E145" s="63"/>
      <c r="F145" s="63"/>
      <c r="G145" s="63"/>
      <c r="H145" s="63">
        <v>0</v>
      </c>
      <c r="I145" s="63">
        <v>137.80295090999999</v>
      </c>
      <c r="J145" s="63">
        <v>0.14846000000000001</v>
      </c>
      <c r="K145" s="63"/>
      <c r="L145" s="63"/>
      <c r="M145" s="63"/>
      <c r="N145" s="63"/>
      <c r="O145" s="63"/>
      <c r="P145" s="63"/>
      <c r="Q145" s="63"/>
      <c r="R145" s="63"/>
      <c r="S145" s="276"/>
      <c r="T145" s="75"/>
      <c r="U145" s="75"/>
      <c r="V145" s="75"/>
      <c r="W145" s="75"/>
      <c r="X145" s="75"/>
    </row>
    <row r="146" spans="1:24" x14ac:dyDescent="0.25">
      <c r="A146" s="107" t="s">
        <v>310</v>
      </c>
      <c r="B146" s="38">
        <v>689.67210563000003</v>
      </c>
      <c r="C146" s="38">
        <v>590.62356133000003</v>
      </c>
      <c r="D146" s="38">
        <v>163.51143654000001</v>
      </c>
      <c r="E146" s="38"/>
      <c r="F146" s="38"/>
      <c r="G146" s="38"/>
      <c r="H146" s="38">
        <v>506.17845181000001</v>
      </c>
      <c r="I146" s="38">
        <v>400.32463889999997</v>
      </c>
      <c r="J146" s="38">
        <v>118.17535690999999</v>
      </c>
      <c r="K146" s="38"/>
      <c r="L146" s="38"/>
      <c r="M146" s="38"/>
      <c r="N146" s="38">
        <f t="shared" si="26"/>
        <v>-183.49365382000002</v>
      </c>
      <c r="O146" s="38">
        <f t="shared" si="26"/>
        <v>-190.29892243000006</v>
      </c>
      <c r="P146" s="38">
        <f t="shared" si="26"/>
        <v>-45.336079630000015</v>
      </c>
      <c r="Q146" s="38">
        <f t="shared" si="27"/>
        <v>-26.605926544235501</v>
      </c>
      <c r="R146" s="38">
        <f t="shared" si="27"/>
        <v>-32.220001857269978</v>
      </c>
      <c r="S146" s="39">
        <f t="shared" si="28"/>
        <v>-27.726549646519302</v>
      </c>
    </row>
    <row r="147" spans="1:24" x14ac:dyDescent="0.25">
      <c r="A147" s="269" t="s">
        <v>311</v>
      </c>
      <c r="B147" s="32">
        <v>7.7399228500000001</v>
      </c>
      <c r="C147" s="32"/>
      <c r="D147" s="32">
        <v>7.7399228500000001</v>
      </c>
      <c r="E147" s="32"/>
      <c r="F147" s="32"/>
      <c r="G147" s="32"/>
      <c r="H147" s="32">
        <v>29.164407409999999</v>
      </c>
      <c r="I147" s="32">
        <v>0</v>
      </c>
      <c r="J147" s="32">
        <f>30.05832741-J148</f>
        <v>29.164407409999999</v>
      </c>
      <c r="K147" s="32"/>
      <c r="L147" s="32"/>
      <c r="M147" s="32"/>
      <c r="N147" s="32">
        <f t="shared" si="26"/>
        <v>21.42448456</v>
      </c>
      <c r="O147" s="32">
        <f t="shared" si="26"/>
        <v>0</v>
      </c>
      <c r="P147" s="32">
        <f t="shared" si="26"/>
        <v>21.42448456</v>
      </c>
      <c r="Q147" s="32">
        <f t="shared" si="27"/>
        <v>276.80488520631701</v>
      </c>
      <c r="R147" s="54" t="s">
        <v>30</v>
      </c>
      <c r="S147" s="34">
        <f t="shared" si="28"/>
        <v>276.80488520631701</v>
      </c>
    </row>
    <row r="148" spans="1:24" s="76" customFormat="1" hidden="1" x14ac:dyDescent="0.25">
      <c r="A148" s="275" t="s">
        <v>325</v>
      </c>
      <c r="B148" s="63"/>
      <c r="C148" s="63"/>
      <c r="D148" s="63"/>
      <c r="E148" s="63"/>
      <c r="F148" s="63"/>
      <c r="G148" s="63"/>
      <c r="H148" s="63">
        <v>0</v>
      </c>
      <c r="I148" s="63">
        <v>0</v>
      </c>
      <c r="J148" s="63">
        <v>0.89392000000000005</v>
      </c>
      <c r="K148" s="63"/>
      <c r="L148" s="63"/>
      <c r="M148" s="63"/>
      <c r="N148" s="63"/>
      <c r="O148" s="63"/>
      <c r="P148" s="63"/>
      <c r="Q148" s="63"/>
      <c r="R148" s="63"/>
      <c r="S148" s="276"/>
      <c r="T148" s="75"/>
      <c r="U148" s="75"/>
      <c r="V148" s="75"/>
      <c r="W148" s="75"/>
      <c r="X148" s="75"/>
    </row>
    <row r="149" spans="1:24" x14ac:dyDescent="0.25">
      <c r="A149" s="269" t="s">
        <v>312</v>
      </c>
      <c r="B149" s="32">
        <v>292.83836024999999</v>
      </c>
      <c r="C149" s="32">
        <v>212.52416123</v>
      </c>
      <c r="D149" s="32">
        <v>144.16885126</v>
      </c>
      <c r="E149" s="32"/>
      <c r="F149" s="32"/>
      <c r="G149" s="32"/>
      <c r="H149" s="32">
        <v>94.573126239999993</v>
      </c>
      <c r="I149" s="32">
        <v>30.276050079999997</v>
      </c>
      <c r="J149" s="32">
        <f>79.11776016-J150</f>
        <v>76.618620160000006</v>
      </c>
      <c r="K149" s="32"/>
      <c r="L149" s="32"/>
      <c r="M149" s="32"/>
      <c r="N149" s="32">
        <f t="shared" si="26"/>
        <v>-198.26523401</v>
      </c>
      <c r="O149" s="32">
        <f t="shared" si="26"/>
        <v>-182.24811115</v>
      </c>
      <c r="P149" s="32">
        <f t="shared" si="26"/>
        <v>-67.550231099999991</v>
      </c>
      <c r="Q149" s="32">
        <f t="shared" si="27"/>
        <v>-67.704666096592788</v>
      </c>
      <c r="R149" s="32">
        <f t="shared" si="27"/>
        <v>-85.754066782442521</v>
      </c>
      <c r="S149" s="34">
        <f t="shared" si="28"/>
        <v>-46.854941625481317</v>
      </c>
    </row>
    <row r="150" spans="1:24" s="76" customFormat="1" hidden="1" x14ac:dyDescent="0.25">
      <c r="A150" s="275" t="s">
        <v>325</v>
      </c>
      <c r="B150" s="63"/>
      <c r="C150" s="63"/>
      <c r="D150" s="63"/>
      <c r="E150" s="63"/>
      <c r="F150" s="63"/>
      <c r="G150" s="63"/>
      <c r="H150" s="63">
        <v>0</v>
      </c>
      <c r="I150" s="63">
        <v>12.321543999999999</v>
      </c>
      <c r="J150" s="63">
        <v>2.4991400000000001</v>
      </c>
      <c r="K150" s="63"/>
      <c r="L150" s="63"/>
      <c r="M150" s="63"/>
      <c r="N150" s="63"/>
      <c r="O150" s="63"/>
      <c r="P150" s="63"/>
      <c r="Q150" s="63"/>
      <c r="R150" s="63"/>
      <c r="S150" s="276"/>
      <c r="T150" s="75"/>
      <c r="U150" s="75"/>
      <c r="V150" s="75"/>
      <c r="W150" s="75"/>
      <c r="X150" s="75"/>
    </row>
    <row r="151" spans="1:24" x14ac:dyDescent="0.25">
      <c r="A151" s="269" t="s">
        <v>313</v>
      </c>
      <c r="B151" s="32">
        <v>378.35976690000001</v>
      </c>
      <c r="C151" s="32">
        <v>378.09940010000003</v>
      </c>
      <c r="D151" s="32">
        <v>0.86860680000000001</v>
      </c>
      <c r="E151" s="32"/>
      <c r="F151" s="32"/>
      <c r="G151" s="32"/>
      <c r="H151" s="32">
        <v>354.76517110000003</v>
      </c>
      <c r="I151" s="32">
        <v>354.12540000000001</v>
      </c>
      <c r="J151" s="32">
        <v>0.63977109999999993</v>
      </c>
      <c r="K151" s="32"/>
      <c r="L151" s="32"/>
      <c r="M151" s="32"/>
      <c r="N151" s="32">
        <f t="shared" si="26"/>
        <v>-23.594595799999979</v>
      </c>
      <c r="O151" s="32">
        <f t="shared" si="26"/>
        <v>-23.974000100000012</v>
      </c>
      <c r="P151" s="32">
        <f t="shared" si="26"/>
        <v>-0.22883570000000009</v>
      </c>
      <c r="Q151" s="32">
        <f t="shared" si="27"/>
        <v>-6.2360213384516641</v>
      </c>
      <c r="R151" s="32">
        <f t="shared" si="27"/>
        <v>-6.3406607081786888</v>
      </c>
      <c r="S151" s="34">
        <f t="shared" si="28"/>
        <v>-26.345142589259041</v>
      </c>
    </row>
    <row r="152" spans="1:24" s="76" customFormat="1" hidden="1" x14ac:dyDescent="0.25">
      <c r="A152" s="275" t="s">
        <v>325</v>
      </c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276"/>
      <c r="T152" s="75"/>
      <c r="U152" s="75"/>
      <c r="V152" s="75"/>
      <c r="W152" s="75"/>
      <c r="X152" s="75"/>
    </row>
    <row r="153" spans="1:24" ht="26.4" x14ac:dyDescent="0.25">
      <c r="A153" s="269" t="s">
        <v>314</v>
      </c>
      <c r="B153" s="32">
        <v>10.73405563</v>
      </c>
      <c r="C153" s="32"/>
      <c r="D153" s="32">
        <v>10.73405563</v>
      </c>
      <c r="E153" s="32"/>
      <c r="F153" s="32"/>
      <c r="G153" s="32"/>
      <c r="H153" s="32">
        <v>27.675747059999999</v>
      </c>
      <c r="I153" s="32">
        <v>15.92318882</v>
      </c>
      <c r="J153" s="32">
        <f>12.20255824-J154</f>
        <v>11.752558240000001</v>
      </c>
      <c r="K153" s="32"/>
      <c r="L153" s="32"/>
      <c r="M153" s="32"/>
      <c r="N153" s="32">
        <f t="shared" si="26"/>
        <v>16.941691429999999</v>
      </c>
      <c r="O153" s="32">
        <f t="shared" si="26"/>
        <v>15.92318882</v>
      </c>
      <c r="P153" s="32">
        <f t="shared" si="26"/>
        <v>1.0185026100000005</v>
      </c>
      <c r="Q153" s="32">
        <f t="shared" si="27"/>
        <v>157.83122441298542</v>
      </c>
      <c r="R153" s="54" t="s">
        <v>30</v>
      </c>
      <c r="S153" s="34">
        <f t="shared" si="28"/>
        <v>9.4885162245055454</v>
      </c>
    </row>
    <row r="154" spans="1:24" s="76" customFormat="1" hidden="1" x14ac:dyDescent="0.25">
      <c r="A154" s="275" t="s">
        <v>325</v>
      </c>
      <c r="B154" s="63"/>
      <c r="C154" s="63"/>
      <c r="D154" s="63"/>
      <c r="E154" s="63"/>
      <c r="F154" s="63"/>
      <c r="G154" s="63"/>
      <c r="H154" s="63">
        <v>0</v>
      </c>
      <c r="I154" s="63">
        <v>0</v>
      </c>
      <c r="J154" s="63">
        <v>0.45</v>
      </c>
      <c r="K154" s="63"/>
      <c r="L154" s="63"/>
      <c r="M154" s="63"/>
      <c r="N154" s="63"/>
      <c r="O154" s="63"/>
      <c r="P154" s="63"/>
      <c r="Q154" s="63"/>
      <c r="R154" s="63"/>
      <c r="S154" s="276"/>
      <c r="T154" s="75"/>
      <c r="U154" s="75"/>
      <c r="V154" s="75"/>
      <c r="W154" s="75"/>
      <c r="X154" s="75"/>
    </row>
    <row r="155" spans="1:24" x14ac:dyDescent="0.25">
      <c r="A155" s="107" t="s">
        <v>315</v>
      </c>
      <c r="B155" s="38">
        <v>111.10401002</v>
      </c>
      <c r="C155" s="38">
        <v>91.729981470000013</v>
      </c>
      <c r="D155" s="38">
        <v>19.374028549999998</v>
      </c>
      <c r="E155" s="38"/>
      <c r="F155" s="38"/>
      <c r="G155" s="38"/>
      <c r="H155" s="38">
        <v>117.93749724</v>
      </c>
      <c r="I155" s="38">
        <v>95.037173799999991</v>
      </c>
      <c r="J155" s="38">
        <v>22.900323440000001</v>
      </c>
      <c r="K155" s="38"/>
      <c r="L155" s="38"/>
      <c r="M155" s="38"/>
      <c r="N155" s="38">
        <f>H155-B155</f>
        <v>6.833487219999995</v>
      </c>
      <c r="O155" s="38">
        <f t="shared" si="26"/>
        <v>3.3071923299999781</v>
      </c>
      <c r="P155" s="38">
        <f t="shared" si="26"/>
        <v>3.5262948900000026</v>
      </c>
      <c r="Q155" s="38">
        <f t="shared" si="27"/>
        <v>6.1505315773660101</v>
      </c>
      <c r="R155" s="38">
        <f t="shared" si="27"/>
        <v>3.6053559337974832</v>
      </c>
      <c r="S155" s="39">
        <f t="shared" si="28"/>
        <v>18.201144283954307</v>
      </c>
    </row>
    <row r="156" spans="1:24" x14ac:dyDescent="0.25">
      <c r="A156" s="269" t="s">
        <v>316</v>
      </c>
      <c r="B156" s="32"/>
      <c r="C156" s="32"/>
      <c r="D156" s="32"/>
      <c r="E156" s="32"/>
      <c r="F156" s="32"/>
      <c r="G156" s="32"/>
      <c r="H156" s="32">
        <v>6.5703234400000001</v>
      </c>
      <c r="I156" s="32">
        <v>0</v>
      </c>
      <c r="J156" s="32">
        <v>6.5703234400000001</v>
      </c>
      <c r="K156" s="32"/>
      <c r="L156" s="32"/>
      <c r="M156" s="32"/>
      <c r="N156" s="32">
        <f t="shared" ref="N156:P170" si="46">H156-B156</f>
        <v>6.5703234400000001</v>
      </c>
      <c r="O156" s="32">
        <f t="shared" si="26"/>
        <v>0</v>
      </c>
      <c r="P156" s="32">
        <f t="shared" si="26"/>
        <v>6.5703234400000001</v>
      </c>
      <c r="Q156" s="54" t="s">
        <v>30</v>
      </c>
      <c r="R156" s="54" t="s">
        <v>30</v>
      </c>
      <c r="S156" s="50" t="s">
        <v>30</v>
      </c>
    </row>
    <row r="157" spans="1:24" x14ac:dyDescent="0.25">
      <c r="A157" s="269" t="s">
        <v>317</v>
      </c>
      <c r="B157" s="32">
        <v>65.157728550000002</v>
      </c>
      <c r="C157" s="32">
        <v>45.783700000000003</v>
      </c>
      <c r="D157" s="32">
        <v>19.374028549999998</v>
      </c>
      <c r="E157" s="32"/>
      <c r="F157" s="32"/>
      <c r="G157" s="32"/>
      <c r="H157" s="32">
        <v>88.133459999999999</v>
      </c>
      <c r="I157" s="32">
        <v>71.803460000000001</v>
      </c>
      <c r="J157" s="32">
        <v>16.329999999999998</v>
      </c>
      <c r="K157" s="32"/>
      <c r="L157" s="32"/>
      <c r="M157" s="32"/>
      <c r="N157" s="32">
        <f t="shared" si="46"/>
        <v>22.975731449999998</v>
      </c>
      <c r="O157" s="32">
        <f t="shared" si="26"/>
        <v>26.019759999999998</v>
      </c>
      <c r="P157" s="32">
        <f t="shared" si="26"/>
        <v>-3.0440285500000002</v>
      </c>
      <c r="Q157" s="32">
        <f t="shared" si="27"/>
        <v>35.261713324412682</v>
      </c>
      <c r="R157" s="32">
        <f t="shared" si="27"/>
        <v>56.831929267403012</v>
      </c>
      <c r="S157" s="34">
        <f t="shared" si="28"/>
        <v>-15.711902881447969</v>
      </c>
    </row>
    <row r="158" spans="1:24" ht="26.4" x14ac:dyDescent="0.25">
      <c r="A158" s="269" t="s">
        <v>318</v>
      </c>
      <c r="B158" s="32">
        <v>45.946281470000002</v>
      </c>
      <c r="C158" s="32">
        <v>45.946281470000002</v>
      </c>
      <c r="D158" s="32"/>
      <c r="E158" s="32"/>
      <c r="F158" s="32"/>
      <c r="G158" s="32"/>
      <c r="H158" s="32">
        <v>23.2337138</v>
      </c>
      <c r="I158" s="32">
        <v>23.2337138</v>
      </c>
      <c r="J158" s="32">
        <v>0</v>
      </c>
      <c r="K158" s="32"/>
      <c r="L158" s="32"/>
      <c r="M158" s="32"/>
      <c r="N158" s="32">
        <f t="shared" si="46"/>
        <v>-22.712567670000002</v>
      </c>
      <c r="O158" s="32">
        <f t="shared" si="26"/>
        <v>-22.712567670000002</v>
      </c>
      <c r="P158" s="32">
        <f t="shared" si="26"/>
        <v>0</v>
      </c>
      <c r="Q158" s="32">
        <f t="shared" si="27"/>
        <v>-49.432874529421632</v>
      </c>
      <c r="R158" s="32">
        <f t="shared" si="27"/>
        <v>-49.432874529421632</v>
      </c>
      <c r="S158" s="50" t="s">
        <v>30</v>
      </c>
    </row>
    <row r="159" spans="1:24" ht="26.4" x14ac:dyDescent="0.25">
      <c r="A159" s="107" t="s">
        <v>319</v>
      </c>
      <c r="B159" s="38">
        <v>1450.7279762400001</v>
      </c>
      <c r="C159" s="38">
        <v>1119.8807372900001</v>
      </c>
      <c r="D159" s="38">
        <v>331.55870562000001</v>
      </c>
      <c r="E159" s="38"/>
      <c r="F159" s="38"/>
      <c r="G159" s="38"/>
      <c r="H159" s="38">
        <v>1895.3585289600001</v>
      </c>
      <c r="I159" s="38">
        <v>1595.96193735</v>
      </c>
      <c r="J159" s="38">
        <v>300.10805827999997</v>
      </c>
      <c r="K159" s="38">
        <f t="shared" ref="K159:M159" si="47">+K160</f>
        <v>0</v>
      </c>
      <c r="L159" s="38">
        <f t="shared" si="47"/>
        <v>0</v>
      </c>
      <c r="M159" s="38">
        <f t="shared" si="47"/>
        <v>0</v>
      </c>
      <c r="N159" s="38">
        <f t="shared" si="46"/>
        <v>444.63055271999997</v>
      </c>
      <c r="O159" s="38">
        <f t="shared" si="26"/>
        <v>476.0812000599999</v>
      </c>
      <c r="P159" s="38">
        <f t="shared" si="26"/>
        <v>-31.450647340000046</v>
      </c>
      <c r="Q159" s="38">
        <f t="shared" si="27"/>
        <v>30.648788746212404</v>
      </c>
      <c r="R159" s="38">
        <f t="shared" si="27"/>
        <v>42.511776853316462</v>
      </c>
      <c r="S159" s="39">
        <f t="shared" si="28"/>
        <v>-9.4856949333267266</v>
      </c>
    </row>
    <row r="160" spans="1:24" ht="26.4" x14ac:dyDescent="0.25">
      <c r="A160" s="269" t="s">
        <v>320</v>
      </c>
      <c r="B160" s="32">
        <v>1450.7279762400001</v>
      </c>
      <c r="C160" s="32">
        <v>1119.8807372900001</v>
      </c>
      <c r="D160" s="32">
        <v>331.55870562000001</v>
      </c>
      <c r="E160" s="32"/>
      <c r="F160" s="32"/>
      <c r="G160" s="32"/>
      <c r="H160" s="32">
        <v>1895.3585289600001</v>
      </c>
      <c r="I160" s="32">
        <v>1595.96193735</v>
      </c>
      <c r="J160" s="32">
        <v>300.10805827999997</v>
      </c>
      <c r="K160" s="32"/>
      <c r="L160" s="32"/>
      <c r="M160" s="32"/>
      <c r="N160" s="32">
        <f t="shared" si="46"/>
        <v>444.63055271999997</v>
      </c>
      <c r="O160" s="32">
        <f t="shared" si="26"/>
        <v>476.0812000599999</v>
      </c>
      <c r="P160" s="32">
        <f t="shared" si="26"/>
        <v>-31.450647340000046</v>
      </c>
      <c r="Q160" s="32">
        <f t="shared" si="27"/>
        <v>30.648788746212404</v>
      </c>
      <c r="R160" s="32">
        <f t="shared" si="27"/>
        <v>42.511776853316462</v>
      </c>
      <c r="S160" s="34">
        <f t="shared" si="28"/>
        <v>-9.4856949333267266</v>
      </c>
    </row>
    <row r="161" spans="1:24" ht="39.6" x14ac:dyDescent="0.25">
      <c r="A161" s="107" t="s">
        <v>321</v>
      </c>
      <c r="B161" s="38"/>
      <c r="C161" s="38">
        <v>3389.8838220299999</v>
      </c>
      <c r="D161" s="38"/>
      <c r="E161" s="38"/>
      <c r="F161" s="38"/>
      <c r="G161" s="38"/>
      <c r="H161" s="38"/>
      <c r="I161" s="38">
        <v>3336.6743012299999</v>
      </c>
      <c r="J161" s="38"/>
      <c r="K161" s="38">
        <f t="shared" ref="K161:M161" si="48">SUM(K162:K164)</f>
        <v>0</v>
      </c>
      <c r="L161" s="38">
        <f t="shared" si="48"/>
        <v>0</v>
      </c>
      <c r="M161" s="38">
        <f t="shared" si="48"/>
        <v>0</v>
      </c>
      <c r="N161" s="38"/>
      <c r="O161" s="38">
        <f t="shared" si="26"/>
        <v>-53.209520800000064</v>
      </c>
      <c r="P161" s="38"/>
      <c r="Q161" s="109" t="s">
        <v>30</v>
      </c>
      <c r="R161" s="38">
        <f t="shared" si="27"/>
        <v>-1.569656176834286</v>
      </c>
      <c r="S161" s="116" t="s">
        <v>30</v>
      </c>
    </row>
    <row r="162" spans="1:24" ht="39.6" x14ac:dyDescent="0.25">
      <c r="A162" s="269" t="s">
        <v>322</v>
      </c>
      <c r="B162" s="32"/>
      <c r="C162" s="32">
        <v>1219.05299195</v>
      </c>
      <c r="D162" s="32"/>
      <c r="E162" s="32"/>
      <c r="F162" s="32"/>
      <c r="G162" s="32"/>
      <c r="H162" s="32"/>
      <c r="I162" s="32">
        <v>1303.4321</v>
      </c>
      <c r="J162" s="32"/>
      <c r="K162" s="32"/>
      <c r="L162" s="32"/>
      <c r="M162" s="32"/>
      <c r="N162" s="32"/>
      <c r="O162" s="32">
        <f t="shared" si="26"/>
        <v>84.379108050000013</v>
      </c>
      <c r="P162" s="32"/>
      <c r="Q162" s="54" t="s">
        <v>30</v>
      </c>
      <c r="R162" s="32">
        <f t="shared" si="27"/>
        <v>6.9216932001476863</v>
      </c>
      <c r="S162" s="50" t="s">
        <v>30</v>
      </c>
    </row>
    <row r="163" spans="1:24" x14ac:dyDescent="0.25">
      <c r="A163" s="269" t="s">
        <v>323</v>
      </c>
      <c r="B163" s="32"/>
      <c r="C163" s="32">
        <v>172.49760000000001</v>
      </c>
      <c r="D163" s="32"/>
      <c r="E163" s="32"/>
      <c r="F163" s="32"/>
      <c r="G163" s="32"/>
      <c r="H163" s="32"/>
      <c r="I163" s="32">
        <v>229.42746965999999</v>
      </c>
      <c r="J163" s="32"/>
      <c r="K163" s="32"/>
      <c r="L163" s="32"/>
      <c r="M163" s="32"/>
      <c r="N163" s="32"/>
      <c r="O163" s="32">
        <f t="shared" si="26"/>
        <v>56.92986965999998</v>
      </c>
      <c r="P163" s="32"/>
      <c r="Q163" s="54" t="s">
        <v>30</v>
      </c>
      <c r="R163" s="32">
        <f t="shared" si="27"/>
        <v>33.003282167404052</v>
      </c>
      <c r="S163" s="50" t="s">
        <v>30</v>
      </c>
    </row>
    <row r="164" spans="1:24" ht="26.4" x14ac:dyDescent="0.25">
      <c r="A164" s="269" t="s">
        <v>324</v>
      </c>
      <c r="B164" s="32"/>
      <c r="C164" s="32">
        <v>1998.33323008</v>
      </c>
      <c r="D164" s="32"/>
      <c r="E164" s="32"/>
      <c r="F164" s="32"/>
      <c r="G164" s="32"/>
      <c r="H164" s="32"/>
      <c r="I164" s="32">
        <v>1803.8147315699998</v>
      </c>
      <c r="J164" s="32"/>
      <c r="K164" s="32"/>
      <c r="L164" s="32"/>
      <c r="M164" s="32"/>
      <c r="N164" s="32"/>
      <c r="O164" s="32">
        <f t="shared" si="26"/>
        <v>-194.5184985100002</v>
      </c>
      <c r="P164" s="32"/>
      <c r="Q164" s="54" t="s">
        <v>30</v>
      </c>
      <c r="R164" s="32">
        <f t="shared" si="27"/>
        <v>-9.7340371256405973</v>
      </c>
      <c r="S164" s="50" t="s">
        <v>30</v>
      </c>
    </row>
    <row r="165" spans="1:24" s="42" customFormat="1" x14ac:dyDescent="0.25">
      <c r="A165" s="266" t="s">
        <v>103</v>
      </c>
      <c r="B165" s="267">
        <f t="shared" ref="B165:J165" si="49">+B52+B68+B71+B78+B94+B103+B108+B122+B127+B136+B146+B155+B159+B161</f>
        <v>81717.463054680004</v>
      </c>
      <c r="C165" s="267">
        <f t="shared" si="49"/>
        <v>68059.140593820004</v>
      </c>
      <c r="D165" s="267">
        <f t="shared" si="49"/>
        <v>34159.715291570006</v>
      </c>
      <c r="E165" s="267">
        <f t="shared" si="49"/>
        <v>0</v>
      </c>
      <c r="F165" s="267">
        <f t="shared" si="49"/>
        <v>0</v>
      </c>
      <c r="G165" s="267">
        <f t="shared" si="49"/>
        <v>0</v>
      </c>
      <c r="H165" s="267">
        <f t="shared" si="49"/>
        <v>84354.086406499991</v>
      </c>
      <c r="I165" s="267">
        <f t="shared" si="49"/>
        <v>70714.840973369995</v>
      </c>
      <c r="J165" s="267">
        <f t="shared" si="49"/>
        <v>34322.284261979999</v>
      </c>
      <c r="K165" s="267"/>
      <c r="L165" s="267"/>
      <c r="M165" s="267"/>
      <c r="N165" s="267">
        <f t="shared" si="46"/>
        <v>2636.6233518199879</v>
      </c>
      <c r="O165" s="267">
        <f t="shared" si="26"/>
        <v>2655.7003795499913</v>
      </c>
      <c r="P165" s="267">
        <f t="shared" si="26"/>
        <v>162.5689704099932</v>
      </c>
      <c r="Q165" s="267">
        <f t="shared" si="27"/>
        <v>3.2265115108330491</v>
      </c>
      <c r="R165" s="267">
        <f t="shared" si="27"/>
        <v>3.9020480664005532</v>
      </c>
      <c r="S165" s="268">
        <f t="shared" si="28"/>
        <v>0.47590844660848575</v>
      </c>
      <c r="T165" s="68"/>
      <c r="U165" s="68"/>
      <c r="V165" s="68"/>
      <c r="W165" s="68"/>
      <c r="X165" s="68"/>
    </row>
    <row r="166" spans="1:24" s="42" customFormat="1" ht="26.4" x14ac:dyDescent="0.25">
      <c r="A166" s="121" t="s">
        <v>106</v>
      </c>
      <c r="B166" s="356">
        <f t="shared" ref="B166:M166" si="50">+B48-B165</f>
        <v>-5439.5952965499891</v>
      </c>
      <c r="C166" s="356">
        <f t="shared" si="50"/>
        <v>-4021.9887611000013</v>
      </c>
      <c r="D166" s="356">
        <f t="shared" si="50"/>
        <v>-1417.6065354500097</v>
      </c>
      <c r="E166" s="356">
        <f t="shared" si="50"/>
        <v>0</v>
      </c>
      <c r="F166" s="356">
        <f t="shared" si="50"/>
        <v>0</v>
      </c>
      <c r="G166" s="356">
        <f t="shared" si="50"/>
        <v>0</v>
      </c>
      <c r="H166" s="356">
        <f t="shared" si="50"/>
        <v>-944.84299551000004</v>
      </c>
      <c r="I166" s="356">
        <f t="shared" si="50"/>
        <v>-839.28774347998842</v>
      </c>
      <c r="J166" s="356">
        <f t="shared" si="50"/>
        <v>-105.55525202998979</v>
      </c>
      <c r="K166" s="356">
        <f t="shared" si="50"/>
        <v>18047.763029440001</v>
      </c>
      <c r="L166" s="356">
        <f t="shared" si="50"/>
        <v>15144.476821979999</v>
      </c>
      <c r="M166" s="356">
        <f t="shared" si="50"/>
        <v>4194.2491358299994</v>
      </c>
      <c r="N166" s="356">
        <f t="shared" si="46"/>
        <v>4494.7523010399891</v>
      </c>
      <c r="O166" s="356">
        <f t="shared" si="26"/>
        <v>3182.7010176200129</v>
      </c>
      <c r="P166" s="356">
        <f t="shared" si="26"/>
        <v>1312.0512834200199</v>
      </c>
      <c r="Q166" s="356"/>
      <c r="R166" s="356"/>
      <c r="S166" s="357"/>
      <c r="T166" s="68"/>
      <c r="U166" s="68"/>
      <c r="V166" s="68"/>
      <c r="W166" s="68"/>
      <c r="X166" s="68"/>
    </row>
    <row r="167" spans="1:24" s="42" customFormat="1" ht="26.4" x14ac:dyDescent="0.25">
      <c r="A167" s="35" t="s">
        <v>110</v>
      </c>
      <c r="B167" s="38">
        <v>5439.5952965500001</v>
      </c>
      <c r="C167" s="38">
        <v>4021.9887610999999</v>
      </c>
      <c r="D167" s="38">
        <v>1417.6065354499999</v>
      </c>
      <c r="E167" s="38"/>
      <c r="F167" s="38"/>
      <c r="G167" s="38"/>
      <c r="H167" s="38">
        <v>944.84299551000004</v>
      </c>
      <c r="I167" s="38">
        <v>839.28774348000002</v>
      </c>
      <c r="J167" s="38">
        <v>105.55525203000001</v>
      </c>
      <c r="K167" s="38"/>
      <c r="L167" s="38"/>
      <c r="M167" s="38"/>
      <c r="N167" s="38">
        <f t="shared" si="46"/>
        <v>-4494.75230104</v>
      </c>
      <c r="O167" s="38">
        <f t="shared" si="26"/>
        <v>-3182.7010176200001</v>
      </c>
      <c r="P167" s="38">
        <f t="shared" si="26"/>
        <v>-1312.0512834199999</v>
      </c>
      <c r="Q167" s="38">
        <f t="shared" si="27"/>
        <v>-82.630270378583944</v>
      </c>
      <c r="R167" s="38">
        <f t="shared" si="27"/>
        <v>-79.13251892701814</v>
      </c>
      <c r="S167" s="39">
        <f t="shared" si="28"/>
        <v>-92.553980996109544</v>
      </c>
      <c r="T167" s="68"/>
      <c r="U167" s="68"/>
      <c r="V167" s="68"/>
      <c r="W167" s="68"/>
      <c r="X167" s="68"/>
    </row>
    <row r="168" spans="1:24" x14ac:dyDescent="0.25">
      <c r="A168" s="43" t="s">
        <v>111</v>
      </c>
      <c r="B168" s="32">
        <v>-609.91539999999998</v>
      </c>
      <c r="C168" s="32">
        <v>-1003.6803</v>
      </c>
      <c r="D168" s="32">
        <v>393.76490000000001</v>
      </c>
      <c r="E168" s="32"/>
      <c r="F168" s="32"/>
      <c r="G168" s="32"/>
      <c r="H168" s="32">
        <v>5153.4928170000003</v>
      </c>
      <c r="I168" s="32">
        <v>5045.3148179999998</v>
      </c>
      <c r="J168" s="32">
        <v>108.177999</v>
      </c>
      <c r="K168" s="32"/>
      <c r="L168" s="32"/>
      <c r="M168" s="32"/>
      <c r="N168" s="32">
        <f t="shared" si="46"/>
        <v>5763.4082170000001</v>
      </c>
      <c r="O168" s="32">
        <f t="shared" si="26"/>
        <v>6048.9951179999998</v>
      </c>
      <c r="P168" s="32">
        <f t="shared" si="26"/>
        <v>-285.58690100000001</v>
      </c>
      <c r="Q168" s="32"/>
      <c r="R168" s="32"/>
      <c r="S168" s="34"/>
    </row>
    <row r="169" spans="1:24" x14ac:dyDescent="0.25">
      <c r="A169" s="43" t="s">
        <v>112</v>
      </c>
      <c r="B169" s="32">
        <v>4838.8771999999999</v>
      </c>
      <c r="C169" s="32">
        <v>4838.8771999999999</v>
      </c>
      <c r="D169" s="32">
        <v>0</v>
      </c>
      <c r="E169" s="32"/>
      <c r="F169" s="32"/>
      <c r="G169" s="32"/>
      <c r="H169" s="32">
        <v>-5144.0370000000003</v>
      </c>
      <c r="I169" s="32">
        <v>-5144.0370000000003</v>
      </c>
      <c r="J169" s="32"/>
      <c r="K169" s="32"/>
      <c r="L169" s="32"/>
      <c r="M169" s="32"/>
      <c r="N169" s="32">
        <f t="shared" si="46"/>
        <v>-9982.9141999999993</v>
      </c>
      <c r="O169" s="32">
        <f t="shared" si="26"/>
        <v>-9982.9141999999993</v>
      </c>
      <c r="P169" s="32">
        <f t="shared" si="26"/>
        <v>0</v>
      </c>
      <c r="Q169" s="32"/>
      <c r="R169" s="32"/>
      <c r="S169" s="34"/>
    </row>
    <row r="170" spans="1:24" ht="26.4" x14ac:dyDescent="0.25">
      <c r="A170" s="43" t="s">
        <v>113</v>
      </c>
      <c r="B170" s="32">
        <v>16.684550000000002</v>
      </c>
      <c r="C170" s="32">
        <v>10.66455</v>
      </c>
      <c r="D170" s="32">
        <v>6.02</v>
      </c>
      <c r="E170" s="32"/>
      <c r="F170" s="32"/>
      <c r="G170" s="32"/>
      <c r="H170" s="32">
        <v>78.06765</v>
      </c>
      <c r="I170" s="32">
        <v>78.06765</v>
      </c>
      <c r="J170" s="32"/>
      <c r="K170" s="32"/>
      <c r="L170" s="32"/>
      <c r="M170" s="32"/>
      <c r="N170" s="32">
        <f t="shared" si="46"/>
        <v>61.383099999999999</v>
      </c>
      <c r="O170" s="32">
        <f t="shared" si="46"/>
        <v>67.403099999999995</v>
      </c>
      <c r="P170" s="32">
        <f t="shared" si="46"/>
        <v>-6.02</v>
      </c>
      <c r="Q170" s="32">
        <f t="shared" ref="Q170" si="51">H170/B170%-100</f>
        <v>367.90383918055926</v>
      </c>
      <c r="R170" s="32">
        <f t="shared" ref="R170" si="52">I170/C170%-100</f>
        <v>632.02948085010621</v>
      </c>
      <c r="S170" s="34">
        <f t="shared" ref="S170" si="53">J170/D170%-100</f>
        <v>-100</v>
      </c>
    </row>
    <row r="171" spans="1:24" x14ac:dyDescent="0.25">
      <c r="A171" s="43" t="s">
        <v>115</v>
      </c>
      <c r="B171" s="32">
        <v>3.84349607</v>
      </c>
      <c r="C171" s="32">
        <v>3.84349607</v>
      </c>
      <c r="D171" s="32">
        <v>0</v>
      </c>
      <c r="E171" s="32"/>
      <c r="F171" s="32"/>
      <c r="G171" s="32"/>
      <c r="H171" s="32">
        <v>80.636551540000013</v>
      </c>
      <c r="I171" s="32">
        <v>80.636551540000013</v>
      </c>
      <c r="J171" s="32"/>
      <c r="K171" s="32"/>
      <c r="L171" s="32"/>
      <c r="M171" s="32"/>
      <c r="N171" s="32">
        <f t="shared" ref="N171:N172" si="54">H171-B171</f>
        <v>76.793055470000013</v>
      </c>
      <c r="O171" s="32">
        <f t="shared" ref="O171:O172" si="55">I171-C171</f>
        <v>76.793055470000013</v>
      </c>
      <c r="P171" s="32">
        <f t="shared" ref="P171:P172" si="56">J171-D171</f>
        <v>0</v>
      </c>
      <c r="Q171" s="32">
        <f t="shared" ref="Q171" si="57">H171/B171%-100</f>
        <v>1998.0001038481619</v>
      </c>
      <c r="R171" s="32">
        <f t="shared" ref="R171" si="58">I171/C171%-100</f>
        <v>1998.0001038481619</v>
      </c>
      <c r="S171" s="50"/>
    </row>
    <row r="172" spans="1:24" ht="26.4" hidden="1" x14ac:dyDescent="0.25">
      <c r="A172" s="277" t="s">
        <v>326</v>
      </c>
      <c r="B172" s="278"/>
      <c r="C172" s="278"/>
      <c r="D172" s="278"/>
      <c r="E172" s="278"/>
      <c r="F172" s="278"/>
      <c r="G172" s="278"/>
      <c r="H172" s="278"/>
      <c r="I172" s="278"/>
      <c r="J172" s="278"/>
      <c r="K172" s="278"/>
      <c r="L172" s="278"/>
      <c r="M172" s="278"/>
      <c r="N172" s="32">
        <f t="shared" si="54"/>
        <v>0</v>
      </c>
      <c r="O172" s="32">
        <f t="shared" si="55"/>
        <v>0</v>
      </c>
      <c r="P172" s="32">
        <f t="shared" si="56"/>
        <v>0</v>
      </c>
      <c r="Q172" s="32"/>
      <c r="R172" s="32"/>
      <c r="S172" s="34"/>
    </row>
    <row r="173" spans="1:24" ht="13.8" thickBot="1" x14ac:dyDescent="0.3">
      <c r="A173" s="156" t="s">
        <v>117</v>
      </c>
      <c r="B173" s="159">
        <v>1190.1054504799999</v>
      </c>
      <c r="C173" s="159">
        <v>172.28381503</v>
      </c>
      <c r="D173" s="159">
        <v>1017.82163545</v>
      </c>
      <c r="E173" s="159"/>
      <c r="F173" s="159"/>
      <c r="G173" s="159"/>
      <c r="H173" s="159">
        <v>776.68297697000003</v>
      </c>
      <c r="I173" s="159">
        <v>779.30572394000001</v>
      </c>
      <c r="J173" s="159">
        <v>-2.6227469699999988</v>
      </c>
      <c r="K173" s="159"/>
      <c r="L173" s="159"/>
      <c r="M173" s="159"/>
      <c r="N173" s="159">
        <f t="shared" ref="N173:P173" si="59">H173-B173</f>
        <v>-413.42247350999992</v>
      </c>
      <c r="O173" s="159">
        <f t="shared" si="59"/>
        <v>607.02190890999998</v>
      </c>
      <c r="P173" s="159">
        <f t="shared" si="59"/>
        <v>-1020.44438242</v>
      </c>
      <c r="Q173" s="159">
        <f t="shared" ref="Q173" si="60">H173/B173%-100</f>
        <v>-34.7383060335751</v>
      </c>
      <c r="R173" s="159">
        <f t="shared" ref="R173" si="61">I173/C173%-100</f>
        <v>352.3383254569203</v>
      </c>
      <c r="S173" s="160"/>
    </row>
    <row r="174" spans="1:24" ht="13.8" thickTop="1" x14ac:dyDescent="0.25"/>
    <row r="175" spans="1:24" x14ac:dyDescent="0.25">
      <c r="I175" s="7"/>
    </row>
    <row r="176" spans="1:24" x14ac:dyDescent="0.25">
      <c r="H176" s="7"/>
      <c r="I176" s="7"/>
    </row>
  </sheetData>
  <mergeCells count="25">
    <mergeCell ref="N5:N7"/>
    <mergeCell ref="O5:P5"/>
    <mergeCell ref="Q5:Q7"/>
    <mergeCell ref="R5:S5"/>
    <mergeCell ref="K6:M6"/>
    <mergeCell ref="O6:O7"/>
    <mergeCell ref="P6:P7"/>
    <mergeCell ref="R6:R7"/>
    <mergeCell ref="S6:S7"/>
    <mergeCell ref="Q1:S1"/>
    <mergeCell ref="A2:S2"/>
    <mergeCell ref="A4:A7"/>
    <mergeCell ref="B4:G4"/>
    <mergeCell ref="H4:M4"/>
    <mergeCell ref="N4:P4"/>
    <mergeCell ref="Q4:S4"/>
    <mergeCell ref="B5:B7"/>
    <mergeCell ref="C5:G5"/>
    <mergeCell ref="H5:H7"/>
    <mergeCell ref="C6:C7"/>
    <mergeCell ref="D6:D7"/>
    <mergeCell ref="E6:G6"/>
    <mergeCell ref="I6:I7"/>
    <mergeCell ref="J6:J7"/>
    <mergeCell ref="I5:M5"/>
  </mergeCells>
  <pageMargins left="0" right="0" top="0.55118110236220474" bottom="0.35433070866141736" header="0.31496062992125984" footer="0.11811023622047245"/>
  <pageSetup paperSize="9" scale="91" fitToHeight="100" orientation="landscape" r:id="rId1"/>
  <headerFooter>
    <oddFooter>&amp;C&amp;8Страница  &amp;P из &amp;N</oddFooter>
  </headerFooter>
  <rowBreaks count="4" manualBreakCount="4">
    <brk id="30" max="18" man="1"/>
    <brk id="66" max="18" man="1"/>
    <brk id="120" max="18" man="1"/>
    <brk id="166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7"/>
  <sheetViews>
    <sheetView workbookViewId="0">
      <selection activeCell="K5" sqref="K5"/>
    </sheetView>
  </sheetViews>
  <sheetFormatPr defaultColWidth="9.109375" defaultRowHeight="13.2" x14ac:dyDescent="0.25"/>
  <cols>
    <col min="1" max="1" width="22.44140625" style="212" customWidth="1"/>
    <col min="2" max="3" width="12.33203125" style="217" bestFit="1" customWidth="1"/>
    <col min="4" max="4" width="6.109375" style="217" bestFit="1" customWidth="1"/>
    <col min="5" max="6" width="12.33203125" style="217" bestFit="1" customWidth="1"/>
    <col min="7" max="7" width="5.109375" style="217" bestFit="1" customWidth="1"/>
    <col min="8" max="8" width="11.88671875" style="217" bestFit="1" customWidth="1"/>
    <col min="9" max="9" width="11.109375" style="217" bestFit="1" customWidth="1"/>
    <col min="10" max="10" width="11.33203125" style="217" customWidth="1"/>
    <col min="11" max="11" width="9.44140625" style="217" bestFit="1" customWidth="1"/>
    <col min="12" max="12" width="9.6640625" style="217" bestFit="1" customWidth="1"/>
    <col min="13" max="13" width="11" style="217" customWidth="1"/>
    <col min="14" max="14" width="11.33203125" style="217" bestFit="1" customWidth="1"/>
    <col min="15" max="15" width="10.88671875" style="217" customWidth="1"/>
    <col min="16" max="16384" width="9.109375" style="217"/>
  </cols>
  <sheetData>
    <row r="1" spans="1:16" s="212" customFormat="1" x14ac:dyDescent="0.25">
      <c r="N1" s="464" t="s">
        <v>191</v>
      </c>
      <c r="O1" s="464"/>
      <c r="P1" s="192"/>
    </row>
    <row r="2" spans="1:16" s="212" customFormat="1" x14ac:dyDescent="0.25">
      <c r="P2" s="192"/>
    </row>
    <row r="3" spans="1:16" s="212" customFormat="1" ht="33" customHeight="1" x14ac:dyDescent="0.25">
      <c r="A3" s="467" t="s">
        <v>419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192"/>
    </row>
    <row r="4" spans="1:16" s="212" customFormat="1" ht="13.8" thickBot="1" x14ac:dyDescent="0.3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4" t="s">
        <v>192</v>
      </c>
      <c r="P4" s="192"/>
    </row>
    <row r="5" spans="1:16" s="255" customFormat="1" ht="13.5" customHeight="1" thickTop="1" x14ac:dyDescent="0.25">
      <c r="A5" s="465" t="s">
        <v>193</v>
      </c>
      <c r="B5" s="450" t="s">
        <v>194</v>
      </c>
      <c r="C5" s="450"/>
      <c r="D5" s="450"/>
      <c r="E5" s="450" t="s">
        <v>195</v>
      </c>
      <c r="F5" s="450"/>
      <c r="G5" s="450"/>
      <c r="H5" s="450" t="s">
        <v>196</v>
      </c>
      <c r="I5" s="450"/>
      <c r="J5" s="450" t="s">
        <v>420</v>
      </c>
      <c r="K5" s="308" t="s">
        <v>8</v>
      </c>
      <c r="L5" s="450" t="s">
        <v>421</v>
      </c>
      <c r="M5" s="450"/>
      <c r="N5" s="450" t="s">
        <v>231</v>
      </c>
      <c r="O5" s="451"/>
      <c r="P5" s="243"/>
    </row>
    <row r="6" spans="1:16" s="255" customFormat="1" ht="24" customHeight="1" x14ac:dyDescent="0.25">
      <c r="A6" s="466"/>
      <c r="B6" s="443"/>
      <c r="C6" s="443"/>
      <c r="D6" s="443"/>
      <c r="E6" s="443"/>
      <c r="F6" s="443"/>
      <c r="G6" s="443"/>
      <c r="H6" s="443"/>
      <c r="I6" s="443"/>
      <c r="J6" s="443"/>
      <c r="K6" s="443" t="s">
        <v>153</v>
      </c>
      <c r="L6" s="443"/>
      <c r="M6" s="443"/>
      <c r="N6" s="443"/>
      <c r="O6" s="445"/>
      <c r="P6" s="243"/>
    </row>
    <row r="7" spans="1:16" s="255" customFormat="1" ht="39.6" x14ac:dyDescent="0.25">
      <c r="A7" s="466"/>
      <c r="B7" s="306" t="s">
        <v>197</v>
      </c>
      <c r="C7" s="306" t="s">
        <v>198</v>
      </c>
      <c r="D7" s="306" t="s">
        <v>151</v>
      </c>
      <c r="E7" s="306" t="s">
        <v>197</v>
      </c>
      <c r="F7" s="306" t="s">
        <v>198</v>
      </c>
      <c r="G7" s="306" t="s">
        <v>151</v>
      </c>
      <c r="H7" s="306" t="s">
        <v>197</v>
      </c>
      <c r="I7" s="306" t="s">
        <v>198</v>
      </c>
      <c r="J7" s="443"/>
      <c r="K7" s="443"/>
      <c r="L7" s="306" t="s">
        <v>199</v>
      </c>
      <c r="M7" s="306" t="s">
        <v>200</v>
      </c>
      <c r="N7" s="306" t="s">
        <v>422</v>
      </c>
      <c r="O7" s="307" t="s">
        <v>423</v>
      </c>
      <c r="P7" s="243"/>
    </row>
    <row r="8" spans="1:16" s="256" customFormat="1" ht="10.199999999999999" x14ac:dyDescent="0.2">
      <c r="A8" s="215" t="s">
        <v>13</v>
      </c>
      <c r="B8" s="309" t="s">
        <v>14</v>
      </c>
      <c r="C8" s="309" t="s">
        <v>15</v>
      </c>
      <c r="D8" s="309" t="s">
        <v>201</v>
      </c>
      <c r="E8" s="309" t="s">
        <v>16</v>
      </c>
      <c r="F8" s="309" t="s">
        <v>202</v>
      </c>
      <c r="G8" s="309" t="s">
        <v>203</v>
      </c>
      <c r="H8" s="309" t="s">
        <v>202</v>
      </c>
      <c r="I8" s="309" t="s">
        <v>204</v>
      </c>
      <c r="J8" s="309" t="s">
        <v>17</v>
      </c>
      <c r="K8" s="309" t="s">
        <v>18</v>
      </c>
      <c r="L8" s="309" t="s">
        <v>19</v>
      </c>
      <c r="M8" s="309" t="s">
        <v>205</v>
      </c>
      <c r="N8" s="309" t="s">
        <v>206</v>
      </c>
      <c r="O8" s="258" t="s">
        <v>207</v>
      </c>
      <c r="P8" s="249"/>
    </row>
    <row r="9" spans="1:16" x14ac:dyDescent="0.25">
      <c r="A9" s="216" t="s">
        <v>163</v>
      </c>
      <c r="B9" s="229">
        <f>Черн.!AD7</f>
        <v>1438470.2021799998</v>
      </c>
      <c r="C9" s="229">
        <f>Черн.!AE7</f>
        <v>1439221.6660199999</v>
      </c>
      <c r="D9" s="229">
        <f>C9/B9%</f>
        <v>100.0522404870717</v>
      </c>
      <c r="E9" s="229">
        <f>Черн.!AK7</f>
        <v>1487625.75128</v>
      </c>
      <c r="F9" s="229">
        <f>Черн.!AL7</f>
        <v>1464299.9452000002</v>
      </c>
      <c r="G9" s="229">
        <f>F9/E9%</f>
        <v>98.432011138558906</v>
      </c>
      <c r="H9" s="229">
        <f>B9-E9</f>
        <v>-49155.549100000178</v>
      </c>
      <c r="I9" s="229">
        <f>C9-F9</f>
        <v>-25078.279180000303</v>
      </c>
      <c r="J9" s="229">
        <f>Черн.!CN7</f>
        <v>13635.705679999999</v>
      </c>
      <c r="K9" s="229">
        <f>Черн.!CP7</f>
        <v>4.8869499999999997</v>
      </c>
      <c r="L9" s="229">
        <f>Черн.!CQ7</f>
        <v>1621.7208200000005</v>
      </c>
      <c r="M9" s="229">
        <f>Черн.!CR7</f>
        <v>-396.03001</v>
      </c>
      <c r="N9" s="229">
        <f>Черн.!CV7</f>
        <v>83700</v>
      </c>
      <c r="O9" s="230">
        <f>Черн.!CW7</f>
        <v>26700</v>
      </c>
    </row>
    <row r="10" spans="1:16" x14ac:dyDescent="0.25">
      <c r="A10" s="216" t="s">
        <v>164</v>
      </c>
      <c r="B10" s="229">
        <f>Черн.!AD8</f>
        <v>622421.81909999996</v>
      </c>
      <c r="C10" s="229">
        <f>Черн.!AE8</f>
        <v>619972.99379999994</v>
      </c>
      <c r="D10" s="229">
        <f t="shared" ref="D10:D35" si="0">C10/B10%</f>
        <v>99.606564997425551</v>
      </c>
      <c r="E10" s="229">
        <f>Черн.!AK8</f>
        <v>639990.55365000002</v>
      </c>
      <c r="F10" s="229">
        <f>Черн.!AL8</f>
        <v>623648.43617999996</v>
      </c>
      <c r="G10" s="229">
        <f t="shared" ref="G10:G35" si="1">F10/E10%</f>
        <v>97.446506455947272</v>
      </c>
      <c r="H10" s="229">
        <f t="shared" ref="H10:H35" si="2">B10-E10</f>
        <v>-17568.734550000052</v>
      </c>
      <c r="I10" s="229">
        <f t="shared" ref="I10:I35" si="3">C10-F10</f>
        <v>-3675.4423800000222</v>
      </c>
      <c r="J10" s="229">
        <f>Черн.!CN8</f>
        <v>15733.63414</v>
      </c>
      <c r="K10" s="229">
        <f>Черн.!CP8</f>
        <v>1498.64399</v>
      </c>
      <c r="L10" s="229">
        <f>Черн.!CQ8</f>
        <v>-3675.4423799999986</v>
      </c>
      <c r="M10" s="229">
        <f>Черн.!CR8</f>
        <v>1040.65202</v>
      </c>
      <c r="N10" s="229">
        <f>Черн.!CV8</f>
        <v>0</v>
      </c>
      <c r="O10" s="230">
        <f>Черн.!CW8</f>
        <v>0</v>
      </c>
    </row>
    <row r="11" spans="1:16" x14ac:dyDescent="0.25">
      <c r="A11" s="216" t="s">
        <v>165</v>
      </c>
      <c r="B11" s="229">
        <f>Черн.!AD9</f>
        <v>416821.37212999997</v>
      </c>
      <c r="C11" s="229">
        <f>Черн.!AE9</f>
        <v>422343.32639000006</v>
      </c>
      <c r="D11" s="229">
        <f t="shared" si="0"/>
        <v>101.32477714177234</v>
      </c>
      <c r="E11" s="229">
        <f>Черн.!AK9</f>
        <v>431919.59012999997</v>
      </c>
      <c r="F11" s="229">
        <f>Черн.!AL9</f>
        <v>426271.66623999993</v>
      </c>
      <c r="G11" s="229">
        <f t="shared" si="1"/>
        <v>98.692366815707501</v>
      </c>
      <c r="H11" s="229">
        <f t="shared" si="2"/>
        <v>-15098.217999999993</v>
      </c>
      <c r="I11" s="229">
        <f t="shared" si="3"/>
        <v>-3928.339849999873</v>
      </c>
      <c r="J11" s="229">
        <f>Черн.!CN9</f>
        <v>12638.151180000001</v>
      </c>
      <c r="K11" s="229">
        <f>Черн.!CP9</f>
        <v>1229</v>
      </c>
      <c r="L11" s="229">
        <f>Черн.!CQ9</f>
        <v>-3928.3398500000003</v>
      </c>
      <c r="M11" s="229">
        <f>Черн.!CR9</f>
        <v>1164.9670000000001</v>
      </c>
      <c r="N11" s="229">
        <f>Черн.!CV9</f>
        <v>0</v>
      </c>
      <c r="O11" s="230">
        <f>Черн.!CW9</f>
        <v>0</v>
      </c>
    </row>
    <row r="12" spans="1:16" x14ac:dyDescent="0.25">
      <c r="A12" s="216" t="s">
        <v>166</v>
      </c>
      <c r="B12" s="229">
        <f>Черн.!AD10</f>
        <v>538130.71638</v>
      </c>
      <c r="C12" s="229">
        <f>Черн.!AE10</f>
        <v>535098.39997999999</v>
      </c>
      <c r="D12" s="229">
        <f t="shared" si="0"/>
        <v>99.436509326135777</v>
      </c>
      <c r="E12" s="229">
        <f>Черн.!AK10</f>
        <v>548307.14783999999</v>
      </c>
      <c r="F12" s="229">
        <f>Черн.!AL10</f>
        <v>533163.47866999998</v>
      </c>
      <c r="G12" s="229">
        <f t="shared" si="1"/>
        <v>97.238104732054481</v>
      </c>
      <c r="H12" s="229">
        <f t="shared" si="2"/>
        <v>-10176.431459999993</v>
      </c>
      <c r="I12" s="229">
        <f t="shared" si="3"/>
        <v>1934.9213100000052</v>
      </c>
      <c r="J12" s="229">
        <f>Черн.!CN10</f>
        <v>8739.5378600000004</v>
      </c>
      <c r="K12" s="229">
        <f>Черн.!CP10</f>
        <v>3556</v>
      </c>
      <c r="L12" s="229">
        <f>Черн.!CQ10</f>
        <v>1934.9213100000006</v>
      </c>
      <c r="M12" s="229">
        <f>Черн.!CR10</f>
        <v>2897.6567700000001</v>
      </c>
      <c r="N12" s="229">
        <f>Черн.!CV10</f>
        <v>0</v>
      </c>
      <c r="O12" s="230">
        <f>Черн.!CW10</f>
        <v>0</v>
      </c>
    </row>
    <row r="13" spans="1:16" x14ac:dyDescent="0.25">
      <c r="A13" s="216" t="s">
        <v>167</v>
      </c>
      <c r="B13" s="229">
        <f>Черн.!AD11</f>
        <v>686179.26159000001</v>
      </c>
      <c r="C13" s="229">
        <f>Черн.!AE11</f>
        <v>694333.58246999991</v>
      </c>
      <c r="D13" s="229">
        <f t="shared" si="0"/>
        <v>101.18836597613063</v>
      </c>
      <c r="E13" s="229">
        <f>Черн.!AK11</f>
        <v>751624.33089999994</v>
      </c>
      <c r="F13" s="229">
        <f>Черн.!AL11</f>
        <v>640278.86557000014</v>
      </c>
      <c r="G13" s="240">
        <f t="shared" si="1"/>
        <v>85.186021692954782</v>
      </c>
      <c r="H13" s="229">
        <f t="shared" si="2"/>
        <v>-65445.069309999933</v>
      </c>
      <c r="I13" s="229">
        <f t="shared" si="3"/>
        <v>54054.716899999767</v>
      </c>
      <c r="J13" s="229">
        <f>Черн.!CN11</f>
        <v>116297.51295999999</v>
      </c>
      <c r="K13" s="229">
        <f>Черн.!CP11</f>
        <v>100338.34359999999</v>
      </c>
      <c r="L13" s="229">
        <f>Черн.!CQ11</f>
        <v>58604.716899999992</v>
      </c>
      <c r="M13" s="229">
        <f>Черн.!CR11</f>
        <v>54756.90821999999</v>
      </c>
      <c r="N13" s="229">
        <f>Черн.!CV11</f>
        <v>4550</v>
      </c>
      <c r="O13" s="230">
        <f>Черн.!CW11</f>
        <v>4550</v>
      </c>
    </row>
    <row r="14" spans="1:16" x14ac:dyDescent="0.25">
      <c r="A14" s="216" t="s">
        <v>168</v>
      </c>
      <c r="B14" s="229">
        <f>Черн.!AD12</f>
        <v>819823.38723999995</v>
      </c>
      <c r="C14" s="229">
        <f>Черн.!AE12</f>
        <v>832717.22602000006</v>
      </c>
      <c r="D14" s="229">
        <f t="shared" si="0"/>
        <v>101.57275810628045</v>
      </c>
      <c r="E14" s="229">
        <f>Черн.!AK12</f>
        <v>911506.95863000012</v>
      </c>
      <c r="F14" s="229">
        <f>Черн.!AL12</f>
        <v>905190.78391</v>
      </c>
      <c r="G14" s="229">
        <f t="shared" si="1"/>
        <v>99.307062369606768</v>
      </c>
      <c r="H14" s="229">
        <f t="shared" si="2"/>
        <v>-91683.571390000172</v>
      </c>
      <c r="I14" s="229">
        <f t="shared" si="3"/>
        <v>-72473.557889999938</v>
      </c>
      <c r="J14" s="229">
        <f>Черн.!CN12</f>
        <v>16827.526030000001</v>
      </c>
      <c r="K14" s="229">
        <f>Черн.!CP12</f>
        <v>1984.9266299999999</v>
      </c>
      <c r="L14" s="229">
        <f>Черн.!CQ12</f>
        <v>-72473.557889999996</v>
      </c>
      <c r="M14" s="229">
        <f>Черн.!CR12</f>
        <v>-72728.673009999999</v>
      </c>
      <c r="N14" s="229">
        <f>Черн.!CV12</f>
        <v>0</v>
      </c>
      <c r="O14" s="230">
        <f>Черн.!CW12</f>
        <v>0</v>
      </c>
    </row>
    <row r="15" spans="1:16" x14ac:dyDescent="0.25">
      <c r="A15" s="216" t="s">
        <v>169</v>
      </c>
      <c r="B15" s="229">
        <f>Черн.!AD13</f>
        <v>610624.40805999993</v>
      </c>
      <c r="C15" s="229">
        <f>Черн.!AE13</f>
        <v>616943.42184999981</v>
      </c>
      <c r="D15" s="229">
        <f t="shared" si="0"/>
        <v>101.03484461259514</v>
      </c>
      <c r="E15" s="229">
        <f>Черн.!AK13</f>
        <v>630669.79113000003</v>
      </c>
      <c r="F15" s="229">
        <f>Черн.!AL13</f>
        <v>616866.15824999998</v>
      </c>
      <c r="G15" s="229">
        <f t="shared" si="1"/>
        <v>97.811274128848396</v>
      </c>
      <c r="H15" s="229">
        <f t="shared" si="2"/>
        <v>-20045.383070000098</v>
      </c>
      <c r="I15" s="229">
        <f t="shared" si="3"/>
        <v>77.263599999831058</v>
      </c>
      <c r="J15" s="229">
        <f>Черн.!CN13</f>
        <v>20817.462390000001</v>
      </c>
      <c r="K15" s="229">
        <f>Черн.!CP13</f>
        <v>630.23258999999996</v>
      </c>
      <c r="L15" s="229">
        <f>Черн.!CQ13</f>
        <v>11805.263600000002</v>
      </c>
      <c r="M15" s="229">
        <f>Черн.!CR13</f>
        <v>121.72989999999993</v>
      </c>
      <c r="N15" s="229">
        <f>Черн.!CV13</f>
        <v>47342.9</v>
      </c>
      <c r="O15" s="230">
        <f>Черн.!CW13</f>
        <v>11728</v>
      </c>
    </row>
    <row r="16" spans="1:16" x14ac:dyDescent="0.25">
      <c r="A16" s="216" t="s">
        <v>170</v>
      </c>
      <c r="B16" s="229">
        <f>Черн.!AD14</f>
        <v>681424.65993000008</v>
      </c>
      <c r="C16" s="229">
        <f>Черн.!AE14</f>
        <v>678566.73230999999</v>
      </c>
      <c r="D16" s="229">
        <f t="shared" si="0"/>
        <v>99.580595216455237</v>
      </c>
      <c r="E16" s="229">
        <f>Черн.!AK14</f>
        <v>689393.77653999999</v>
      </c>
      <c r="F16" s="229">
        <f>Черн.!AL14</f>
        <v>678287.89766000002</v>
      </c>
      <c r="G16" s="229">
        <f t="shared" si="1"/>
        <v>98.389036968720646</v>
      </c>
      <c r="H16" s="229">
        <f t="shared" si="2"/>
        <v>-7969.11660999991</v>
      </c>
      <c r="I16" s="229">
        <f t="shared" si="3"/>
        <v>278.83464999997523</v>
      </c>
      <c r="J16" s="229">
        <f>Черн.!CN14</f>
        <v>13590.038689999999</v>
      </c>
      <c r="K16" s="229">
        <f>Черн.!CP14</f>
        <v>494.46868000000001</v>
      </c>
      <c r="L16" s="229">
        <f>Черн.!CQ14</f>
        <v>278.83465000000069</v>
      </c>
      <c r="M16" s="229">
        <f>Черн.!CR14</f>
        <v>245.97668000000002</v>
      </c>
      <c r="N16" s="229">
        <f>Черн.!CV14</f>
        <v>0</v>
      </c>
      <c r="O16" s="230">
        <f>Черн.!CW14</f>
        <v>0</v>
      </c>
    </row>
    <row r="17" spans="1:15" x14ac:dyDescent="0.25">
      <c r="A17" s="216" t="s">
        <v>171</v>
      </c>
      <c r="B17" s="229">
        <f>Черн.!AD15</f>
        <v>525250.07175999996</v>
      </c>
      <c r="C17" s="229">
        <f>Черн.!AE15</f>
        <v>531523.59172000003</v>
      </c>
      <c r="D17" s="229">
        <f t="shared" si="0"/>
        <v>101.19438726376158</v>
      </c>
      <c r="E17" s="229">
        <f>Черн.!AK15</f>
        <v>549923.62204999989</v>
      </c>
      <c r="F17" s="229">
        <f>Черн.!AL15</f>
        <v>541499.64084000001</v>
      </c>
      <c r="G17" s="229">
        <f t="shared" si="1"/>
        <v>98.46815432685051</v>
      </c>
      <c r="H17" s="229">
        <f t="shared" si="2"/>
        <v>-24673.550289999926</v>
      </c>
      <c r="I17" s="229">
        <f t="shared" si="3"/>
        <v>-9976.0491199999815</v>
      </c>
      <c r="J17" s="229">
        <f>Черн.!CN15</f>
        <v>8159.2236000000003</v>
      </c>
      <c r="K17" s="229">
        <f>Черн.!CP15</f>
        <v>100</v>
      </c>
      <c r="L17" s="229">
        <f>Черн.!CQ15</f>
        <v>-7976.0491200000006</v>
      </c>
      <c r="M17" s="229">
        <f>Черн.!CR15</f>
        <v>-448.24193000000002</v>
      </c>
      <c r="N17" s="229">
        <f>Черн.!CV15</f>
        <v>18144.099999999999</v>
      </c>
      <c r="O17" s="230">
        <f>Черн.!CW15</f>
        <v>1999.9999999999982</v>
      </c>
    </row>
    <row r="18" spans="1:15" x14ac:dyDescent="0.25">
      <c r="A18" s="216" t="s">
        <v>172</v>
      </c>
      <c r="B18" s="229">
        <f>Черн.!AD16</f>
        <v>374662.89398000005</v>
      </c>
      <c r="C18" s="229">
        <f>Черн.!AE16</f>
        <v>374259.38695999997</v>
      </c>
      <c r="D18" s="229">
        <f t="shared" si="0"/>
        <v>99.892301312330758</v>
      </c>
      <c r="E18" s="229">
        <f>Черн.!AK16</f>
        <v>380170.05141999997</v>
      </c>
      <c r="F18" s="229">
        <f>Черн.!AL16</f>
        <v>374149.56371999998</v>
      </c>
      <c r="G18" s="229">
        <f t="shared" si="1"/>
        <v>98.416369812005854</v>
      </c>
      <c r="H18" s="229">
        <f t="shared" si="2"/>
        <v>-5507.1574399999226</v>
      </c>
      <c r="I18" s="229">
        <f t="shared" si="3"/>
        <v>109.8232399999979</v>
      </c>
      <c r="J18" s="229">
        <f>Черн.!CN16</f>
        <v>5616.9806799999997</v>
      </c>
      <c r="K18" s="229">
        <f>Черн.!CP16</f>
        <v>1223.8128000000002</v>
      </c>
      <c r="L18" s="229">
        <f>Черн.!CQ16</f>
        <v>4109.8232399999997</v>
      </c>
      <c r="M18" s="229">
        <f>Черн.!CR16</f>
        <v>1186.1005500000001</v>
      </c>
      <c r="N18" s="229">
        <f>Черн.!CV16</f>
        <v>8300</v>
      </c>
      <c r="O18" s="230">
        <f>Черн.!CW16</f>
        <v>4000</v>
      </c>
    </row>
    <row r="19" spans="1:15" x14ac:dyDescent="0.25">
      <c r="A19" s="216" t="s">
        <v>173</v>
      </c>
      <c r="B19" s="229">
        <f>Черн.!AD17</f>
        <v>542085.85459999996</v>
      </c>
      <c r="C19" s="229">
        <f>Черн.!AE17</f>
        <v>523391.93056000007</v>
      </c>
      <c r="D19" s="240">
        <f t="shared" si="0"/>
        <v>96.551482780565465</v>
      </c>
      <c r="E19" s="229">
        <f>Черн.!AK17</f>
        <v>556307.27017999999</v>
      </c>
      <c r="F19" s="229">
        <f>Черн.!AL17</f>
        <v>545945.24839999992</v>
      </c>
      <c r="G19" s="229">
        <f t="shared" si="1"/>
        <v>98.137356397185442</v>
      </c>
      <c r="H19" s="229">
        <f t="shared" si="2"/>
        <v>-14221.41558000003</v>
      </c>
      <c r="I19" s="229">
        <f t="shared" si="3"/>
        <v>-22553.317839999858</v>
      </c>
      <c r="J19" s="229">
        <f>Черн.!CN17</f>
        <v>9303.3286900000003</v>
      </c>
      <c r="K19" s="229">
        <f>Черн.!CP17</f>
        <v>617.02521000000002</v>
      </c>
      <c r="L19" s="229">
        <f>Черн.!CQ17</f>
        <v>-8053.3178400000015</v>
      </c>
      <c r="M19" s="229">
        <f>Черн.!CR17</f>
        <v>-1023.86412</v>
      </c>
      <c r="N19" s="229">
        <f>Черн.!CV17</f>
        <v>21500</v>
      </c>
      <c r="O19" s="230">
        <f>Черн.!CW17</f>
        <v>14500</v>
      </c>
    </row>
    <row r="20" spans="1:15" x14ac:dyDescent="0.25">
      <c r="A20" s="216" t="s">
        <v>174</v>
      </c>
      <c r="B20" s="229">
        <f>Черн.!AD18</f>
        <v>729145.66838000005</v>
      </c>
      <c r="C20" s="229">
        <f>Черн.!AE18</f>
        <v>729329.56221</v>
      </c>
      <c r="D20" s="229">
        <f t="shared" si="0"/>
        <v>100.02522045154689</v>
      </c>
      <c r="E20" s="229">
        <f>Черн.!AK18</f>
        <v>758158.46238999988</v>
      </c>
      <c r="F20" s="229">
        <f>Черн.!AL18</f>
        <v>747446.7265600001</v>
      </c>
      <c r="G20" s="229">
        <f t="shared" si="1"/>
        <v>98.587137602311742</v>
      </c>
      <c r="H20" s="229">
        <f t="shared" si="2"/>
        <v>-29012.794009999838</v>
      </c>
      <c r="I20" s="229">
        <f t="shared" si="3"/>
        <v>-18117.164350000094</v>
      </c>
      <c r="J20" s="229">
        <f>Черн.!CN18</f>
        <v>5995.1658299999999</v>
      </c>
      <c r="K20" s="229">
        <f>Черн.!CP18</f>
        <v>349.54396999999994</v>
      </c>
      <c r="L20" s="229">
        <f>Черн.!CQ18</f>
        <v>-1917.16435</v>
      </c>
      <c r="M20" s="229">
        <f>Черн.!CR18</f>
        <v>-3024.9940699999997</v>
      </c>
      <c r="N20" s="229">
        <f>Черн.!CV18</f>
        <v>119700</v>
      </c>
      <c r="O20" s="230">
        <f>Черн.!CW18</f>
        <v>16200</v>
      </c>
    </row>
    <row r="21" spans="1:15" x14ac:dyDescent="0.25">
      <c r="A21" s="216" t="s">
        <v>175</v>
      </c>
      <c r="B21" s="229">
        <f>Черн.!AD19</f>
        <v>846654.7535300001</v>
      </c>
      <c r="C21" s="229">
        <f>Черн.!AE19</f>
        <v>843176.61681000004</v>
      </c>
      <c r="D21" s="229">
        <f t="shared" si="0"/>
        <v>99.589190670046037</v>
      </c>
      <c r="E21" s="229">
        <f>Черн.!AK19</f>
        <v>879269.0644700001</v>
      </c>
      <c r="F21" s="229">
        <f>Черн.!AL19</f>
        <v>852245.19738000003</v>
      </c>
      <c r="G21" s="229">
        <f t="shared" si="1"/>
        <v>96.926553181273448</v>
      </c>
      <c r="H21" s="229">
        <f t="shared" si="2"/>
        <v>-32614.310939999996</v>
      </c>
      <c r="I21" s="229">
        <f t="shared" si="3"/>
        <v>-9068.580569999991</v>
      </c>
      <c r="J21" s="229">
        <f>Черн.!CN19</f>
        <v>23994.485629999999</v>
      </c>
      <c r="K21" s="229">
        <f>Черн.!CP19</f>
        <v>14501.89121</v>
      </c>
      <c r="L21" s="229">
        <f>Черн.!CQ19</f>
        <v>4731.4194300000017</v>
      </c>
      <c r="M21" s="229">
        <f>Черн.!CR19</f>
        <v>1838.1686100000006</v>
      </c>
      <c r="N21" s="229">
        <f>Черн.!CV19</f>
        <v>21800</v>
      </c>
      <c r="O21" s="230">
        <f>Черн.!CW19</f>
        <v>13800</v>
      </c>
    </row>
    <row r="22" spans="1:15" x14ac:dyDescent="0.25">
      <c r="A22" s="216" t="s">
        <v>176</v>
      </c>
      <c r="B22" s="229">
        <f>Черн.!AD20</f>
        <v>1030842.44731</v>
      </c>
      <c r="C22" s="229">
        <f>Черн.!AE20</f>
        <v>1030214.90676</v>
      </c>
      <c r="D22" s="229">
        <f t="shared" si="0"/>
        <v>99.939123524488394</v>
      </c>
      <c r="E22" s="229">
        <f>Черн.!AK20</f>
        <v>1053888.94364</v>
      </c>
      <c r="F22" s="229">
        <f>Черн.!AL20</f>
        <v>1030597.7376199999</v>
      </c>
      <c r="G22" s="229">
        <f t="shared" si="1"/>
        <v>97.789975294782479</v>
      </c>
      <c r="H22" s="229">
        <f t="shared" si="2"/>
        <v>-23046.496329999994</v>
      </c>
      <c r="I22" s="229">
        <f t="shared" si="3"/>
        <v>-382.83085999987088</v>
      </c>
      <c r="J22" s="229">
        <f>Черн.!CN20</f>
        <v>38866.002189999999</v>
      </c>
      <c r="K22" s="229">
        <f>Черн.!CP20</f>
        <v>945.94050000000004</v>
      </c>
      <c r="L22" s="229">
        <f>Черн.!CQ20</f>
        <v>-382.83085999999457</v>
      </c>
      <c r="M22" s="229">
        <f>Черн.!CR20</f>
        <v>-1340.0879999999997</v>
      </c>
      <c r="N22" s="229">
        <f>Черн.!CV20</f>
        <v>0</v>
      </c>
      <c r="O22" s="230">
        <f>Черн.!CW20</f>
        <v>0</v>
      </c>
    </row>
    <row r="23" spans="1:15" x14ac:dyDescent="0.25">
      <c r="A23" s="216" t="s">
        <v>177</v>
      </c>
      <c r="B23" s="229">
        <f>Черн.!AD21</f>
        <v>1169717.9131699998</v>
      </c>
      <c r="C23" s="229">
        <f>Черн.!AE21</f>
        <v>1162106.4275</v>
      </c>
      <c r="D23" s="229">
        <f t="shared" si="0"/>
        <v>99.349288782850877</v>
      </c>
      <c r="E23" s="229">
        <f>Черн.!AK21</f>
        <v>1216776.0693699999</v>
      </c>
      <c r="F23" s="229">
        <f>Черн.!AL21</f>
        <v>1184120.08183</v>
      </c>
      <c r="G23" s="229">
        <f t="shared" si="1"/>
        <v>97.316187558084707</v>
      </c>
      <c r="H23" s="229">
        <f t="shared" si="2"/>
        <v>-47058.156200000085</v>
      </c>
      <c r="I23" s="229">
        <f t="shared" si="3"/>
        <v>-22013.654330000049</v>
      </c>
      <c r="J23" s="229">
        <f>Черн.!CN21</f>
        <v>19167.342519999998</v>
      </c>
      <c r="K23" s="229">
        <f>Черн.!CP21</f>
        <v>53.480290000000004</v>
      </c>
      <c r="L23" s="229">
        <f>Черн.!CQ21</f>
        <v>-22013.654330000005</v>
      </c>
      <c r="M23" s="229">
        <f>Черн.!CR21</f>
        <v>-21085.769659999998</v>
      </c>
      <c r="N23" s="229">
        <f>Черн.!CV21</f>
        <v>97000</v>
      </c>
      <c r="O23" s="230">
        <f>Черн.!CW21</f>
        <v>0</v>
      </c>
    </row>
    <row r="24" spans="1:15" x14ac:dyDescent="0.25">
      <c r="A24" s="216" t="s">
        <v>178</v>
      </c>
      <c r="B24" s="229">
        <f>Черн.!AD22</f>
        <v>1050171.5144800001</v>
      </c>
      <c r="C24" s="229">
        <f>Черн.!AE22</f>
        <v>1014989.45705</v>
      </c>
      <c r="D24" s="240">
        <f t="shared" si="0"/>
        <v>96.649875097076816</v>
      </c>
      <c r="E24" s="229">
        <f>Черн.!AK22</f>
        <v>1082785.6752699998</v>
      </c>
      <c r="F24" s="229">
        <f>Черн.!AL22</f>
        <v>1013580.3126800001</v>
      </c>
      <c r="G24" s="229">
        <f t="shared" si="1"/>
        <v>93.608581626946361</v>
      </c>
      <c r="H24" s="229">
        <f t="shared" si="2"/>
        <v>-32614.160789999645</v>
      </c>
      <c r="I24" s="229">
        <f t="shared" si="3"/>
        <v>1409.1443699998781</v>
      </c>
      <c r="J24" s="229">
        <f>Черн.!CN22</f>
        <v>70625.955369999996</v>
      </c>
      <c r="K24" s="229">
        <f>Черн.!CP22</f>
        <v>3820.8740400000002</v>
      </c>
      <c r="L24" s="229">
        <f>Черн.!CQ22</f>
        <v>1409.1443699999945</v>
      </c>
      <c r="M24" s="229">
        <f>Черн.!CR22</f>
        <v>552.59000000000015</v>
      </c>
      <c r="N24" s="229">
        <f>Черн.!CV22</f>
        <v>0</v>
      </c>
      <c r="O24" s="230">
        <f>Черн.!CW22</f>
        <v>0</v>
      </c>
    </row>
    <row r="25" spans="1:15" x14ac:dyDescent="0.25">
      <c r="A25" s="216" t="s">
        <v>179</v>
      </c>
      <c r="B25" s="229">
        <f>Черн.!AD23</f>
        <v>1043977.47224</v>
      </c>
      <c r="C25" s="229">
        <f>Черн.!AE23</f>
        <v>1051230.3984900001</v>
      </c>
      <c r="D25" s="229">
        <f t="shared" si="0"/>
        <v>100.69473972790216</v>
      </c>
      <c r="E25" s="229">
        <f>Черн.!AK23</f>
        <v>1081098.5645299999</v>
      </c>
      <c r="F25" s="229">
        <f>Черн.!AL23</f>
        <v>1057537.0932999998</v>
      </c>
      <c r="G25" s="229">
        <f t="shared" si="1"/>
        <v>97.820599156910063</v>
      </c>
      <c r="H25" s="229">
        <f t="shared" si="2"/>
        <v>-37121.092289999826</v>
      </c>
      <c r="I25" s="229">
        <f t="shared" si="3"/>
        <v>-6306.6948099997826</v>
      </c>
      <c r="J25" s="229">
        <f>Черн.!CN23</f>
        <v>23387.76281</v>
      </c>
      <c r="K25" s="229">
        <f>Черн.!CP23</f>
        <v>2532.2874900000002</v>
      </c>
      <c r="L25" s="229">
        <f>Черн.!CQ23</f>
        <v>-1306.6948100000009</v>
      </c>
      <c r="M25" s="229">
        <f>Черн.!CR23</f>
        <v>-1014.4008599999997</v>
      </c>
      <c r="N25" s="229">
        <f>Черн.!CV23</f>
        <v>32600</v>
      </c>
      <c r="O25" s="230">
        <f>Черн.!CW23</f>
        <v>5000</v>
      </c>
    </row>
    <row r="26" spans="1:15" x14ac:dyDescent="0.25">
      <c r="A26" s="216" t="s">
        <v>180</v>
      </c>
      <c r="B26" s="229">
        <f>Черн.!AD24</f>
        <v>896478.2940900001</v>
      </c>
      <c r="C26" s="229">
        <f>Черн.!AE24</f>
        <v>898638.45523000008</v>
      </c>
      <c r="D26" s="229">
        <f t="shared" si="0"/>
        <v>100.24096078558074</v>
      </c>
      <c r="E26" s="229">
        <f>Черн.!AK24</f>
        <v>911989.53288000007</v>
      </c>
      <c r="F26" s="229">
        <f>Черн.!AL24</f>
        <v>901910.96273000003</v>
      </c>
      <c r="G26" s="229">
        <f t="shared" si="1"/>
        <v>98.894880940335725</v>
      </c>
      <c r="H26" s="229">
        <f t="shared" si="2"/>
        <v>-15511.238789999974</v>
      </c>
      <c r="I26" s="229">
        <f t="shared" si="3"/>
        <v>-3272.5074999999488</v>
      </c>
      <c r="J26" s="229">
        <f>Черн.!CN24</f>
        <v>28619.781029999998</v>
      </c>
      <c r="K26" s="229">
        <f>Черн.!CP24</f>
        <v>415.02921999999995</v>
      </c>
      <c r="L26" s="229">
        <f>Черн.!CQ24</f>
        <v>-3272.5075000000033</v>
      </c>
      <c r="M26" s="229">
        <f>Черн.!CR24</f>
        <v>-2963.5497100000002</v>
      </c>
      <c r="N26" s="229">
        <f>Черн.!CV24</f>
        <v>0</v>
      </c>
      <c r="O26" s="230">
        <f>Черн.!CW24</f>
        <v>0</v>
      </c>
    </row>
    <row r="27" spans="1:15" x14ac:dyDescent="0.25">
      <c r="A27" s="216" t="s">
        <v>181</v>
      </c>
      <c r="B27" s="229">
        <f>Черн.!AD25</f>
        <v>389988.55579999997</v>
      </c>
      <c r="C27" s="229">
        <f>Черн.!AE25</f>
        <v>388425.05683999998</v>
      </c>
      <c r="D27" s="229">
        <f t="shared" si="0"/>
        <v>99.599091066456367</v>
      </c>
      <c r="E27" s="229">
        <f>Черн.!AK25</f>
        <v>398002.33474000002</v>
      </c>
      <c r="F27" s="229">
        <f>Черн.!AL25</f>
        <v>392617.79287</v>
      </c>
      <c r="G27" s="229">
        <f t="shared" si="1"/>
        <v>98.647107968972719</v>
      </c>
      <c r="H27" s="229">
        <f t="shared" si="2"/>
        <v>-8013.7789400000474</v>
      </c>
      <c r="I27" s="229">
        <f t="shared" si="3"/>
        <v>-4192.7360300000291</v>
      </c>
      <c r="J27" s="229">
        <f>Черн.!CN25</f>
        <v>24370.48072</v>
      </c>
      <c r="K27" s="229">
        <f>Черн.!CP25</f>
        <v>0</v>
      </c>
      <c r="L27" s="229">
        <f>Черн.!CQ25</f>
        <v>-4192.73603</v>
      </c>
      <c r="M27" s="229">
        <f>Черн.!CR25</f>
        <v>-96.801000000000002</v>
      </c>
      <c r="N27" s="229">
        <f>Черн.!CV25</f>
        <v>0</v>
      </c>
      <c r="O27" s="230">
        <f>Черн.!CW25</f>
        <v>0</v>
      </c>
    </row>
    <row r="28" spans="1:15" x14ac:dyDescent="0.25">
      <c r="A28" s="216" t="s">
        <v>182</v>
      </c>
      <c r="B28" s="229">
        <f>Черн.!AD26</f>
        <v>8313120.16885</v>
      </c>
      <c r="C28" s="229">
        <f>Черн.!AE26</f>
        <v>8285663.1557900002</v>
      </c>
      <c r="D28" s="229">
        <f t="shared" si="0"/>
        <v>99.669714709972752</v>
      </c>
      <c r="E28" s="229">
        <f>Черн.!AK26</f>
        <v>8544154.1786800008</v>
      </c>
      <c r="F28" s="229">
        <f>Черн.!AL26</f>
        <v>8170099.9408999998</v>
      </c>
      <c r="G28" s="229">
        <f t="shared" si="1"/>
        <v>95.622103370824362</v>
      </c>
      <c r="H28" s="229">
        <f t="shared" si="2"/>
        <v>-231034.00983000081</v>
      </c>
      <c r="I28" s="229">
        <f t="shared" si="3"/>
        <v>115563.21489000041</v>
      </c>
      <c r="J28" s="229">
        <f>Черн.!CN26</f>
        <v>95172.584879999995</v>
      </c>
      <c r="K28" s="229">
        <f>Черн.!CP26</f>
        <v>240.11234999999999</v>
      </c>
      <c r="L28" s="229">
        <f>Черн.!CQ26</f>
        <v>71563.214890000003</v>
      </c>
      <c r="M28" s="229">
        <f>Черн.!CR26</f>
        <v>-3670.9107900000004</v>
      </c>
      <c r="N28" s="229">
        <f>Черн.!CV26</f>
        <v>1535000</v>
      </c>
      <c r="O28" s="230">
        <f>Черн.!CW26</f>
        <v>-44000</v>
      </c>
    </row>
    <row r="29" spans="1:15" x14ac:dyDescent="0.25">
      <c r="A29" s="216" t="s">
        <v>183</v>
      </c>
      <c r="B29" s="229">
        <f>Черн.!AD27</f>
        <v>6324594.2964200005</v>
      </c>
      <c r="C29" s="229">
        <f>Черн.!AE27</f>
        <v>6352820.8781300001</v>
      </c>
      <c r="D29" s="229">
        <f t="shared" si="0"/>
        <v>100.4462986934352</v>
      </c>
      <c r="E29" s="229">
        <f>Черн.!AK27</f>
        <v>6416933.5137399994</v>
      </c>
      <c r="F29" s="229">
        <f>Черн.!AL27</f>
        <v>6347563.7851499999</v>
      </c>
      <c r="G29" s="229">
        <f t="shared" si="1"/>
        <v>98.918958277478424</v>
      </c>
      <c r="H29" s="229">
        <f t="shared" si="2"/>
        <v>-92339.21731999889</v>
      </c>
      <c r="I29" s="229">
        <f t="shared" si="3"/>
        <v>5257.0929800001904</v>
      </c>
      <c r="J29" s="229">
        <f>Черн.!CN27</f>
        <v>119973.58022</v>
      </c>
      <c r="K29" s="229">
        <f>Черн.!CP27</f>
        <v>0</v>
      </c>
      <c r="L29" s="229">
        <f>Черн.!CQ27</f>
        <v>-14742.907020000013</v>
      </c>
      <c r="M29" s="229">
        <f>Черн.!CR27</f>
        <v>-27139.455989999999</v>
      </c>
      <c r="N29" s="229">
        <f>Черн.!CV27</f>
        <v>1661466.665</v>
      </c>
      <c r="O29" s="230">
        <f>Черн.!CW27</f>
        <v>-20000</v>
      </c>
    </row>
    <row r="30" spans="1:15" x14ac:dyDescent="0.25">
      <c r="A30" s="216" t="s">
        <v>184</v>
      </c>
      <c r="B30" s="229">
        <f>Черн.!AD28</f>
        <v>1790664.37002</v>
      </c>
      <c r="C30" s="229">
        <f>Черн.!AE28</f>
        <v>1811272.5008699999</v>
      </c>
      <c r="D30" s="229">
        <f t="shared" si="0"/>
        <v>101.15086507527759</v>
      </c>
      <c r="E30" s="229">
        <f>Черн.!AK28</f>
        <v>1855014.07002</v>
      </c>
      <c r="F30" s="229">
        <f>Черн.!AL28</f>
        <v>1813856.37268</v>
      </c>
      <c r="G30" s="229">
        <f t="shared" si="1"/>
        <v>97.781273036944867</v>
      </c>
      <c r="H30" s="229">
        <f t="shared" si="2"/>
        <v>-64349.699999999953</v>
      </c>
      <c r="I30" s="229">
        <f t="shared" si="3"/>
        <v>-2583.871810000157</v>
      </c>
      <c r="J30" s="229">
        <f>Черн.!CN28</f>
        <v>17479.105490000002</v>
      </c>
      <c r="K30" s="229">
        <f>Черн.!CP28</f>
        <v>880.88889000000006</v>
      </c>
      <c r="L30" s="229">
        <f>Черн.!CQ28</f>
        <v>8416.1281900000013</v>
      </c>
      <c r="M30" s="229">
        <f>Черн.!CR28</f>
        <v>-1492.7525599999999</v>
      </c>
      <c r="N30" s="229">
        <f>Черн.!CV28</f>
        <v>140000</v>
      </c>
      <c r="O30" s="230">
        <f>Черн.!CW28</f>
        <v>11000</v>
      </c>
    </row>
    <row r="31" spans="1:15" x14ac:dyDescent="0.25">
      <c r="A31" s="216" t="s">
        <v>185</v>
      </c>
      <c r="B31" s="229">
        <f>Черн.!AD29</f>
        <v>855879.03685000003</v>
      </c>
      <c r="C31" s="229">
        <f>Черн.!AE29</f>
        <v>842377.37296000007</v>
      </c>
      <c r="D31" s="229">
        <f t="shared" si="0"/>
        <v>98.422479893923821</v>
      </c>
      <c r="E31" s="229">
        <f>Черн.!AK29</f>
        <v>889887.95685000008</v>
      </c>
      <c r="F31" s="229">
        <f>Черн.!AL29</f>
        <v>882497.34366000001</v>
      </c>
      <c r="G31" s="229">
        <f t="shared" si="1"/>
        <v>99.169489469645015</v>
      </c>
      <c r="H31" s="229">
        <f t="shared" si="2"/>
        <v>-34008.920000000042</v>
      </c>
      <c r="I31" s="229">
        <f t="shared" si="3"/>
        <v>-40119.970699999947</v>
      </c>
      <c r="J31" s="229">
        <f>Черн.!CN29</f>
        <v>6886.4237499999999</v>
      </c>
      <c r="K31" s="229">
        <f>Черн.!CP29</f>
        <v>0</v>
      </c>
      <c r="L31" s="229">
        <f>Черн.!CQ29</f>
        <v>-6119.9706999999999</v>
      </c>
      <c r="M31" s="229">
        <f>Черн.!CR29</f>
        <v>-8.92</v>
      </c>
      <c r="N31" s="229">
        <f>Черн.!CV29</f>
        <v>107800</v>
      </c>
      <c r="O31" s="230">
        <f>Черн.!CW29</f>
        <v>34000</v>
      </c>
    </row>
    <row r="32" spans="1:15" x14ac:dyDescent="0.25">
      <c r="A32" s="216" t="s">
        <v>186</v>
      </c>
      <c r="B32" s="229">
        <f>Черн.!AD30</f>
        <v>865677.91003000003</v>
      </c>
      <c r="C32" s="229">
        <f>Черн.!AE30</f>
        <v>876444.96972000005</v>
      </c>
      <c r="D32" s="229">
        <f t="shared" si="0"/>
        <v>101.24377202713038</v>
      </c>
      <c r="E32" s="229">
        <f>Черн.!AK30</f>
        <v>912932.90015999996</v>
      </c>
      <c r="F32" s="229">
        <f>Черн.!AL30</f>
        <v>907566.97770000005</v>
      </c>
      <c r="G32" s="240">
        <f t="shared" si="1"/>
        <v>99.412232546438034</v>
      </c>
      <c r="H32" s="229">
        <f t="shared" si="2"/>
        <v>-47254.990129999933</v>
      </c>
      <c r="I32" s="229">
        <f t="shared" si="3"/>
        <v>-31122.007979999995</v>
      </c>
      <c r="J32" s="229">
        <f>Черн.!CN30</f>
        <v>9832.9821499999998</v>
      </c>
      <c r="K32" s="229">
        <f>Черн.!CP30</f>
        <v>406.13578000000001</v>
      </c>
      <c r="L32" s="229">
        <f>Черн.!CQ30</f>
        <v>-2422.0089800000005</v>
      </c>
      <c r="M32" s="229">
        <f>Черн.!CR30</f>
        <v>-3700.0861199999995</v>
      </c>
      <c r="N32" s="229">
        <f>Черн.!CV30</f>
        <v>240947.424</v>
      </c>
      <c r="O32" s="230">
        <f>Черн.!CW30</f>
        <v>28699.999000000011</v>
      </c>
    </row>
    <row r="33" spans="1:15" x14ac:dyDescent="0.25">
      <c r="A33" s="216" t="s">
        <v>187</v>
      </c>
      <c r="B33" s="229">
        <f>Черн.!AD31</f>
        <v>1593289.4427</v>
      </c>
      <c r="C33" s="229">
        <f>Черн.!AE31</f>
        <v>1547327.36194</v>
      </c>
      <c r="D33" s="229">
        <f t="shared" si="0"/>
        <v>97.115271115955409</v>
      </c>
      <c r="E33" s="229">
        <f>Черн.!AK31</f>
        <v>1639166.3429400001</v>
      </c>
      <c r="F33" s="229">
        <f>Черн.!AL31</f>
        <v>1562535.2983499998</v>
      </c>
      <c r="G33" s="229">
        <f t="shared" si="1"/>
        <v>95.324998898369572</v>
      </c>
      <c r="H33" s="229">
        <f t="shared" si="2"/>
        <v>-45876.900240000105</v>
      </c>
      <c r="I33" s="229">
        <f t="shared" si="3"/>
        <v>-15207.936409999849</v>
      </c>
      <c r="J33" s="229">
        <f>Черн.!CN31</f>
        <v>34376.59115</v>
      </c>
      <c r="K33" s="229">
        <f>Черн.!CP31</f>
        <v>303.41659999999996</v>
      </c>
      <c r="L33" s="229">
        <f>Черн.!CQ31</f>
        <v>-15207.936410000002</v>
      </c>
      <c r="M33" s="229">
        <f>Черн.!CR31</f>
        <v>303.41659999999996</v>
      </c>
      <c r="N33" s="229">
        <f>Черн.!CV31</f>
        <v>0</v>
      </c>
      <c r="O33" s="230">
        <f>Черн.!CW31</f>
        <v>0</v>
      </c>
    </row>
    <row r="34" spans="1:15" x14ac:dyDescent="0.25">
      <c r="A34" s="216" t="s">
        <v>188</v>
      </c>
      <c r="B34" s="229">
        <f>Черн.!AD32</f>
        <v>111276.37164</v>
      </c>
      <c r="C34" s="229">
        <f>Черн.!AE32</f>
        <v>114339.63157</v>
      </c>
      <c r="D34" s="240">
        <f t="shared" si="0"/>
        <v>102.7528395155714</v>
      </c>
      <c r="E34" s="229">
        <f>Черн.!AK32</f>
        <v>116317.56629</v>
      </c>
      <c r="F34" s="229">
        <f>Черн.!AL32</f>
        <v>108506.95393</v>
      </c>
      <c r="G34" s="229">
        <f t="shared" si="1"/>
        <v>93.285096474141497</v>
      </c>
      <c r="H34" s="229">
        <f t="shared" si="2"/>
        <v>-5041.1946500000049</v>
      </c>
      <c r="I34" s="229">
        <f t="shared" si="3"/>
        <v>5832.6776399999944</v>
      </c>
      <c r="J34" s="229">
        <f>Черн.!CN32</f>
        <v>24086.85327</v>
      </c>
      <c r="K34" s="229">
        <f>Черн.!CP32</f>
        <v>1.54373</v>
      </c>
      <c r="L34" s="229">
        <f>Черн.!CQ32</f>
        <v>5832.6776400000017</v>
      </c>
      <c r="M34" s="229">
        <f>Черн.!CR32</f>
        <v>0</v>
      </c>
      <c r="N34" s="229">
        <f>Черн.!CV32</f>
        <v>0</v>
      </c>
      <c r="O34" s="230">
        <f>Черн.!CW32</f>
        <v>0</v>
      </c>
    </row>
    <row r="35" spans="1:15" s="218" customFormat="1" ht="13.8" thickBot="1" x14ac:dyDescent="0.3">
      <c r="A35" s="234" t="s">
        <v>189</v>
      </c>
      <c r="B35" s="235">
        <f>Черн.!AD33</f>
        <v>34267372.862460002</v>
      </c>
      <c r="C35" s="235">
        <f>Черн.!AE33</f>
        <v>34216729.009949997</v>
      </c>
      <c r="D35" s="235">
        <f t="shared" si="0"/>
        <v>99.852209701883837</v>
      </c>
      <c r="E35" s="235">
        <f>Черн.!AK33</f>
        <v>35333814.019720003</v>
      </c>
      <c r="F35" s="235">
        <f>Черн.!AL33</f>
        <v>34322284.261979997</v>
      </c>
      <c r="G35" s="235">
        <f t="shared" si="1"/>
        <v>97.137218877148499</v>
      </c>
      <c r="H35" s="235">
        <f t="shared" si="2"/>
        <v>-1066441.1572600007</v>
      </c>
      <c r="I35" s="235">
        <f t="shared" si="3"/>
        <v>-105555.25203000009</v>
      </c>
      <c r="J35" s="235">
        <f>Черн.!CN33</f>
        <v>784194.19890999992</v>
      </c>
      <c r="K35" s="235">
        <f>Черн.!CP33</f>
        <v>136128.48452000003</v>
      </c>
      <c r="L35" s="235">
        <f>Черн.!CQ33</f>
        <v>2622.746969999982</v>
      </c>
      <c r="M35" s="235">
        <f>Черн.!CR33</f>
        <v>-76026.371480000002</v>
      </c>
      <c r="N35" s="235">
        <f>Черн.!CV33</f>
        <v>4139851.0890000002</v>
      </c>
      <c r="O35" s="236">
        <f>Черн.!CW33</f>
        <v>108177.99900000001</v>
      </c>
    </row>
    <row r="36" spans="1:15" ht="13.8" thickTop="1" x14ac:dyDescent="0.25">
      <c r="A36" s="238" t="s">
        <v>221</v>
      </c>
      <c r="B36" s="239">
        <v>34268123</v>
      </c>
      <c r="C36" s="237">
        <v>34216729</v>
      </c>
      <c r="D36" s="237"/>
      <c r="E36" s="237">
        <v>35334564</v>
      </c>
      <c r="F36" s="237">
        <v>34322284</v>
      </c>
      <c r="G36" s="237"/>
      <c r="H36" s="237">
        <v>-1066441</v>
      </c>
      <c r="I36" s="237">
        <v>-105555</v>
      </c>
      <c r="J36" s="237">
        <v>784194</v>
      </c>
      <c r="K36" s="237">
        <v>136128</v>
      </c>
      <c r="L36" s="237"/>
      <c r="M36" s="237"/>
      <c r="N36" s="237"/>
      <c r="O36" s="237"/>
    </row>
    <row r="37" spans="1:15" x14ac:dyDescent="0.25">
      <c r="A37" s="238" t="s">
        <v>61</v>
      </c>
      <c r="B37" s="239">
        <f>B36-B35</f>
        <v>750.13753999769688</v>
      </c>
      <c r="C37" s="239">
        <f t="shared" ref="C37:K37" si="4">C36-C35</f>
        <v>-9.9499970674514771E-3</v>
      </c>
      <c r="D37" s="239"/>
      <c r="E37" s="239">
        <f t="shared" si="4"/>
        <v>749.98027999699116</v>
      </c>
      <c r="F37" s="239">
        <f t="shared" si="4"/>
        <v>-0.26197999715805054</v>
      </c>
      <c r="G37" s="239"/>
      <c r="H37" s="239">
        <f t="shared" si="4"/>
        <v>0.15726000070571899</v>
      </c>
      <c r="I37" s="239">
        <f t="shared" si="4"/>
        <v>0.25203000009059906</v>
      </c>
      <c r="J37" s="239">
        <f t="shared" si="4"/>
        <v>-0.19890999991912395</v>
      </c>
      <c r="K37" s="239">
        <f t="shared" si="4"/>
        <v>-0.48452000002725981</v>
      </c>
      <c r="L37" s="239"/>
      <c r="M37" s="239"/>
      <c r="N37" s="239"/>
      <c r="O37" s="257"/>
    </row>
  </sheetData>
  <autoFilter ref="A8:O37"/>
  <mergeCells count="10">
    <mergeCell ref="N1:O1"/>
    <mergeCell ref="N5:O6"/>
    <mergeCell ref="K6:K7"/>
    <mergeCell ref="A5:A7"/>
    <mergeCell ref="B5:D6"/>
    <mergeCell ref="E5:G6"/>
    <mergeCell ref="H5:I6"/>
    <mergeCell ref="J5:J7"/>
    <mergeCell ref="L5:M6"/>
    <mergeCell ref="A3:O3"/>
  </mergeCells>
  <conditionalFormatting sqref="B9:O34">
    <cfRule type="cellIs" dxfId="6" priority="1" operator="equal">
      <formula>0</formula>
    </cfRule>
  </conditionalFormatting>
  <pageMargins left="0" right="0" top="0.74803149606299213" bottom="0.74803149606299213" header="0.31496062992125984" footer="0.31496062992125984"/>
  <pageSetup paperSize="9" scale="86" orientation="landscape" r:id="rId1"/>
  <headerFooter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9"/>
  <sheetViews>
    <sheetView zoomScale="115" zoomScaleNormal="115" workbookViewId="0">
      <pane xSplit="1" ySplit="8" topLeftCell="D9" activePane="bottomRight" state="frozen"/>
      <selection pane="topRight" activeCell="B1" sqref="B1"/>
      <selection pane="bottomLeft" activeCell="A9" sqref="A9"/>
      <selection pane="bottomRight" activeCell="N6" sqref="N6:P6"/>
    </sheetView>
  </sheetViews>
  <sheetFormatPr defaultColWidth="9.44140625" defaultRowHeight="13.2" x14ac:dyDescent="0.25"/>
  <cols>
    <col min="1" max="1" width="22" style="192" customWidth="1"/>
    <col min="2" max="3" width="12.33203125" style="217" bestFit="1" customWidth="1"/>
    <col min="4" max="4" width="6.44140625" style="217" bestFit="1" customWidth="1"/>
    <col min="5" max="6" width="11.33203125" style="217" bestFit="1" customWidth="1"/>
    <col min="7" max="7" width="6.44140625" style="217" bestFit="1" customWidth="1"/>
    <col min="8" max="9" width="11.33203125" style="220" bestFit="1" customWidth="1"/>
    <col min="10" max="10" width="6.44140625" style="220" bestFit="1" customWidth="1"/>
    <col min="11" max="12" width="10" style="220" bestFit="1" customWidth="1"/>
    <col min="13" max="13" width="6.33203125" style="220" customWidth="1"/>
    <col min="14" max="15" width="11.33203125" style="220" bestFit="1" customWidth="1"/>
    <col min="16" max="16" width="6.33203125" style="220" bestFit="1" customWidth="1"/>
    <col min="17" max="17" width="9.88671875" style="220" bestFit="1" customWidth="1"/>
    <col min="18" max="18" width="10" style="220" bestFit="1" customWidth="1"/>
    <col min="19" max="19" width="6.33203125" style="220" bestFit="1" customWidth="1"/>
    <col min="20" max="16384" width="9.44140625" style="220"/>
  </cols>
  <sheetData>
    <row r="1" spans="1:19" ht="15" customHeight="1" x14ac:dyDescent="0.25">
      <c r="N1" s="219"/>
      <c r="O1" s="219"/>
      <c r="P1" s="219"/>
      <c r="Q1" s="468" t="s">
        <v>208</v>
      </c>
      <c r="R1" s="468"/>
      <c r="S1" s="468"/>
    </row>
    <row r="3" spans="1:19" s="213" customFormat="1" ht="36.75" customHeight="1" x14ac:dyDescent="0.25">
      <c r="A3" s="469" t="s">
        <v>525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</row>
    <row r="4" spans="1:19" s="213" customFormat="1" ht="13.8" thickBot="1" x14ac:dyDescent="0.3">
      <c r="A4" s="192"/>
      <c r="B4" s="192"/>
      <c r="C4" s="192"/>
      <c r="D4" s="192"/>
      <c r="E4" s="192"/>
      <c r="F4" s="192"/>
      <c r="G4" s="192"/>
      <c r="S4" s="221" t="s">
        <v>192</v>
      </c>
    </row>
    <row r="5" spans="1:19" s="222" customFormat="1" ht="12.75" customHeight="1" thickTop="1" x14ac:dyDescent="0.25">
      <c r="A5" s="448" t="s">
        <v>193</v>
      </c>
      <c r="B5" s="450" t="s">
        <v>141</v>
      </c>
      <c r="C5" s="450"/>
      <c r="D5" s="450"/>
      <c r="E5" s="450" t="s">
        <v>209</v>
      </c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450"/>
      <c r="S5" s="451"/>
    </row>
    <row r="6" spans="1:19" s="222" customFormat="1" ht="39.75" customHeight="1" x14ac:dyDescent="0.25">
      <c r="A6" s="449"/>
      <c r="B6" s="443"/>
      <c r="C6" s="443"/>
      <c r="D6" s="443"/>
      <c r="E6" s="443" t="s">
        <v>210</v>
      </c>
      <c r="F6" s="443"/>
      <c r="G6" s="443"/>
      <c r="H6" s="470" t="s">
        <v>211</v>
      </c>
      <c r="I6" s="470"/>
      <c r="J6" s="470"/>
      <c r="K6" s="470" t="s">
        <v>212</v>
      </c>
      <c r="L6" s="470"/>
      <c r="M6" s="470"/>
      <c r="N6" s="470" t="s">
        <v>531</v>
      </c>
      <c r="O6" s="470"/>
      <c r="P6" s="470"/>
      <c r="Q6" s="470" t="s">
        <v>220</v>
      </c>
      <c r="R6" s="470"/>
      <c r="S6" s="471"/>
    </row>
    <row r="7" spans="1:19" s="225" customFormat="1" ht="24" x14ac:dyDescent="0.25">
      <c r="A7" s="449"/>
      <c r="B7" s="14" t="s">
        <v>197</v>
      </c>
      <c r="C7" s="14" t="s">
        <v>198</v>
      </c>
      <c r="D7" s="14" t="s">
        <v>151</v>
      </c>
      <c r="E7" s="14" t="s">
        <v>197</v>
      </c>
      <c r="F7" s="14" t="s">
        <v>198</v>
      </c>
      <c r="G7" s="14" t="s">
        <v>151</v>
      </c>
      <c r="H7" s="223" t="s">
        <v>197</v>
      </c>
      <c r="I7" s="223" t="s">
        <v>198</v>
      </c>
      <c r="J7" s="223" t="s">
        <v>151</v>
      </c>
      <c r="K7" s="223" t="s">
        <v>197</v>
      </c>
      <c r="L7" s="223" t="s">
        <v>198</v>
      </c>
      <c r="M7" s="223" t="s">
        <v>151</v>
      </c>
      <c r="N7" s="223" t="s">
        <v>197</v>
      </c>
      <c r="O7" s="223" t="s">
        <v>198</v>
      </c>
      <c r="P7" s="223" t="s">
        <v>151</v>
      </c>
      <c r="Q7" s="223" t="s">
        <v>197</v>
      </c>
      <c r="R7" s="223" t="s">
        <v>198</v>
      </c>
      <c r="S7" s="224" t="s">
        <v>151</v>
      </c>
    </row>
    <row r="8" spans="1:19" s="228" customFormat="1" ht="10.199999999999999" x14ac:dyDescent="0.25">
      <c r="A8" s="226" t="s">
        <v>13</v>
      </c>
      <c r="B8" s="169" t="s">
        <v>14</v>
      </c>
      <c r="C8" s="169" t="s">
        <v>15</v>
      </c>
      <c r="D8" s="169" t="s">
        <v>16</v>
      </c>
      <c r="E8" s="169" t="s">
        <v>202</v>
      </c>
      <c r="F8" s="169" t="s">
        <v>213</v>
      </c>
      <c r="G8" s="188" t="s">
        <v>204</v>
      </c>
      <c r="H8" s="227" t="s">
        <v>17</v>
      </c>
      <c r="I8" s="227" t="s">
        <v>18</v>
      </c>
      <c r="J8" s="227" t="s">
        <v>19</v>
      </c>
      <c r="K8" s="227" t="s">
        <v>205</v>
      </c>
      <c r="L8" s="227" t="s">
        <v>206</v>
      </c>
      <c r="M8" s="227" t="s">
        <v>207</v>
      </c>
      <c r="N8" s="227" t="s">
        <v>214</v>
      </c>
      <c r="O8" s="227" t="s">
        <v>215</v>
      </c>
      <c r="P8" s="227" t="s">
        <v>216</v>
      </c>
      <c r="Q8" s="227" t="s">
        <v>217</v>
      </c>
      <c r="R8" s="227" t="s">
        <v>218</v>
      </c>
      <c r="S8" s="365" t="s">
        <v>219</v>
      </c>
    </row>
    <row r="9" spans="1:19" x14ac:dyDescent="0.25">
      <c r="A9" s="130" t="s">
        <v>163</v>
      </c>
      <c r="B9" s="229">
        <f>Черн.!BG7</f>
        <v>467467.19500999997</v>
      </c>
      <c r="C9" s="229">
        <f>Черн.!BL7</f>
        <v>479712.72005</v>
      </c>
      <c r="D9" s="229">
        <f>C9/B9%</f>
        <v>102.61954746145086</v>
      </c>
      <c r="E9" s="229">
        <f>Черн.!DL7</f>
        <v>249622.8</v>
      </c>
      <c r="F9" s="229">
        <f>Черн.!DN7</f>
        <v>256762.16897999999</v>
      </c>
      <c r="G9" s="229">
        <f>F9/E9%</f>
        <v>102.86006285483536</v>
      </c>
      <c r="H9" s="229">
        <f>Черн.!BN7</f>
        <v>48337.957049999997</v>
      </c>
      <c r="I9" s="229">
        <f>Черн.!BP7</f>
        <v>43357.492109999999</v>
      </c>
      <c r="J9" s="240">
        <f>I9/H9%</f>
        <v>89.696575436880195</v>
      </c>
      <c r="K9" s="229">
        <f>Черн.!BX7</f>
        <v>41840.769260000001</v>
      </c>
      <c r="L9" s="229">
        <f>Черн.!CB7</f>
        <v>43848.969010000001</v>
      </c>
      <c r="M9" s="229">
        <f>L9/K9%</f>
        <v>104.79962435088365</v>
      </c>
      <c r="N9" s="229">
        <f>Черн.!CG7</f>
        <v>43370.532270000003</v>
      </c>
      <c r="O9" s="229">
        <f>Черн.!CI7</f>
        <v>44227.377799999995</v>
      </c>
      <c r="P9" s="229">
        <f>O9/N9%</f>
        <v>101.97563987609321</v>
      </c>
      <c r="Q9" s="229">
        <f>Черн.!BS7</f>
        <v>28092.790440000001</v>
      </c>
      <c r="R9" s="229">
        <f>Черн.!BU7</f>
        <v>32920.508030000005</v>
      </c>
      <c r="S9" s="230">
        <f>R9/Q9%</f>
        <v>117.18489873873848</v>
      </c>
    </row>
    <row r="10" spans="1:19" x14ac:dyDescent="0.25">
      <c r="A10" s="130" t="s">
        <v>164</v>
      </c>
      <c r="B10" s="229">
        <f>Черн.!BG8</f>
        <v>94527.466620000007</v>
      </c>
      <c r="C10" s="229">
        <f>Черн.!BL8</f>
        <v>93315.473969999992</v>
      </c>
      <c r="D10" s="229">
        <f t="shared" ref="D10:D37" si="0">C10/B10%</f>
        <v>98.717840757467641</v>
      </c>
      <c r="E10" s="229">
        <f>Черн.!DL8</f>
        <v>38196.688170000001</v>
      </c>
      <c r="F10" s="229">
        <f>Черн.!DN8</f>
        <v>39087.002820000002</v>
      </c>
      <c r="G10" s="229">
        <f t="shared" ref="G10:G37" si="1">F10/E10%</f>
        <v>102.33086870264125</v>
      </c>
      <c r="H10" s="229">
        <f>Черн.!BN8</f>
        <v>5335.64</v>
      </c>
      <c r="I10" s="229">
        <f>Черн.!BP8</f>
        <v>5391.7375999999995</v>
      </c>
      <c r="J10" s="229">
        <f t="shared" ref="J10:J37" si="2">I10/H10%</f>
        <v>101.05137528019131</v>
      </c>
      <c r="K10" s="229">
        <f>Черн.!BX8</f>
        <v>9866.7999999999993</v>
      </c>
      <c r="L10" s="229">
        <f>Черн.!CB8</f>
        <v>8536.4631699999991</v>
      </c>
      <c r="M10" s="229">
        <f t="shared" ref="M10:M37" si="3">L10/K10%</f>
        <v>86.517038654883038</v>
      </c>
      <c r="N10" s="229">
        <f>Черн.!CG8</f>
        <v>16420.12845</v>
      </c>
      <c r="O10" s="229">
        <f>Черн.!CI8</f>
        <v>15632.901119999999</v>
      </c>
      <c r="P10" s="229">
        <f t="shared" ref="P10:P37" si="4">O10/N10%</f>
        <v>95.20571758986452</v>
      </c>
      <c r="Q10" s="229">
        <f>Черн.!BS8</f>
        <v>1265.5</v>
      </c>
      <c r="R10" s="229">
        <f>Черн.!BU8</f>
        <v>1350.2768100000001</v>
      </c>
      <c r="S10" s="230">
        <f t="shared" ref="S10:S37" si="5">R10/Q10%</f>
        <v>106.69907625444489</v>
      </c>
    </row>
    <row r="11" spans="1:19" x14ac:dyDescent="0.25">
      <c r="A11" s="130" t="s">
        <v>165</v>
      </c>
      <c r="B11" s="229">
        <f>Черн.!BG9</f>
        <v>79543.100000000006</v>
      </c>
      <c r="C11" s="229">
        <f>Черн.!BL9</f>
        <v>85309.101259999996</v>
      </c>
      <c r="D11" s="240">
        <f t="shared" si="0"/>
        <v>107.24890186578094</v>
      </c>
      <c r="E11" s="229">
        <f>Черн.!DL9</f>
        <v>40568</v>
      </c>
      <c r="F11" s="229">
        <f>Черн.!DN9</f>
        <v>42673.900580000001</v>
      </c>
      <c r="G11" s="229">
        <f t="shared" si="1"/>
        <v>105.19103870045356</v>
      </c>
      <c r="H11" s="229">
        <f>Черн.!BN9</f>
        <v>8845.7000000000007</v>
      </c>
      <c r="I11" s="229">
        <f>Черн.!BP9</f>
        <v>8845.2305699999997</v>
      </c>
      <c r="J11" s="229">
        <f t="shared" si="2"/>
        <v>99.994693127734365</v>
      </c>
      <c r="K11" s="229">
        <f>Черн.!BX9</f>
        <v>5023.7</v>
      </c>
      <c r="L11" s="229">
        <f>Черн.!CB9</f>
        <v>5678.6374699999997</v>
      </c>
      <c r="M11" s="229">
        <f t="shared" si="3"/>
        <v>113.03695423691701</v>
      </c>
      <c r="N11" s="229">
        <f>Черн.!CG9</f>
        <v>12106.5</v>
      </c>
      <c r="O11" s="229">
        <f>Черн.!CI9</f>
        <v>14711.54444</v>
      </c>
      <c r="P11" s="240">
        <f t="shared" si="4"/>
        <v>121.51773377937471</v>
      </c>
      <c r="Q11" s="229">
        <f>Черн.!BS9</f>
        <v>580</v>
      </c>
      <c r="R11" s="229">
        <f>Черн.!BU9</f>
        <v>749.31978000000004</v>
      </c>
      <c r="S11" s="230">
        <f t="shared" si="5"/>
        <v>129.19306551724139</v>
      </c>
    </row>
    <row r="12" spans="1:19" x14ac:dyDescent="0.25">
      <c r="A12" s="130" t="s">
        <v>166</v>
      </c>
      <c r="B12" s="229">
        <f>Черн.!BG10</f>
        <v>109092.587</v>
      </c>
      <c r="C12" s="229">
        <f>Черн.!BL10</f>
        <v>106257.68307</v>
      </c>
      <c r="D12" s="229">
        <f t="shared" si="0"/>
        <v>97.40137803313803</v>
      </c>
      <c r="E12" s="229">
        <f>Черн.!DL10</f>
        <v>54172.1</v>
      </c>
      <c r="F12" s="229">
        <f>Черн.!DN10</f>
        <v>55932.916659999995</v>
      </c>
      <c r="G12" s="229">
        <f t="shared" si="1"/>
        <v>103.25041240786308</v>
      </c>
      <c r="H12" s="229">
        <f>Черн.!BN10</f>
        <v>11611.1</v>
      </c>
      <c r="I12" s="229">
        <f>Черн.!BP10</f>
        <v>10635.70325</v>
      </c>
      <c r="J12" s="240">
        <f t="shared" si="2"/>
        <v>91.599445788943342</v>
      </c>
      <c r="K12" s="229">
        <f>Черн.!BX10</f>
        <v>8760.2000000000007</v>
      </c>
      <c r="L12" s="229">
        <f>Черн.!CB10</f>
        <v>8824.1019600000018</v>
      </c>
      <c r="M12" s="229">
        <f t="shared" si="3"/>
        <v>100.72945777493666</v>
      </c>
      <c r="N12" s="229">
        <f>Черн.!CG10</f>
        <v>18121.2</v>
      </c>
      <c r="O12" s="229">
        <f>Черн.!CI10</f>
        <v>18416.730010000003</v>
      </c>
      <c r="P12" s="229">
        <f t="shared" si="4"/>
        <v>101.63085231662363</v>
      </c>
      <c r="Q12" s="229">
        <f>Черн.!BS10</f>
        <v>3982</v>
      </c>
      <c r="R12" s="229">
        <f>Черн.!BU10</f>
        <v>344.10765000000004</v>
      </c>
      <c r="S12" s="242">
        <f t="shared" si="5"/>
        <v>8.6415783525866399</v>
      </c>
    </row>
    <row r="13" spans="1:19" x14ac:dyDescent="0.25">
      <c r="A13" s="130" t="s">
        <v>167</v>
      </c>
      <c r="B13" s="229">
        <f>Черн.!BG11</f>
        <v>154556.46248000002</v>
      </c>
      <c r="C13" s="229">
        <f>Черн.!BL11</f>
        <v>162754.04151999997</v>
      </c>
      <c r="D13" s="229">
        <f t="shared" si="0"/>
        <v>105.30393806150987</v>
      </c>
      <c r="E13" s="229">
        <f>Черн.!DL11</f>
        <v>52467.8</v>
      </c>
      <c r="F13" s="229">
        <f>Черн.!DN11</f>
        <v>56126.010320000001</v>
      </c>
      <c r="G13" s="229">
        <f t="shared" si="1"/>
        <v>106.97229599868872</v>
      </c>
      <c r="H13" s="229">
        <f>Черн.!BN11</f>
        <v>18901.419999999998</v>
      </c>
      <c r="I13" s="229">
        <f>Черн.!BP11</f>
        <v>18009.146219999999</v>
      </c>
      <c r="J13" s="229">
        <f t="shared" si="2"/>
        <v>95.279329383718263</v>
      </c>
      <c r="K13" s="229">
        <f>Черн.!BX11</f>
        <v>10239</v>
      </c>
      <c r="L13" s="229">
        <f>Черн.!CB11</f>
        <v>11058.1204</v>
      </c>
      <c r="M13" s="229">
        <f t="shared" si="3"/>
        <v>108.00000390663151</v>
      </c>
      <c r="N13" s="229">
        <f>Черн.!CG11</f>
        <v>13171.55349</v>
      </c>
      <c r="O13" s="229">
        <f>Черн.!CI11</f>
        <v>15740.76374</v>
      </c>
      <c r="P13" s="229">
        <f t="shared" si="4"/>
        <v>119.50574965929854</v>
      </c>
      <c r="Q13" s="229">
        <f>Черн.!BS11</f>
        <v>17744.099999999999</v>
      </c>
      <c r="R13" s="229">
        <f>Черн.!BU11</f>
        <v>19085.609629999999</v>
      </c>
      <c r="S13" s="230">
        <f t="shared" si="5"/>
        <v>107.5603137380876</v>
      </c>
    </row>
    <row r="14" spans="1:19" x14ac:dyDescent="0.25">
      <c r="A14" s="130" t="s">
        <v>168</v>
      </c>
      <c r="B14" s="229">
        <f>Черн.!BG12</f>
        <v>157420.42840999999</v>
      </c>
      <c r="C14" s="229">
        <f>Черн.!BL12</f>
        <v>170531.34177</v>
      </c>
      <c r="D14" s="240">
        <f t="shared" si="0"/>
        <v>108.32859717917471</v>
      </c>
      <c r="E14" s="229">
        <f>Черн.!DL12</f>
        <v>91117.9</v>
      </c>
      <c r="F14" s="229">
        <f>Черн.!DN12</f>
        <v>100501.5566</v>
      </c>
      <c r="G14" s="240">
        <f t="shared" si="1"/>
        <v>110.29836793868164</v>
      </c>
      <c r="H14" s="229">
        <f>Черн.!BN12</f>
        <v>17499</v>
      </c>
      <c r="I14" s="229">
        <f>Черн.!BP12</f>
        <v>17963.535640000002</v>
      </c>
      <c r="J14" s="229">
        <f t="shared" si="2"/>
        <v>102.65464106520373</v>
      </c>
      <c r="K14" s="229">
        <f>Черн.!BX12</f>
        <v>11591.55877</v>
      </c>
      <c r="L14" s="229">
        <f>Черн.!CB12</f>
        <v>12578.697119999999</v>
      </c>
      <c r="M14" s="229">
        <f t="shared" si="3"/>
        <v>108.51601039676218</v>
      </c>
      <c r="N14" s="229">
        <f>Черн.!CG12</f>
        <v>10302.24964</v>
      </c>
      <c r="O14" s="229">
        <f>Черн.!CI12</f>
        <v>11723.575490000001</v>
      </c>
      <c r="P14" s="229">
        <f t="shared" si="4"/>
        <v>113.79626683167815</v>
      </c>
      <c r="Q14" s="229">
        <f>Черн.!BS12</f>
        <v>9384</v>
      </c>
      <c r="R14" s="229">
        <f>Черн.!BU12</f>
        <v>9831.5584600000002</v>
      </c>
      <c r="S14" s="230">
        <f t="shared" si="5"/>
        <v>104.76937830349532</v>
      </c>
    </row>
    <row r="15" spans="1:19" x14ac:dyDescent="0.25">
      <c r="A15" s="130" t="s">
        <v>169</v>
      </c>
      <c r="B15" s="229">
        <f>Черн.!BG13</f>
        <v>195382.18578</v>
      </c>
      <c r="C15" s="229">
        <f>Черн.!BL13</f>
        <v>202955.95199999999</v>
      </c>
      <c r="D15" s="229">
        <f t="shared" si="0"/>
        <v>103.87638524452174</v>
      </c>
      <c r="E15" s="229">
        <f>Черн.!DL13</f>
        <v>109772.16817</v>
      </c>
      <c r="F15" s="229">
        <f>Черн.!DN13</f>
        <v>125019.31273999999</v>
      </c>
      <c r="G15" s="240">
        <f t="shared" si="1"/>
        <v>113.88980906925998</v>
      </c>
      <c r="H15" s="229">
        <f>Черн.!BN13</f>
        <v>7705.1120000000001</v>
      </c>
      <c r="I15" s="229">
        <f>Черн.!BP13</f>
        <v>7250.37896</v>
      </c>
      <c r="J15" s="229">
        <f t="shared" si="2"/>
        <v>94.09829422336756</v>
      </c>
      <c r="K15" s="229">
        <f>Черн.!BX13</f>
        <v>24777.972000000002</v>
      </c>
      <c r="L15" s="229">
        <f>Черн.!CB13</f>
        <v>19898.823789999999</v>
      </c>
      <c r="M15" s="229">
        <f t="shared" si="3"/>
        <v>80.308524805823481</v>
      </c>
      <c r="N15" s="229">
        <f>Черн.!CG13</f>
        <v>27758.42813</v>
      </c>
      <c r="O15" s="229">
        <f>Черн.!CI13</f>
        <v>25791.738730000001</v>
      </c>
      <c r="P15" s="229">
        <f t="shared" si="4"/>
        <v>92.914982826875232</v>
      </c>
      <c r="Q15" s="229">
        <f>Черн.!BS13</f>
        <v>3801.1946000000003</v>
      </c>
      <c r="R15" s="229">
        <f>Черн.!BU13</f>
        <v>3079.6111299999998</v>
      </c>
      <c r="S15" s="230">
        <f t="shared" si="5"/>
        <v>81.016928993848396</v>
      </c>
    </row>
    <row r="16" spans="1:19" x14ac:dyDescent="0.25">
      <c r="A16" s="130" t="s">
        <v>170</v>
      </c>
      <c r="B16" s="229">
        <f>Черн.!BG14</f>
        <v>92867.631670000002</v>
      </c>
      <c r="C16" s="229">
        <f>Черн.!BL14</f>
        <v>90913.197180000003</v>
      </c>
      <c r="D16" s="229">
        <f t="shared" si="0"/>
        <v>97.895462116504731</v>
      </c>
      <c r="E16" s="229">
        <f>Черн.!DL14</f>
        <v>44097.485209999999</v>
      </c>
      <c r="F16" s="229">
        <f>Черн.!DN14</f>
        <v>44826.267200000002</v>
      </c>
      <c r="G16" s="229">
        <f t="shared" si="1"/>
        <v>101.65266111327986</v>
      </c>
      <c r="H16" s="229">
        <f>Черн.!BN14</f>
        <v>10628</v>
      </c>
      <c r="I16" s="229">
        <f>Черн.!BP14</f>
        <v>10645.870150000001</v>
      </c>
      <c r="J16" s="229">
        <f t="shared" si="2"/>
        <v>100.16814217162214</v>
      </c>
      <c r="K16" s="229">
        <f>Черн.!BX14</f>
        <v>9746.2041300000001</v>
      </c>
      <c r="L16" s="229">
        <f>Черн.!CB14</f>
        <v>9036.5507300000008</v>
      </c>
      <c r="M16" s="229">
        <f t="shared" si="3"/>
        <v>92.718668821889338</v>
      </c>
      <c r="N16" s="229">
        <f>Черн.!CG14</f>
        <v>8204.1420600000001</v>
      </c>
      <c r="O16" s="229">
        <f>Черн.!CI14</f>
        <v>7929.0373099999997</v>
      </c>
      <c r="P16" s="229">
        <f t="shared" si="4"/>
        <v>96.64675784514634</v>
      </c>
      <c r="Q16" s="229">
        <f>Черн.!BS14</f>
        <v>1792</v>
      </c>
      <c r="R16" s="229">
        <f>Черн.!BU14</f>
        <v>913.63805000000002</v>
      </c>
      <c r="S16" s="242">
        <f t="shared" si="5"/>
        <v>50.984266183035707</v>
      </c>
    </row>
    <row r="17" spans="1:19" x14ac:dyDescent="0.25">
      <c r="A17" s="130" t="s">
        <v>171</v>
      </c>
      <c r="B17" s="229">
        <f>Черн.!BG15</f>
        <v>128254.48731999999</v>
      </c>
      <c r="C17" s="229">
        <f>Черн.!BL15</f>
        <v>134870.59518999999</v>
      </c>
      <c r="D17" s="229">
        <f t="shared" si="0"/>
        <v>105.15857808038527</v>
      </c>
      <c r="E17" s="229">
        <f>Черн.!DL15</f>
        <v>86601.006699999998</v>
      </c>
      <c r="F17" s="229">
        <f>Черн.!DN15</f>
        <v>90415.725080000004</v>
      </c>
      <c r="G17" s="229">
        <f t="shared" si="1"/>
        <v>104.40493537588404</v>
      </c>
      <c r="H17" s="229">
        <f>Черн.!BN15</f>
        <v>9375.9</v>
      </c>
      <c r="I17" s="229">
        <f>Черн.!BP15</f>
        <v>9474.8478599999999</v>
      </c>
      <c r="J17" s="229">
        <f t="shared" si="2"/>
        <v>101.05534252711739</v>
      </c>
      <c r="K17" s="229">
        <f>Черн.!BX15</f>
        <v>9479</v>
      </c>
      <c r="L17" s="229">
        <f>Черн.!CB15</f>
        <v>9052.648369999999</v>
      </c>
      <c r="M17" s="229">
        <f t="shared" si="3"/>
        <v>95.502145479480944</v>
      </c>
      <c r="N17" s="229">
        <f>Черн.!CG15</f>
        <v>11082.1</v>
      </c>
      <c r="O17" s="229">
        <f>Черн.!CI15</f>
        <v>13838.667589999999</v>
      </c>
      <c r="P17" s="240">
        <f t="shared" si="4"/>
        <v>124.87405446621128</v>
      </c>
      <c r="Q17" s="229">
        <f>Черн.!BS15</f>
        <v>1163.3</v>
      </c>
      <c r="R17" s="229">
        <f>Черн.!BU15</f>
        <v>1304.5572500000001</v>
      </c>
      <c r="S17" s="230">
        <f t="shared" si="5"/>
        <v>112.14280495143129</v>
      </c>
    </row>
    <row r="18" spans="1:19" x14ac:dyDescent="0.25">
      <c r="A18" s="130" t="s">
        <v>172</v>
      </c>
      <c r="B18" s="229">
        <f>Черн.!BG16</f>
        <v>53260.9</v>
      </c>
      <c r="C18" s="229">
        <f>Черн.!BL16</f>
        <v>53530.983839999994</v>
      </c>
      <c r="D18" s="229">
        <f t="shared" si="0"/>
        <v>100.50709589961865</v>
      </c>
      <c r="E18" s="229">
        <f>Черн.!DL16</f>
        <v>31485.599999999999</v>
      </c>
      <c r="F18" s="229">
        <f>Черн.!DN16</f>
        <v>29625.84289</v>
      </c>
      <c r="G18" s="240">
        <f t="shared" si="1"/>
        <v>94.093308972990826</v>
      </c>
      <c r="H18" s="229">
        <f>Черн.!BN16</f>
        <v>3331.5</v>
      </c>
      <c r="I18" s="229">
        <f>Черн.!BP16</f>
        <v>3134.46531</v>
      </c>
      <c r="J18" s="229">
        <f t="shared" si="2"/>
        <v>94.085706438541209</v>
      </c>
      <c r="K18" s="229">
        <f>Черн.!BX16</f>
        <v>1007.7</v>
      </c>
      <c r="L18" s="229">
        <f>Черн.!CB16</f>
        <v>1219.6881100000001</v>
      </c>
      <c r="M18" s="240">
        <f t="shared" si="3"/>
        <v>121.03682742879826</v>
      </c>
      <c r="N18" s="229">
        <f>Черн.!CG16</f>
        <v>10757</v>
      </c>
      <c r="O18" s="229">
        <f>Черн.!CI16</f>
        <v>12656.37053</v>
      </c>
      <c r="P18" s="229">
        <f t="shared" si="4"/>
        <v>117.65706544575626</v>
      </c>
      <c r="Q18" s="229">
        <f>Черн.!BS16</f>
        <v>693</v>
      </c>
      <c r="R18" s="229">
        <f>Черн.!BU16</f>
        <v>714.19763</v>
      </c>
      <c r="S18" s="230">
        <f t="shared" si="5"/>
        <v>103.05882106782107</v>
      </c>
    </row>
    <row r="19" spans="1:19" x14ac:dyDescent="0.25">
      <c r="A19" s="130" t="s">
        <v>173</v>
      </c>
      <c r="B19" s="229">
        <f>Черн.!BG17</f>
        <v>195573.50915999999</v>
      </c>
      <c r="C19" s="229">
        <f>Черн.!BL17</f>
        <v>177243.86254000003</v>
      </c>
      <c r="D19" s="240">
        <f t="shared" si="0"/>
        <v>90.627745700976121</v>
      </c>
      <c r="E19" s="229">
        <f>Черн.!DL17</f>
        <v>104940.6</v>
      </c>
      <c r="F19" s="229">
        <f>Черн.!DN17</f>
        <v>104404.22439</v>
      </c>
      <c r="G19" s="229">
        <f t="shared" si="1"/>
        <v>99.488876936095281</v>
      </c>
      <c r="H19" s="229">
        <f>Черн.!BN17</f>
        <v>31597.074000000001</v>
      </c>
      <c r="I19" s="229">
        <f>Черн.!BP17</f>
        <v>34802.497499999998</v>
      </c>
      <c r="J19" s="240">
        <f t="shared" si="2"/>
        <v>110.14468459959299</v>
      </c>
      <c r="K19" s="229">
        <f>Черн.!BX17</f>
        <v>3120.4927299999999</v>
      </c>
      <c r="L19" s="229">
        <f>Черн.!CB17</f>
        <v>3489.9801499999999</v>
      </c>
      <c r="M19" s="229">
        <f t="shared" si="3"/>
        <v>111.84067555895251</v>
      </c>
      <c r="N19" s="229">
        <f>Черн.!CG17</f>
        <v>16706.837599999999</v>
      </c>
      <c r="O19" s="229">
        <f>Черн.!CI17</f>
        <v>15852.27274</v>
      </c>
      <c r="P19" s="229">
        <f t="shared" si="4"/>
        <v>94.884939445392106</v>
      </c>
      <c r="Q19" s="229">
        <f>Черн.!BS17</f>
        <v>729.14727000000005</v>
      </c>
      <c r="R19" s="229">
        <f>Черн.!BU17</f>
        <v>799.49940000000004</v>
      </c>
      <c r="S19" s="230">
        <f t="shared" si="5"/>
        <v>109.64854877671009</v>
      </c>
    </row>
    <row r="20" spans="1:19" x14ac:dyDescent="0.25">
      <c r="A20" s="130" t="s">
        <v>174</v>
      </c>
      <c r="B20" s="229">
        <f>Черн.!BG18</f>
        <v>251346.807</v>
      </c>
      <c r="C20" s="229">
        <f>Черн.!BL18</f>
        <v>252956.01324</v>
      </c>
      <c r="D20" s="229">
        <f t="shared" si="0"/>
        <v>100.64023341263294</v>
      </c>
      <c r="E20" s="229">
        <f>Черн.!DL18</f>
        <v>148978</v>
      </c>
      <c r="F20" s="229">
        <f>Черн.!DN18</f>
        <v>154296.38897</v>
      </c>
      <c r="G20" s="229">
        <f t="shared" si="1"/>
        <v>103.56991567211266</v>
      </c>
      <c r="H20" s="229">
        <f>Черн.!BN18</f>
        <v>31044</v>
      </c>
      <c r="I20" s="229">
        <f>Черн.!BP18</f>
        <v>30532.372090000001</v>
      </c>
      <c r="J20" s="229">
        <f t="shared" si="2"/>
        <v>98.351926588068551</v>
      </c>
      <c r="K20" s="229">
        <f>Черн.!BX18</f>
        <v>18823</v>
      </c>
      <c r="L20" s="229">
        <f>Черн.!CB18</f>
        <v>20241.890449999999</v>
      </c>
      <c r="M20" s="229">
        <f t="shared" si="3"/>
        <v>107.5380675237741</v>
      </c>
      <c r="N20" s="229">
        <f>Черн.!CG18</f>
        <v>34171.406999999999</v>
      </c>
      <c r="O20" s="229">
        <f>Черн.!CI18</f>
        <v>27436.479039999998</v>
      </c>
      <c r="P20" s="229">
        <f t="shared" si="4"/>
        <v>80.290750216986964</v>
      </c>
      <c r="Q20" s="229">
        <f>Черн.!BS18</f>
        <v>3270</v>
      </c>
      <c r="R20" s="229">
        <f>Черн.!BU18</f>
        <v>4933.4000800000003</v>
      </c>
      <c r="S20" s="242">
        <f t="shared" si="5"/>
        <v>150.86850397553516</v>
      </c>
    </row>
    <row r="21" spans="1:19" x14ac:dyDescent="0.25">
      <c r="A21" s="130" t="s">
        <v>175</v>
      </c>
      <c r="B21" s="229">
        <f>Черн.!BG19</f>
        <v>246908.88477</v>
      </c>
      <c r="C21" s="229">
        <f>Черн.!BL19</f>
        <v>244068.81686999998</v>
      </c>
      <c r="D21" s="229">
        <f t="shared" si="0"/>
        <v>98.849750626574021</v>
      </c>
      <c r="E21" s="229">
        <f>Черн.!DL19</f>
        <v>136861.5</v>
      </c>
      <c r="F21" s="229">
        <f>Черн.!DN19</f>
        <v>134318.07890999998</v>
      </c>
      <c r="G21" s="229">
        <f t="shared" si="1"/>
        <v>98.141609517651048</v>
      </c>
      <c r="H21" s="229">
        <f>Черн.!BN19</f>
        <v>27442.174719999999</v>
      </c>
      <c r="I21" s="229">
        <f>Черн.!BP19</f>
        <v>25360.205870000002</v>
      </c>
      <c r="J21" s="229">
        <f t="shared" si="2"/>
        <v>92.41325124104452</v>
      </c>
      <c r="K21" s="229">
        <f>Черн.!BX19</f>
        <v>13821.98907</v>
      </c>
      <c r="L21" s="229">
        <f>Черн.!CB19</f>
        <v>14535.2973</v>
      </c>
      <c r="M21" s="229">
        <f t="shared" si="3"/>
        <v>105.16067713834474</v>
      </c>
      <c r="N21" s="229">
        <f>Черн.!CG19</f>
        <v>27977.239369999999</v>
      </c>
      <c r="O21" s="229">
        <f>Черн.!CI19</f>
        <v>26204.061829999999</v>
      </c>
      <c r="P21" s="229">
        <f t="shared" si="4"/>
        <v>93.662071098046283</v>
      </c>
      <c r="Q21" s="229">
        <f>Черн.!BS19</f>
        <v>19088.039769999999</v>
      </c>
      <c r="R21" s="229">
        <f>Черн.!BU19</f>
        <v>19992.019989999997</v>
      </c>
      <c r="S21" s="230">
        <f t="shared" si="5"/>
        <v>104.73584627280979</v>
      </c>
    </row>
    <row r="22" spans="1:19" x14ac:dyDescent="0.25">
      <c r="A22" s="130" t="s">
        <v>176</v>
      </c>
      <c r="B22" s="229">
        <f>Черн.!BG20</f>
        <v>158581.91438</v>
      </c>
      <c r="C22" s="229">
        <f>Черн.!BL20</f>
        <v>160169.4235</v>
      </c>
      <c r="D22" s="229">
        <f t="shared" si="0"/>
        <v>101.00106568028681</v>
      </c>
      <c r="E22" s="229">
        <f>Черн.!DL20</f>
        <v>95782.06</v>
      </c>
      <c r="F22" s="229">
        <f>Черн.!DN20</f>
        <v>96730.62043000001</v>
      </c>
      <c r="G22" s="229">
        <f t="shared" si="1"/>
        <v>100.99033204130293</v>
      </c>
      <c r="H22" s="229">
        <f>Черн.!BN20</f>
        <v>13299.975900000001</v>
      </c>
      <c r="I22" s="229">
        <f>Черн.!BP20</f>
        <v>12217.39143</v>
      </c>
      <c r="J22" s="229">
        <f t="shared" si="2"/>
        <v>91.860252393389658</v>
      </c>
      <c r="K22" s="229">
        <f>Черн.!BX20</f>
        <v>10796.015630000002</v>
      </c>
      <c r="L22" s="229">
        <f>Черн.!CB20</f>
        <v>10307.230449999999</v>
      </c>
      <c r="M22" s="229">
        <f t="shared" si="3"/>
        <v>95.472541011873261</v>
      </c>
      <c r="N22" s="229">
        <f>Черн.!CG20</f>
        <v>13039.83452</v>
      </c>
      <c r="O22" s="229">
        <f>Черн.!CI20</f>
        <v>14724.42222</v>
      </c>
      <c r="P22" s="229">
        <f t="shared" si="4"/>
        <v>112.91878127300039</v>
      </c>
      <c r="Q22" s="229">
        <f>Черн.!BS20</f>
        <v>2380.8240000000001</v>
      </c>
      <c r="R22" s="229">
        <f>Черн.!BU20</f>
        <v>1661.3356999999999</v>
      </c>
      <c r="S22" s="230">
        <f t="shared" si="5"/>
        <v>69.779861930155263</v>
      </c>
    </row>
    <row r="23" spans="1:19" x14ac:dyDescent="0.25">
      <c r="A23" s="130" t="s">
        <v>177</v>
      </c>
      <c r="B23" s="229">
        <f>Черн.!BG21</f>
        <v>349151.52065000002</v>
      </c>
      <c r="C23" s="229">
        <f>Черн.!BL21</f>
        <v>347449.26139</v>
      </c>
      <c r="D23" s="229">
        <f t="shared" si="0"/>
        <v>99.512458299814654</v>
      </c>
      <c r="E23" s="229">
        <f>Черн.!DL21</f>
        <v>195524.622</v>
      </c>
      <c r="F23" s="229">
        <f>Черн.!DN21</f>
        <v>198273.33132</v>
      </c>
      <c r="G23" s="229">
        <f t="shared" si="1"/>
        <v>101.40581236873584</v>
      </c>
      <c r="H23" s="229">
        <f>Черн.!BN21</f>
        <v>26380</v>
      </c>
      <c r="I23" s="229">
        <f>Черн.!BP21</f>
        <v>26051.877420000001</v>
      </c>
      <c r="J23" s="229">
        <f t="shared" si="2"/>
        <v>98.756169143290364</v>
      </c>
      <c r="K23" s="229">
        <f>Черн.!BX21</f>
        <v>43104.895670000005</v>
      </c>
      <c r="L23" s="229">
        <f>Черн.!CB21</f>
        <v>44900.351889999998</v>
      </c>
      <c r="M23" s="229">
        <f t="shared" si="3"/>
        <v>104.16531856090209</v>
      </c>
      <c r="N23" s="229">
        <f>Черн.!CG21</f>
        <v>37917.798640000001</v>
      </c>
      <c r="O23" s="229">
        <f>Черн.!CI21</f>
        <v>32907.840149999996</v>
      </c>
      <c r="P23" s="229">
        <f t="shared" si="4"/>
        <v>86.78731711836528</v>
      </c>
      <c r="Q23" s="229">
        <f>Черн.!BS21</f>
        <v>18926.901320000001</v>
      </c>
      <c r="R23" s="229">
        <f>Черн.!BU21</f>
        <v>17339.199639999999</v>
      </c>
      <c r="S23" s="230">
        <f t="shared" si="5"/>
        <v>91.611401923872862</v>
      </c>
    </row>
    <row r="24" spans="1:19" x14ac:dyDescent="0.25">
      <c r="A24" s="130" t="s">
        <v>178</v>
      </c>
      <c r="B24" s="229">
        <f>Черн.!BG22</f>
        <v>406143.63675999996</v>
      </c>
      <c r="C24" s="229">
        <f>Черн.!BL22</f>
        <v>421089.56041999994</v>
      </c>
      <c r="D24" s="229">
        <f t="shared" si="0"/>
        <v>103.67996007009506</v>
      </c>
      <c r="E24" s="229">
        <f>Черн.!DL22</f>
        <v>234508.01643000002</v>
      </c>
      <c r="F24" s="229">
        <f>Черн.!DN22</f>
        <v>244689.35352999999</v>
      </c>
      <c r="G24" s="229">
        <f t="shared" si="1"/>
        <v>104.34157316026725</v>
      </c>
      <c r="H24" s="229">
        <f>Черн.!BN22</f>
        <v>14311.18181</v>
      </c>
      <c r="I24" s="229">
        <f>Черн.!BP22</f>
        <v>14399.830039999999</v>
      </c>
      <c r="J24" s="229">
        <f t="shared" si="2"/>
        <v>100.61943332966433</v>
      </c>
      <c r="K24" s="229">
        <f>Черн.!BX22</f>
        <v>30058.22565</v>
      </c>
      <c r="L24" s="229">
        <f>Черн.!CB22</f>
        <v>32449.114859999998</v>
      </c>
      <c r="M24" s="229">
        <f t="shared" si="3"/>
        <v>107.95419276520067</v>
      </c>
      <c r="N24" s="229">
        <f>Черн.!CG22</f>
        <v>30528.330449999998</v>
      </c>
      <c r="O24" s="229">
        <f>Черн.!CI22</f>
        <v>31443.716829999998</v>
      </c>
      <c r="P24" s="229">
        <f t="shared" si="4"/>
        <v>102.99848162839838</v>
      </c>
      <c r="Q24" s="229">
        <f>Черн.!BS22</f>
        <v>75226.286110000001</v>
      </c>
      <c r="R24" s="229">
        <f>Черн.!BU22</f>
        <v>76035.945349999995</v>
      </c>
      <c r="S24" s="230">
        <f t="shared" si="5"/>
        <v>101.07629830192077</v>
      </c>
    </row>
    <row r="25" spans="1:19" x14ac:dyDescent="0.25">
      <c r="A25" s="130" t="s">
        <v>179</v>
      </c>
      <c r="B25" s="229">
        <f>Черн.!BG23</f>
        <v>263341.65638</v>
      </c>
      <c r="C25" s="229">
        <f>Черн.!BL23</f>
        <v>271672.84304000001</v>
      </c>
      <c r="D25" s="229">
        <f t="shared" si="0"/>
        <v>103.16364177795639</v>
      </c>
      <c r="E25" s="229">
        <f>Черн.!DL23</f>
        <v>152002.25331</v>
      </c>
      <c r="F25" s="229">
        <f>Черн.!DN23</f>
        <v>155595.10015000001</v>
      </c>
      <c r="G25" s="229">
        <f t="shared" si="1"/>
        <v>102.36367998615955</v>
      </c>
      <c r="H25" s="229">
        <f>Черн.!BN23</f>
        <v>23708.961950000001</v>
      </c>
      <c r="I25" s="229">
        <f>Черн.!BP23</f>
        <v>23477.249629999998</v>
      </c>
      <c r="J25" s="229">
        <f t="shared" si="2"/>
        <v>99.022680451009791</v>
      </c>
      <c r="K25" s="229">
        <f>Черн.!BX23</f>
        <v>24201.856829999997</v>
      </c>
      <c r="L25" s="229">
        <f>Черн.!CB23</f>
        <v>23616.16288</v>
      </c>
      <c r="M25" s="229">
        <f t="shared" si="3"/>
        <v>97.579962751973696</v>
      </c>
      <c r="N25" s="229">
        <f>Черн.!CG23</f>
        <v>26134.53253</v>
      </c>
      <c r="O25" s="229">
        <f>Черн.!CI23</f>
        <v>30980.812870000002</v>
      </c>
      <c r="P25" s="229">
        <f t="shared" si="4"/>
        <v>118.543589155218</v>
      </c>
      <c r="Q25" s="229">
        <f>Черн.!BS23</f>
        <v>6284.8691799999997</v>
      </c>
      <c r="R25" s="229">
        <f>Черн.!BU23</f>
        <v>7133.9212900000002</v>
      </c>
      <c r="S25" s="230">
        <f t="shared" si="5"/>
        <v>113.50946353349555</v>
      </c>
    </row>
    <row r="26" spans="1:19" x14ac:dyDescent="0.25">
      <c r="A26" s="130" t="s">
        <v>180</v>
      </c>
      <c r="B26" s="229">
        <f>Черн.!BG24</f>
        <v>169316.36512999999</v>
      </c>
      <c r="C26" s="229">
        <f>Черн.!BL24</f>
        <v>171587.35172000001</v>
      </c>
      <c r="D26" s="229">
        <f t="shared" si="0"/>
        <v>101.34126821601465</v>
      </c>
      <c r="E26" s="229">
        <f>Черн.!DL24</f>
        <v>75270.75</v>
      </c>
      <c r="F26" s="229">
        <f>Черн.!DN24</f>
        <v>75672.573489999995</v>
      </c>
      <c r="G26" s="229">
        <f t="shared" si="1"/>
        <v>100.53383749995848</v>
      </c>
      <c r="H26" s="229">
        <f>Черн.!BN24</f>
        <v>17005</v>
      </c>
      <c r="I26" s="229">
        <f>Черн.!BP24</f>
        <v>16082.898429999999</v>
      </c>
      <c r="J26" s="229">
        <f t="shared" si="2"/>
        <v>94.577467980005864</v>
      </c>
      <c r="K26" s="229">
        <f>Черн.!BX24</f>
        <v>14143.655000000001</v>
      </c>
      <c r="L26" s="229">
        <f>Черн.!CB24</f>
        <v>15856.038769999999</v>
      </c>
      <c r="M26" s="229">
        <f t="shared" si="3"/>
        <v>112.10708101972226</v>
      </c>
      <c r="N26" s="229">
        <f>Черн.!CG24</f>
        <v>18506.233039999999</v>
      </c>
      <c r="O26" s="229">
        <f>Черн.!CI24</f>
        <v>20033.07188</v>
      </c>
      <c r="P26" s="229">
        <f t="shared" si="4"/>
        <v>108.25040318415877</v>
      </c>
      <c r="Q26" s="229">
        <f>Черн.!BS24</f>
        <v>13569.46336</v>
      </c>
      <c r="R26" s="229">
        <f>Черн.!BU24</f>
        <v>12817.185359999999</v>
      </c>
      <c r="S26" s="230">
        <f t="shared" si="5"/>
        <v>94.45609616208138</v>
      </c>
    </row>
    <row r="27" spans="1:19" x14ac:dyDescent="0.25">
      <c r="A27" s="130" t="s">
        <v>181</v>
      </c>
      <c r="B27" s="229">
        <f>Черн.!BG25</f>
        <v>84770.540200000003</v>
      </c>
      <c r="C27" s="229">
        <f>Черн.!BL25</f>
        <v>83477.552750000003</v>
      </c>
      <c r="D27" s="229">
        <f t="shared" si="0"/>
        <v>98.474720761541164</v>
      </c>
      <c r="E27" s="229">
        <f>Черн.!DL25</f>
        <v>35754</v>
      </c>
      <c r="F27" s="229">
        <f>Черн.!DN25</f>
        <v>37026.124360000002</v>
      </c>
      <c r="G27" s="229">
        <f t="shared" si="1"/>
        <v>103.55799172120602</v>
      </c>
      <c r="H27" s="229">
        <f>Черн.!BN25</f>
        <v>8997.5</v>
      </c>
      <c r="I27" s="229">
        <f>Черн.!BP25</f>
        <v>8767.7052700000004</v>
      </c>
      <c r="J27" s="229">
        <f t="shared" si="2"/>
        <v>97.446015782161723</v>
      </c>
      <c r="K27" s="229">
        <f>Черн.!BX25</f>
        <v>12176</v>
      </c>
      <c r="L27" s="229">
        <f>Черн.!CB25</f>
        <v>10557.023939999999</v>
      </c>
      <c r="M27" s="229">
        <f t="shared" si="3"/>
        <v>86.703547470433634</v>
      </c>
      <c r="N27" s="229">
        <f>Черн.!CG25</f>
        <v>13129.14</v>
      </c>
      <c r="O27" s="229">
        <f>Черн.!CI25</f>
        <v>12156.53334</v>
      </c>
      <c r="P27" s="229">
        <f t="shared" si="4"/>
        <v>92.59200023763934</v>
      </c>
      <c r="Q27" s="229">
        <f>Черн.!BS25</f>
        <v>517</v>
      </c>
      <c r="R27" s="229">
        <f>Черн.!BU25</f>
        <v>806.15535999999997</v>
      </c>
      <c r="S27" s="242">
        <f t="shared" si="5"/>
        <v>155.92947001934235</v>
      </c>
    </row>
    <row r="28" spans="1:19" x14ac:dyDescent="0.25">
      <c r="A28" s="130" t="s">
        <v>182</v>
      </c>
      <c r="B28" s="229">
        <f>Черн.!BG26</f>
        <v>4305559.7130299993</v>
      </c>
      <c r="C28" s="229">
        <f>Черн.!BL26</f>
        <v>4421997.3595699994</v>
      </c>
      <c r="D28" s="229">
        <f t="shared" si="0"/>
        <v>102.70435563087473</v>
      </c>
      <c r="E28" s="229">
        <f>Черн.!DL26</f>
        <v>2891074.5</v>
      </c>
      <c r="F28" s="229">
        <f>Черн.!DN26</f>
        <v>2861232.58714</v>
      </c>
      <c r="G28" s="229">
        <f t="shared" si="1"/>
        <v>98.967791633871769</v>
      </c>
      <c r="H28" s="229">
        <f>Черн.!BN26</f>
        <v>499300</v>
      </c>
      <c r="I28" s="229">
        <f>Черн.!BP26</f>
        <v>475479.67907000001</v>
      </c>
      <c r="J28" s="229">
        <f t="shared" si="2"/>
        <v>95.229256773482874</v>
      </c>
      <c r="K28" s="229">
        <f>Черн.!BX26</f>
        <v>218546</v>
      </c>
      <c r="L28" s="229">
        <f>Черн.!CB26</f>
        <v>236645.68836</v>
      </c>
      <c r="M28" s="229">
        <f t="shared" si="3"/>
        <v>108.28186668252907</v>
      </c>
      <c r="N28" s="229">
        <f>Черн.!CG26</f>
        <v>341583.69400000002</v>
      </c>
      <c r="O28" s="229">
        <f>Черн.!CI26</f>
        <v>413948.98151999997</v>
      </c>
      <c r="P28" s="240">
        <f t="shared" si="4"/>
        <v>121.18522891786513</v>
      </c>
      <c r="Q28" s="229">
        <f>Черн.!BS26</f>
        <v>143613.342</v>
      </c>
      <c r="R28" s="229">
        <f>Черн.!BU26</f>
        <v>166498.89841999998</v>
      </c>
      <c r="S28" s="230">
        <f t="shared" si="5"/>
        <v>115.93553642112163</v>
      </c>
    </row>
    <row r="29" spans="1:19" x14ac:dyDescent="0.25">
      <c r="A29" s="130" t="s">
        <v>183</v>
      </c>
      <c r="B29" s="229">
        <f>Черн.!BG27</f>
        <v>3356185.2413000003</v>
      </c>
      <c r="C29" s="229">
        <f>Черн.!BL27</f>
        <v>3399457.3349499996</v>
      </c>
      <c r="D29" s="229">
        <f t="shared" si="0"/>
        <v>101.28932375714871</v>
      </c>
      <c r="E29" s="229">
        <f>Черн.!DL27</f>
        <v>2384248.7999999998</v>
      </c>
      <c r="F29" s="229">
        <f>Черн.!DN27</f>
        <v>2395490.3467899999</v>
      </c>
      <c r="G29" s="229">
        <f t="shared" si="1"/>
        <v>100.47149218613427</v>
      </c>
      <c r="H29" s="229">
        <f>Черн.!BN27</f>
        <v>158206</v>
      </c>
      <c r="I29" s="229">
        <f>Черн.!BP27</f>
        <v>157047.82084</v>
      </c>
      <c r="J29" s="229">
        <f t="shared" si="2"/>
        <v>99.267929686611126</v>
      </c>
      <c r="K29" s="229">
        <f>Черн.!BX27</f>
        <v>222613.8</v>
      </c>
      <c r="L29" s="229">
        <f>Черн.!CB27</f>
        <v>232229.31015999999</v>
      </c>
      <c r="M29" s="229">
        <f t="shared" si="3"/>
        <v>104.3193684129196</v>
      </c>
      <c r="N29" s="229">
        <f>Черн.!CG27</f>
        <v>210722.16850999999</v>
      </c>
      <c r="O29" s="229">
        <f>Черн.!CI27</f>
        <v>211183.30619</v>
      </c>
      <c r="P29" s="229">
        <f t="shared" si="4"/>
        <v>100.21883681401947</v>
      </c>
      <c r="Q29" s="229">
        <f>Черн.!BS27</f>
        <v>284918.21769999998</v>
      </c>
      <c r="R29" s="229">
        <f>Черн.!BU27</f>
        <v>298306.77164999995</v>
      </c>
      <c r="S29" s="230">
        <f t="shared" si="5"/>
        <v>104.6990866565427</v>
      </c>
    </row>
    <row r="30" spans="1:19" x14ac:dyDescent="0.25">
      <c r="A30" s="130" t="s">
        <v>184</v>
      </c>
      <c r="B30" s="229">
        <f>Черн.!BG28</f>
        <v>720345.9</v>
      </c>
      <c r="C30" s="229">
        <f>Черн.!BL28</f>
        <v>747262.39730999991</v>
      </c>
      <c r="D30" s="229">
        <f t="shared" si="0"/>
        <v>103.73660727575459</v>
      </c>
      <c r="E30" s="229">
        <f>Черн.!DL28</f>
        <v>440939.4</v>
      </c>
      <c r="F30" s="229">
        <f>Черн.!DN28</f>
        <v>438658.53936</v>
      </c>
      <c r="G30" s="229">
        <f t="shared" si="1"/>
        <v>99.482726959759091</v>
      </c>
      <c r="H30" s="229">
        <f>Черн.!BN28</f>
        <v>82611</v>
      </c>
      <c r="I30" s="229">
        <f>Черн.!BP28</f>
        <v>86145.232199999999</v>
      </c>
      <c r="J30" s="229">
        <f t="shared" si="2"/>
        <v>104.27816174601445</v>
      </c>
      <c r="K30" s="229">
        <f>Черн.!BX28</f>
        <v>57721.4</v>
      </c>
      <c r="L30" s="229">
        <f>Черн.!CB28</f>
        <v>69241.952010000008</v>
      </c>
      <c r="M30" s="240">
        <f t="shared" si="3"/>
        <v>119.95889221328659</v>
      </c>
      <c r="N30" s="229">
        <f>Черн.!CG28</f>
        <v>60781.3</v>
      </c>
      <c r="O30" s="229">
        <f>Черн.!CI28</f>
        <v>71117.459819999989</v>
      </c>
      <c r="P30" s="229">
        <f t="shared" si="4"/>
        <v>117.00549316977424</v>
      </c>
      <c r="Q30" s="229">
        <f>Черн.!BS28</f>
        <v>31324.9</v>
      </c>
      <c r="R30" s="229">
        <f>Черн.!BU28</f>
        <v>31715.242590000002</v>
      </c>
      <c r="S30" s="230">
        <f t="shared" si="5"/>
        <v>101.24610961248081</v>
      </c>
    </row>
    <row r="31" spans="1:19" x14ac:dyDescent="0.25">
      <c r="A31" s="130" t="s">
        <v>185</v>
      </c>
      <c r="B31" s="229">
        <f>Черн.!BG29</f>
        <v>347903.1</v>
      </c>
      <c r="C31" s="229">
        <f>Черн.!BL29</f>
        <v>335044.57489999995</v>
      </c>
      <c r="D31" s="229">
        <f t="shared" si="0"/>
        <v>96.303992376038025</v>
      </c>
      <c r="E31" s="229">
        <f>Черн.!DL29</f>
        <v>237731</v>
      </c>
      <c r="F31" s="229">
        <f>Черн.!DN29</f>
        <v>236062.79540999999</v>
      </c>
      <c r="G31" s="229">
        <f t="shared" si="1"/>
        <v>99.298280581834092</v>
      </c>
      <c r="H31" s="229">
        <f>Черн.!BN29</f>
        <v>21863</v>
      </c>
      <c r="I31" s="229">
        <f>Черн.!BP29</f>
        <v>21729.270570000001</v>
      </c>
      <c r="J31" s="229">
        <f t="shared" si="2"/>
        <v>99.388329918126516</v>
      </c>
      <c r="K31" s="229">
        <f>Черн.!BX29</f>
        <v>35984</v>
      </c>
      <c r="L31" s="229">
        <f>Черн.!CB29</f>
        <v>34184.972249999999</v>
      </c>
      <c r="M31" s="229">
        <f t="shared" si="3"/>
        <v>95.0004786849711</v>
      </c>
      <c r="N31" s="229">
        <f>Черн.!CG29</f>
        <v>24784</v>
      </c>
      <c r="O31" s="229">
        <f>Черн.!CI29</f>
        <v>25414.312180000001</v>
      </c>
      <c r="P31" s="229">
        <f t="shared" si="4"/>
        <v>102.54322215945771</v>
      </c>
      <c r="Q31" s="229">
        <f>Черн.!BS29</f>
        <v>640</v>
      </c>
      <c r="R31" s="229">
        <f>Черн.!BU29</f>
        <v>1721.7445600000001</v>
      </c>
      <c r="S31" s="242">
        <f t="shared" si="5"/>
        <v>269.02258749999999</v>
      </c>
    </row>
    <row r="32" spans="1:19" x14ac:dyDescent="0.25">
      <c r="A32" s="130" t="s">
        <v>186</v>
      </c>
      <c r="B32" s="229">
        <f>Черн.!BG30</f>
        <v>389822.29569</v>
      </c>
      <c r="C32" s="229">
        <f>Черн.!BL30</f>
        <v>400673.65218000003</v>
      </c>
      <c r="D32" s="229">
        <f t="shared" si="0"/>
        <v>102.78366748387049</v>
      </c>
      <c r="E32" s="229">
        <f>Черн.!DL30</f>
        <v>276101.36599000002</v>
      </c>
      <c r="F32" s="229">
        <f>Черн.!DN30</f>
        <v>283351.96538000001</v>
      </c>
      <c r="G32" s="229">
        <f t="shared" si="1"/>
        <v>102.62606429490197</v>
      </c>
      <c r="H32" s="229">
        <f>Черн.!BN30</f>
        <v>27671.37789</v>
      </c>
      <c r="I32" s="229">
        <f>Черн.!BP30</f>
        <v>27920.94815</v>
      </c>
      <c r="J32" s="229">
        <f t="shared" si="2"/>
        <v>100.90190759922436</v>
      </c>
      <c r="K32" s="229">
        <f>Черн.!BX30</f>
        <v>32358</v>
      </c>
      <c r="L32" s="229">
        <f>Черн.!CB30</f>
        <v>33742.345229999999</v>
      </c>
      <c r="M32" s="229">
        <f t="shared" si="3"/>
        <v>104.27821629890599</v>
      </c>
      <c r="N32" s="229">
        <f>Черн.!CG30</f>
        <v>23533.396579999997</v>
      </c>
      <c r="O32" s="229">
        <f>Черн.!CI30</f>
        <v>24179.348730000002</v>
      </c>
      <c r="P32" s="229">
        <f t="shared" si="4"/>
        <v>102.74483178747334</v>
      </c>
      <c r="Q32" s="229">
        <f>Черн.!BS30</f>
        <v>6440.5440799999997</v>
      </c>
      <c r="R32" s="229">
        <f>Черн.!BU30</f>
        <v>6712.1776300000001</v>
      </c>
      <c r="S32" s="230">
        <f t="shared" si="5"/>
        <v>104.21755594909305</v>
      </c>
    </row>
    <row r="33" spans="1:19" x14ac:dyDescent="0.25">
      <c r="A33" s="130" t="s">
        <v>187</v>
      </c>
      <c r="B33" s="229">
        <f>Черн.!BG31</f>
        <v>526277</v>
      </c>
      <c r="C33" s="229">
        <f>Черн.!BL31</f>
        <v>481440.95427999995</v>
      </c>
      <c r="D33" s="240">
        <f t="shared" si="0"/>
        <v>91.480523427776603</v>
      </c>
      <c r="E33" s="229">
        <f>Черн.!DL31</f>
        <v>391034</v>
      </c>
      <c r="F33" s="229">
        <f>Черн.!DN31</f>
        <v>343664.84502000001</v>
      </c>
      <c r="G33" s="240">
        <f t="shared" si="1"/>
        <v>87.886179979234541</v>
      </c>
      <c r="H33" s="229">
        <f>Черн.!BN31</f>
        <v>16165</v>
      </c>
      <c r="I33" s="229">
        <f>Черн.!BP31</f>
        <v>16365.811310000001</v>
      </c>
      <c r="J33" s="229">
        <f t="shared" si="2"/>
        <v>101.24225988246211</v>
      </c>
      <c r="K33" s="229">
        <f>Черн.!BX31</f>
        <v>16686</v>
      </c>
      <c r="L33" s="229">
        <f>Черн.!CB31</f>
        <v>17640.77349</v>
      </c>
      <c r="M33" s="229">
        <f t="shared" si="3"/>
        <v>105.72200341603738</v>
      </c>
      <c r="N33" s="229">
        <f>Черн.!CG31</f>
        <v>52224</v>
      </c>
      <c r="O33" s="229">
        <f>Черн.!CI31</f>
        <v>54883.970950000003</v>
      </c>
      <c r="P33" s="229">
        <f t="shared" si="4"/>
        <v>105.09338800168506</v>
      </c>
      <c r="Q33" s="229">
        <f>Черн.!BS31</f>
        <v>980</v>
      </c>
      <c r="R33" s="229">
        <f>Черн.!BU31</f>
        <v>1029.9892</v>
      </c>
      <c r="S33" s="230">
        <f t="shared" si="5"/>
        <v>105.1009387755102</v>
      </c>
    </row>
    <row r="34" spans="1:19" x14ac:dyDescent="0.25">
      <c r="A34" s="130" t="s">
        <v>188</v>
      </c>
      <c r="B34" s="229">
        <f>Черн.!BG32</f>
        <v>103659.67164</v>
      </c>
      <c r="C34" s="229">
        <f>Черн.!BL32</f>
        <v>107042.22842</v>
      </c>
      <c r="D34" s="229">
        <f t="shared" si="0"/>
        <v>103.26313669191167</v>
      </c>
      <c r="E34" s="229">
        <f>Черн.!DL32</f>
        <v>102694.39999999999</v>
      </c>
      <c r="F34" s="229">
        <f>Черн.!DN32</f>
        <v>106702.2724</v>
      </c>
      <c r="G34" s="229">
        <f t="shared" si="1"/>
        <v>103.90271757758944</v>
      </c>
      <c r="H34" s="229">
        <f>Черн.!BN32</f>
        <v>34.700000000000003</v>
      </c>
      <c r="I34" s="229">
        <f>Черн.!BP32</f>
        <v>71.364000000000004</v>
      </c>
      <c r="J34" s="240">
        <f t="shared" si="2"/>
        <v>205.65994236311238</v>
      </c>
      <c r="K34" s="229">
        <f>Черн.!BX32</f>
        <v>200</v>
      </c>
      <c r="L34" s="229">
        <f>Черн.!CB32</f>
        <v>86.700999999999993</v>
      </c>
      <c r="M34" s="240">
        <f t="shared" si="3"/>
        <v>43.350499999999997</v>
      </c>
      <c r="N34" s="229">
        <f>Черн.!CG32</f>
        <v>223.57164</v>
      </c>
      <c r="O34" s="229">
        <f>Черн.!CI32</f>
        <v>84.99</v>
      </c>
      <c r="P34" s="240">
        <f t="shared" si="4"/>
        <v>38.014660535656489</v>
      </c>
      <c r="Q34" s="229">
        <f>Черн.!BS32</f>
        <v>0</v>
      </c>
      <c r="R34" s="229">
        <f>Черн.!BU32</f>
        <v>0</v>
      </c>
      <c r="S34" s="230"/>
    </row>
    <row r="35" spans="1:19" s="219" customFormat="1" ht="13.8" thickBot="1" x14ac:dyDescent="0.3">
      <c r="A35" s="241" t="s">
        <v>189</v>
      </c>
      <c r="B35" s="235">
        <f>Черн.!BG33</f>
        <v>13407260.200379999</v>
      </c>
      <c r="C35" s="235">
        <f>Черн.!BL33</f>
        <v>13602784.276929999</v>
      </c>
      <c r="D35" s="235">
        <f t="shared" si="0"/>
        <v>101.45834475968817</v>
      </c>
      <c r="E35" s="235">
        <f>Черн.!DL33</f>
        <v>8701546.8159800004</v>
      </c>
      <c r="F35" s="235">
        <f>Черн.!DN33</f>
        <v>8707139.8509199992</v>
      </c>
      <c r="G35" s="235">
        <f t="shared" si="1"/>
        <v>100.06427632992478</v>
      </c>
      <c r="H35" s="235">
        <f>Черн.!BN33</f>
        <v>1141208.2753199998</v>
      </c>
      <c r="I35" s="235">
        <f>Черн.!BP33</f>
        <v>1111160.56149</v>
      </c>
      <c r="J35" s="235">
        <f t="shared" si="2"/>
        <v>97.367026293112502</v>
      </c>
      <c r="K35" s="235">
        <f>Черн.!BX33</f>
        <v>886688.2347400001</v>
      </c>
      <c r="L35" s="235">
        <f>Черн.!CB33</f>
        <v>929457.53332000005</v>
      </c>
      <c r="M35" s="235">
        <f t="shared" si="3"/>
        <v>104.82348777217518</v>
      </c>
      <c r="N35" s="235">
        <f>Черн.!CG33</f>
        <v>1103257.3179200001</v>
      </c>
      <c r="O35" s="235">
        <f>Черн.!CI33</f>
        <v>1193220.2870499999</v>
      </c>
      <c r="P35" s="235">
        <f t="shared" si="4"/>
        <v>108.15430522587509</v>
      </c>
      <c r="Q35" s="235">
        <f>Черн.!BS33</f>
        <v>676407.41983000003</v>
      </c>
      <c r="R35" s="235">
        <f>Черн.!BU33</f>
        <v>717796.87063999998</v>
      </c>
      <c r="S35" s="236">
        <f t="shared" si="5"/>
        <v>106.11901194407392</v>
      </c>
    </row>
    <row r="36" spans="1:19" ht="13.8" thickTop="1" x14ac:dyDescent="0.25"/>
    <row r="37" spans="1:19" x14ac:dyDescent="0.25">
      <c r="B37" s="217">
        <f>B35/1000</f>
        <v>13407.26020038</v>
      </c>
      <c r="C37" s="217">
        <f t="shared" ref="C37:R37" si="6">C35/1000</f>
        <v>13602.784276929999</v>
      </c>
      <c r="D37" s="217">
        <f t="shared" si="0"/>
        <v>101.45834475968816</v>
      </c>
      <c r="E37" s="217">
        <f t="shared" si="6"/>
        <v>8701.5468159800002</v>
      </c>
      <c r="F37" s="217">
        <f t="shared" si="6"/>
        <v>8707.1398509199989</v>
      </c>
      <c r="G37" s="217">
        <f t="shared" si="1"/>
        <v>100.06427632992478</v>
      </c>
      <c r="H37" s="217">
        <f t="shared" si="6"/>
        <v>1141.2082753199998</v>
      </c>
      <c r="I37" s="217">
        <f t="shared" si="6"/>
        <v>1111.16056149</v>
      </c>
      <c r="J37" s="217">
        <f t="shared" si="2"/>
        <v>97.367026293112502</v>
      </c>
      <c r="K37" s="217">
        <f t="shared" si="6"/>
        <v>886.6882347400001</v>
      </c>
      <c r="L37" s="217">
        <f t="shared" si="6"/>
        <v>929.45753332000004</v>
      </c>
      <c r="M37" s="217">
        <f t="shared" si="3"/>
        <v>104.8234877721752</v>
      </c>
      <c r="N37" s="217">
        <f t="shared" si="6"/>
        <v>1103.2573179200001</v>
      </c>
      <c r="O37" s="217">
        <f t="shared" si="6"/>
        <v>1193.22028705</v>
      </c>
      <c r="P37" s="217">
        <f t="shared" si="4"/>
        <v>108.15430522587508</v>
      </c>
      <c r="Q37" s="217">
        <f t="shared" si="6"/>
        <v>676.40741982999998</v>
      </c>
      <c r="R37" s="217">
        <f t="shared" si="6"/>
        <v>717.79687063999995</v>
      </c>
      <c r="S37" s="217">
        <f t="shared" si="5"/>
        <v>106.11901194407393</v>
      </c>
    </row>
    <row r="39" spans="1:19" x14ac:dyDescent="0.25">
      <c r="K39" s="288"/>
      <c r="L39" s="288"/>
    </row>
  </sheetData>
  <autoFilter ref="A8:S35"/>
  <mergeCells count="10">
    <mergeCell ref="Q1:S1"/>
    <mergeCell ref="A3:S3"/>
    <mergeCell ref="A5:A7"/>
    <mergeCell ref="B5:D6"/>
    <mergeCell ref="E5:S5"/>
    <mergeCell ref="E6:G6"/>
    <mergeCell ref="H6:J6"/>
    <mergeCell ref="K6:M6"/>
    <mergeCell ref="N6:P6"/>
    <mergeCell ref="Q6:S6"/>
  </mergeCells>
  <pageMargins left="0" right="0" top="0.74803149606299213" bottom="0.74803149606299213" header="0.31496062992125984" footer="0.31496062992125984"/>
  <pageSetup paperSize="9" scale="76" orientation="landscape" r:id="rId1"/>
  <headerFooter>
    <oddFooter>&amp;CСтраница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47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N7" sqref="N7:N8"/>
    </sheetView>
  </sheetViews>
  <sheetFormatPr defaultColWidth="9.109375" defaultRowHeight="13.2" x14ac:dyDescent="0.25"/>
  <cols>
    <col min="1" max="1" width="22" style="213" customWidth="1"/>
    <col min="2" max="2" width="12.33203125" style="220" bestFit="1" customWidth="1"/>
    <col min="3" max="3" width="11.33203125" style="220" bestFit="1" customWidth="1"/>
    <col min="4" max="4" width="12.33203125" style="220" bestFit="1" customWidth="1"/>
    <col min="5" max="5" width="11.33203125" style="220" bestFit="1" customWidth="1"/>
    <col min="6" max="6" width="9.6640625" style="220" bestFit="1" customWidth="1"/>
    <col min="7" max="7" width="12.33203125" style="220" bestFit="1" customWidth="1"/>
    <col min="8" max="8" width="11.33203125" style="220" bestFit="1" customWidth="1"/>
    <col min="9" max="9" width="12.33203125" style="220" bestFit="1" customWidth="1"/>
    <col min="10" max="10" width="11.33203125" style="220" bestFit="1" customWidth="1"/>
    <col min="11" max="11" width="9.6640625" style="220" bestFit="1" customWidth="1"/>
    <col min="12" max="12" width="6.33203125" style="220" bestFit="1" customWidth="1"/>
    <col min="13" max="13" width="7.109375" style="220" customWidth="1"/>
    <col min="14" max="14" width="5.6640625" style="220" customWidth="1"/>
    <col min="15" max="15" width="8" style="220" customWidth="1"/>
    <col min="16" max="16" width="9.6640625" style="220" bestFit="1" customWidth="1"/>
    <col min="17" max="16384" width="9.109375" style="220"/>
  </cols>
  <sheetData>
    <row r="1" spans="1:17" x14ac:dyDescent="0.25">
      <c r="A1" s="192"/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476" t="s">
        <v>227</v>
      </c>
      <c r="O1" s="476"/>
      <c r="P1" s="476"/>
    </row>
    <row r="2" spans="1:17" x14ac:dyDescent="0.25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1:17" ht="35.25" customHeight="1" x14ac:dyDescent="0.25">
      <c r="A3" s="477" t="s">
        <v>526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</row>
    <row r="4" spans="1:17" ht="13.8" thickBot="1" x14ac:dyDescent="0.3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472" t="s">
        <v>192</v>
      </c>
      <c r="P4" s="473"/>
    </row>
    <row r="5" spans="1:17" ht="29.4" customHeight="1" thickTop="1" x14ac:dyDescent="0.25">
      <c r="A5" s="448" t="s">
        <v>193</v>
      </c>
      <c r="B5" s="478" t="s">
        <v>407</v>
      </c>
      <c r="C5" s="478"/>
      <c r="D5" s="478"/>
      <c r="E5" s="478"/>
      <c r="F5" s="478"/>
      <c r="G5" s="478" t="s">
        <v>408</v>
      </c>
      <c r="H5" s="478"/>
      <c r="I5" s="478"/>
      <c r="J5" s="478"/>
      <c r="K5" s="478"/>
      <c r="L5" s="478" t="s">
        <v>377</v>
      </c>
      <c r="M5" s="478"/>
      <c r="N5" s="478"/>
      <c r="O5" s="478"/>
      <c r="P5" s="479"/>
    </row>
    <row r="6" spans="1:17" x14ac:dyDescent="0.25">
      <c r="A6" s="449"/>
      <c r="B6" s="474" t="s">
        <v>199</v>
      </c>
      <c r="C6" s="474" t="s">
        <v>143</v>
      </c>
      <c r="D6" s="474"/>
      <c r="E6" s="474"/>
      <c r="F6" s="474"/>
      <c r="G6" s="474" t="s">
        <v>199</v>
      </c>
      <c r="H6" s="474" t="s">
        <v>143</v>
      </c>
      <c r="I6" s="474"/>
      <c r="J6" s="474"/>
      <c r="K6" s="474"/>
      <c r="L6" s="474" t="s">
        <v>199</v>
      </c>
      <c r="M6" s="474" t="s">
        <v>143</v>
      </c>
      <c r="N6" s="474"/>
      <c r="O6" s="474"/>
      <c r="P6" s="475"/>
    </row>
    <row r="7" spans="1:17" ht="24.75" customHeight="1" x14ac:dyDescent="0.25">
      <c r="A7" s="449"/>
      <c r="B7" s="474"/>
      <c r="C7" s="474" t="s">
        <v>222</v>
      </c>
      <c r="D7" s="474" t="s">
        <v>223</v>
      </c>
      <c r="E7" s="474" t="s">
        <v>224</v>
      </c>
      <c r="F7" s="474" t="s">
        <v>367</v>
      </c>
      <c r="G7" s="474"/>
      <c r="H7" s="474" t="s">
        <v>222</v>
      </c>
      <c r="I7" s="474" t="s">
        <v>223</v>
      </c>
      <c r="J7" s="474" t="s">
        <v>224</v>
      </c>
      <c r="K7" s="474" t="s">
        <v>367</v>
      </c>
      <c r="L7" s="474"/>
      <c r="M7" s="474" t="s">
        <v>368</v>
      </c>
      <c r="N7" s="474" t="s">
        <v>376</v>
      </c>
      <c r="O7" s="474" t="s">
        <v>369</v>
      </c>
      <c r="P7" s="475" t="s">
        <v>367</v>
      </c>
    </row>
    <row r="8" spans="1:17" x14ac:dyDescent="0.25">
      <c r="A8" s="449"/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5"/>
    </row>
    <row r="9" spans="1:17" x14ac:dyDescent="0.25">
      <c r="A9" s="226" t="s">
        <v>13</v>
      </c>
      <c r="B9" s="246">
        <v>1</v>
      </c>
      <c r="C9" s="246">
        <v>2</v>
      </c>
      <c r="D9" s="246">
        <v>3</v>
      </c>
      <c r="E9" s="246">
        <v>4</v>
      </c>
      <c r="F9" s="246">
        <v>5</v>
      </c>
      <c r="G9" s="246">
        <v>6</v>
      </c>
      <c r="H9" s="246">
        <v>7</v>
      </c>
      <c r="I9" s="246">
        <v>8</v>
      </c>
      <c r="J9" s="246">
        <v>9</v>
      </c>
      <c r="K9" s="246">
        <v>10</v>
      </c>
      <c r="L9" s="246">
        <v>11</v>
      </c>
      <c r="M9" s="246">
        <v>12</v>
      </c>
      <c r="N9" s="246">
        <v>13</v>
      </c>
      <c r="O9" s="246">
        <v>14</v>
      </c>
      <c r="P9" s="247">
        <v>15</v>
      </c>
    </row>
    <row r="10" spans="1:17" x14ac:dyDescent="0.25">
      <c r="A10" s="130" t="s">
        <v>163</v>
      </c>
      <c r="B10" s="33">
        <f>Черн_кон.рас.!D8</f>
        <v>1019046.7939299999</v>
      </c>
      <c r="C10" s="33">
        <f>Черн_кон.рас.!G8</f>
        <v>315121.61888999998</v>
      </c>
      <c r="D10" s="33">
        <f>Черн_кон.рас.!J8</f>
        <v>610230.77541</v>
      </c>
      <c r="E10" s="33">
        <f>Черн_кон.рас.!M8</f>
        <v>87543.3</v>
      </c>
      <c r="F10" s="33">
        <f>Черн_кон.рас.!P8</f>
        <v>6151.0996299999997</v>
      </c>
      <c r="G10" s="33">
        <f>Черн_кон.рас.!S8</f>
        <v>956044.84140999999</v>
      </c>
      <c r="H10" s="33">
        <f>Черн_кон.рас.!V8</f>
        <v>240101.97464999999</v>
      </c>
      <c r="I10" s="33">
        <f>Черн_кон.рас.!Y8</f>
        <v>621527.28666999994</v>
      </c>
      <c r="J10" s="33">
        <f>Черн_кон.рас.!AB8</f>
        <v>86051.1</v>
      </c>
      <c r="K10" s="33">
        <f>Черн_кон.рас.!AE8</f>
        <v>8364.4800899999991</v>
      </c>
      <c r="L10" s="33">
        <f>G10/B10%-100</f>
        <v>-6.1824395989736587</v>
      </c>
      <c r="M10" s="33">
        <f>H10/C10%-100</f>
        <v>-23.806568557324923</v>
      </c>
      <c r="N10" s="33">
        <f>I10/D10%-100</f>
        <v>1.8511867501946426</v>
      </c>
      <c r="O10" s="33">
        <f>J10/E10%-100</f>
        <v>-1.7045279307496912</v>
      </c>
      <c r="P10" s="46">
        <f>K10/F10%-100</f>
        <v>35.983492271933812</v>
      </c>
    </row>
    <row r="11" spans="1:17" x14ac:dyDescent="0.25">
      <c r="A11" s="130" t="s">
        <v>164</v>
      </c>
      <c r="B11" s="33">
        <f>Черн_кон.рас.!D9</f>
        <v>508377.29904000001</v>
      </c>
      <c r="C11" s="33">
        <f>Черн_кон.рас.!G9</f>
        <v>192368.98483</v>
      </c>
      <c r="D11" s="33">
        <f>Черн_кон.рас.!J9</f>
        <v>267935.47931000002</v>
      </c>
      <c r="E11" s="33">
        <f>Черн_кон.рас.!M9</f>
        <v>47389.3</v>
      </c>
      <c r="F11" s="33">
        <f>Черн_кон.рас.!P9</f>
        <v>683.53489999999999</v>
      </c>
      <c r="G11" s="33">
        <f>Черн_кон.рас.!S9</f>
        <v>523141.29496000003</v>
      </c>
      <c r="H11" s="33">
        <f>Черн_кон.рас.!V9</f>
        <v>208749.02007</v>
      </c>
      <c r="I11" s="33">
        <f>Черн_кон.рас.!Y9</f>
        <v>259903.79788999999</v>
      </c>
      <c r="J11" s="33">
        <f>Черн_кон.рас.!AB9</f>
        <v>45753.599999999999</v>
      </c>
      <c r="K11" s="33">
        <f>Черн_кон.рас.!AE9</f>
        <v>8734.8770000000004</v>
      </c>
      <c r="L11" s="33">
        <f t="shared" ref="L11:L35" si="0">G11/B11%-100</f>
        <v>2.9041414610526033</v>
      </c>
      <c r="M11" s="33">
        <f t="shared" ref="M11:M35" si="1">H11/C11%-100</f>
        <v>8.514904444952677</v>
      </c>
      <c r="N11" s="33">
        <f t="shared" ref="N11:N35" si="2">I11/D11%-100</f>
        <v>-2.9976177252387828</v>
      </c>
      <c r="O11" s="33">
        <f t="shared" ref="O11:O35" si="3">J11/E11%-100</f>
        <v>-3.4516230457086436</v>
      </c>
      <c r="P11" s="283" t="s">
        <v>411</v>
      </c>
      <c r="Q11" s="220">
        <f>K11/F11</f>
        <v>12.77897734263459</v>
      </c>
    </row>
    <row r="12" spans="1:17" x14ac:dyDescent="0.25">
      <c r="A12" s="130" t="s">
        <v>165</v>
      </c>
      <c r="B12" s="33">
        <f>Черн_кон.рас.!D10</f>
        <v>337976.17853999999</v>
      </c>
      <c r="C12" s="33">
        <f>Черн_кон.рас.!G10</f>
        <v>127743.93728</v>
      </c>
      <c r="D12" s="33">
        <f>Черн_кон.рас.!J10</f>
        <v>179692.92530999999</v>
      </c>
      <c r="E12" s="33">
        <f>Черн_кон.рас.!M10</f>
        <v>29047.391949999997</v>
      </c>
      <c r="F12" s="33">
        <f>Черн_кон.рас.!P10</f>
        <v>1491.924</v>
      </c>
      <c r="G12" s="33">
        <f>Черн_кон.рас.!S10</f>
        <v>337058.25812999997</v>
      </c>
      <c r="H12" s="33">
        <f>Черн_кон.рас.!V10</f>
        <v>124310.80512999999</v>
      </c>
      <c r="I12" s="33">
        <f>Черн_кон.рас.!Y10</f>
        <v>183597.65299999999</v>
      </c>
      <c r="J12" s="33">
        <f>Черн_кон.рас.!AB10</f>
        <v>27657.4</v>
      </c>
      <c r="K12" s="33">
        <f>Черн_кон.рас.!AE10</f>
        <v>1492.4</v>
      </c>
      <c r="L12" s="33">
        <f t="shared" si="0"/>
        <v>-0.27159322706270927</v>
      </c>
      <c r="M12" s="33">
        <f t="shared" si="1"/>
        <v>-2.6875108307292663</v>
      </c>
      <c r="N12" s="33">
        <f t="shared" si="2"/>
        <v>2.1730002354092193</v>
      </c>
      <c r="O12" s="33">
        <f t="shared" si="3"/>
        <v>-4.7852556002019782</v>
      </c>
      <c r="P12" s="46">
        <f t="shared" ref="P12:P33" si="4">K12/F12%-100</f>
        <v>3.1905110447993934E-2</v>
      </c>
    </row>
    <row r="13" spans="1:17" x14ac:dyDescent="0.25">
      <c r="A13" s="130" t="s">
        <v>166</v>
      </c>
      <c r="B13" s="33">
        <f>Черн_кон.рас.!D11</f>
        <v>487451.99458999996</v>
      </c>
      <c r="C13" s="33">
        <f>Черн_кон.рас.!G11</f>
        <v>186621.49434999999</v>
      </c>
      <c r="D13" s="33">
        <f>Черн_кон.рас.!J11</f>
        <v>237970.70024000001</v>
      </c>
      <c r="E13" s="33">
        <f>Черн_кон.рас.!M11</f>
        <v>60622.8</v>
      </c>
      <c r="F13" s="33">
        <f>Черн_кон.рас.!P11</f>
        <v>2237</v>
      </c>
      <c r="G13" s="33">
        <f>Черн_кон.рас.!S11</f>
        <v>428590.04713999998</v>
      </c>
      <c r="H13" s="33">
        <f>Черн_кон.рас.!V11</f>
        <v>122950.63382</v>
      </c>
      <c r="I13" s="33">
        <f>Черн_кон.рас.!Y11</f>
        <v>237907.71332000001</v>
      </c>
      <c r="J13" s="33">
        <f>Черн_кон.рас.!AB11</f>
        <v>64157.4</v>
      </c>
      <c r="K13" s="33">
        <f>Черн_кон.рас.!AE11</f>
        <v>3574.3</v>
      </c>
      <c r="L13" s="33">
        <f t="shared" si="0"/>
        <v>-12.075434730656767</v>
      </c>
      <c r="M13" s="33">
        <f t="shared" si="1"/>
        <v>-34.117645854120227</v>
      </c>
      <c r="N13" s="33">
        <f t="shared" si="2"/>
        <v>-2.6468350908942284E-2</v>
      </c>
      <c r="O13" s="33">
        <f t="shared" si="3"/>
        <v>5.8304796215285251</v>
      </c>
      <c r="P13" s="46">
        <f t="shared" si="4"/>
        <v>59.780956638354951</v>
      </c>
    </row>
    <row r="14" spans="1:17" x14ac:dyDescent="0.25">
      <c r="A14" s="130" t="s">
        <v>167</v>
      </c>
      <c r="B14" s="33">
        <f>Черн_кон.рас.!D12</f>
        <v>509165.33297000005</v>
      </c>
      <c r="C14" s="33">
        <f>Черн_кон.рас.!G12</f>
        <v>203001.79159000001</v>
      </c>
      <c r="D14" s="33">
        <f>Черн_кон.рас.!J12</f>
        <v>240563.24137999999</v>
      </c>
      <c r="E14" s="33">
        <f>Черн_кон.рас.!M12</f>
        <v>59668.2</v>
      </c>
      <c r="F14" s="33">
        <f>Черн_кон.рас.!P12</f>
        <v>5932.1</v>
      </c>
      <c r="G14" s="33">
        <f>Черн_кон.рас.!S12</f>
        <v>572228.70998000004</v>
      </c>
      <c r="H14" s="33">
        <f>Черн_кон.рас.!V12</f>
        <v>239412.80038999999</v>
      </c>
      <c r="I14" s="33">
        <f>Черн_кон.рас.!Y12</f>
        <v>238954.70959000001</v>
      </c>
      <c r="J14" s="33">
        <f>Черн_кон.рас.!AB12</f>
        <v>93720.9</v>
      </c>
      <c r="K14" s="33">
        <f>Черн_кон.рас.!AE12</f>
        <v>140.30000000000001</v>
      </c>
      <c r="L14" s="33">
        <f t="shared" si="0"/>
        <v>12.385638401999316</v>
      </c>
      <c r="M14" s="33">
        <f t="shared" si="1"/>
        <v>17.936299238944059</v>
      </c>
      <c r="N14" s="33">
        <f t="shared" si="2"/>
        <v>-0.66865235967581782</v>
      </c>
      <c r="O14" s="33">
        <f t="shared" si="3"/>
        <v>57.070097639948898</v>
      </c>
      <c r="P14" s="46">
        <f t="shared" si="4"/>
        <v>-97.634901636857094</v>
      </c>
    </row>
    <row r="15" spans="1:17" x14ac:dyDescent="0.25">
      <c r="A15" s="130" t="s">
        <v>168</v>
      </c>
      <c r="B15" s="33">
        <f>Черн_кон.рас.!D13</f>
        <v>861170.47187000001</v>
      </c>
      <c r="C15" s="33">
        <f>Черн_кон.рас.!G13</f>
        <v>469785.89786999999</v>
      </c>
      <c r="D15" s="33">
        <f>Черн_кон.рас.!J13</f>
        <v>316442.15000000002</v>
      </c>
      <c r="E15" s="33">
        <f>Черн_кон.рас.!M13</f>
        <v>70856.399999999994</v>
      </c>
      <c r="F15" s="33">
        <f>Черн_кон.рас.!P13</f>
        <v>4086.0239999999999</v>
      </c>
      <c r="G15" s="33">
        <f>Черн_кон.рас.!S13</f>
        <v>662569.07481000002</v>
      </c>
      <c r="H15" s="33">
        <f>Черн_кон.рас.!V13</f>
        <v>249701.04021000001</v>
      </c>
      <c r="I15" s="33">
        <f>Черн_кон.рас.!Y13</f>
        <v>318437.5</v>
      </c>
      <c r="J15" s="33">
        <f>Черн_кон.рас.!AB13</f>
        <v>85695.6</v>
      </c>
      <c r="K15" s="33">
        <f>Черн_кон.рас.!AE13</f>
        <v>8734.9346000000005</v>
      </c>
      <c r="L15" s="33">
        <f t="shared" si="0"/>
        <v>-23.061798278887153</v>
      </c>
      <c r="M15" s="33">
        <f t="shared" si="1"/>
        <v>-46.847906388391053</v>
      </c>
      <c r="N15" s="33">
        <f t="shared" si="2"/>
        <v>0.63055759164825531</v>
      </c>
      <c r="O15" s="33">
        <f t="shared" si="3"/>
        <v>20.942638914762824</v>
      </c>
      <c r="P15" s="46">
        <f t="shared" si="4"/>
        <v>113.7759004841871</v>
      </c>
    </row>
    <row r="16" spans="1:17" x14ac:dyDescent="0.25">
      <c r="A16" s="130" t="s">
        <v>169</v>
      </c>
      <c r="B16" s="33">
        <f>Черн_кон.рас.!D14</f>
        <v>391006.43799000001</v>
      </c>
      <c r="C16" s="33">
        <f>Черн_кон.рас.!G14</f>
        <v>133371.63125999999</v>
      </c>
      <c r="D16" s="33">
        <f>Черн_кон.рас.!J14</f>
        <v>213070.55972999998</v>
      </c>
      <c r="E16" s="33">
        <f>Черн_кон.рас.!M14</f>
        <v>41452</v>
      </c>
      <c r="F16" s="33">
        <f>Черн_кон.рас.!P14</f>
        <v>3112.2469999999998</v>
      </c>
      <c r="G16" s="33">
        <f>Черн_кон.рас.!S14</f>
        <v>414280.99069000001</v>
      </c>
      <c r="H16" s="33">
        <f>Черн_кон.рас.!V14</f>
        <v>151875.84769</v>
      </c>
      <c r="I16" s="33">
        <f>Черн_кон.рас.!Y14</f>
        <v>212136.9</v>
      </c>
      <c r="J16" s="33">
        <f>Черн_кон.рас.!AB14</f>
        <v>43493.1</v>
      </c>
      <c r="K16" s="33">
        <f>Черн_кон.рас.!AE14</f>
        <v>6775.143</v>
      </c>
      <c r="L16" s="33">
        <f t="shared" si="0"/>
        <v>5.9524730128856049</v>
      </c>
      <c r="M16" s="33">
        <f t="shared" si="1"/>
        <v>13.87417718084825</v>
      </c>
      <c r="N16" s="33">
        <f t="shared" si="2"/>
        <v>-0.4381927429031407</v>
      </c>
      <c r="O16" s="33">
        <f t="shared" si="3"/>
        <v>4.9240084917494897</v>
      </c>
      <c r="P16" s="46">
        <f t="shared" si="4"/>
        <v>117.69297231228757</v>
      </c>
    </row>
    <row r="17" spans="1:17" x14ac:dyDescent="0.25">
      <c r="A17" s="130" t="s">
        <v>170</v>
      </c>
      <c r="B17" s="33">
        <f>Черн_кон.рас.!D15</f>
        <v>519872.63494999998</v>
      </c>
      <c r="C17" s="33">
        <f>Черн_кон.рас.!G15</f>
        <v>265605.66271</v>
      </c>
      <c r="D17" s="33">
        <f>Черн_кон.рас.!J15</f>
        <v>220377.42191999999</v>
      </c>
      <c r="E17" s="33">
        <f>Черн_кон.рас.!M15</f>
        <v>29147.5</v>
      </c>
      <c r="F17" s="33">
        <f>Черн_кон.рас.!P15</f>
        <v>4742.0503200000003</v>
      </c>
      <c r="G17" s="33">
        <f>Черн_кон.рас.!S15</f>
        <v>584974.63512999995</v>
      </c>
      <c r="H17" s="33">
        <f>Черн_кон.рас.!V15</f>
        <v>322249.60717999999</v>
      </c>
      <c r="I17" s="33">
        <f>Черн_кон.рас.!Y15</f>
        <v>220912.30486</v>
      </c>
      <c r="J17" s="33">
        <f>Черн_кон.рас.!AB15</f>
        <v>33639.800000000003</v>
      </c>
      <c r="K17" s="33">
        <f>Черн_кон.рас.!AE15</f>
        <v>8172.9230900000002</v>
      </c>
      <c r="L17" s="33">
        <f t="shared" si="0"/>
        <v>12.522682634807524</v>
      </c>
      <c r="M17" s="33">
        <f t="shared" si="1"/>
        <v>21.326331634670879</v>
      </c>
      <c r="N17" s="33">
        <f t="shared" si="2"/>
        <v>0.24271222312155771</v>
      </c>
      <c r="O17" s="33">
        <f t="shared" si="3"/>
        <v>15.412299511107307</v>
      </c>
      <c r="P17" s="46">
        <f t="shared" si="4"/>
        <v>72.349986577114151</v>
      </c>
    </row>
    <row r="18" spans="1:17" x14ac:dyDescent="0.25">
      <c r="A18" s="130" t="s">
        <v>171</v>
      </c>
      <c r="B18" s="33">
        <f>Черн_кон.рас.!D16</f>
        <v>421777.48245000001</v>
      </c>
      <c r="C18" s="33">
        <f>Черн_кон.рас.!G16</f>
        <v>149385.97965999998</v>
      </c>
      <c r="D18" s="33">
        <f>Черн_кон.рас.!J16</f>
        <v>243549.96937999999</v>
      </c>
      <c r="E18" s="33">
        <f>Черн_кон.рас.!M16</f>
        <v>26395.3</v>
      </c>
      <c r="F18" s="33">
        <f>Черн_кон.рас.!P16</f>
        <v>2446.2334100000003</v>
      </c>
      <c r="G18" s="33">
        <f>Черн_кон.рас.!S16</f>
        <v>396285.10681000003</v>
      </c>
      <c r="H18" s="33">
        <f>Черн_кон.рас.!V16</f>
        <v>153436.5497</v>
      </c>
      <c r="I18" s="33">
        <f>Черн_кон.рас.!Y16</f>
        <v>239078.19057000001</v>
      </c>
      <c r="J18" s="33">
        <f>Черн_кон.рас.!AB16</f>
        <v>3207.8</v>
      </c>
      <c r="K18" s="33">
        <f>Черн_кон.рас.!AE16</f>
        <v>562.56654000000003</v>
      </c>
      <c r="L18" s="33">
        <f t="shared" si="0"/>
        <v>-6.044034283651456</v>
      </c>
      <c r="M18" s="33">
        <f t="shared" si="1"/>
        <v>2.7114793832855355</v>
      </c>
      <c r="N18" s="33">
        <f t="shared" si="2"/>
        <v>-1.8360826820810985</v>
      </c>
      <c r="O18" s="33">
        <f t="shared" si="3"/>
        <v>-87.847078836004897</v>
      </c>
      <c r="P18" s="46">
        <f t="shared" si="4"/>
        <v>-77.002744803489549</v>
      </c>
    </row>
    <row r="19" spans="1:17" x14ac:dyDescent="0.25">
      <c r="A19" s="130" t="s">
        <v>172</v>
      </c>
      <c r="B19" s="33">
        <f>Черн_кон.рас.!D17</f>
        <v>299998.15743000002</v>
      </c>
      <c r="C19" s="33">
        <f>Черн_кон.рас.!G17</f>
        <v>103581.53479000001</v>
      </c>
      <c r="D19" s="33">
        <f>Черн_кон.рас.!J17</f>
        <v>159165.78063999998</v>
      </c>
      <c r="E19" s="33">
        <f>Черн_кон.рас.!M17</f>
        <v>36216</v>
      </c>
      <c r="F19" s="33">
        <f>Черн_кон.рас.!P17</f>
        <v>1034.8420000000001</v>
      </c>
      <c r="G19" s="33">
        <f>Черн_кон.рас.!S17</f>
        <v>320766.11537000001</v>
      </c>
      <c r="H19" s="33">
        <f>Черн_кон.рас.!V17</f>
        <v>121553.64154</v>
      </c>
      <c r="I19" s="33">
        <f>Черн_кон.рас.!Y17</f>
        <v>157450.4</v>
      </c>
      <c r="J19" s="33">
        <f>Черн_кон.рас.!AB17</f>
        <v>37108.199999999997</v>
      </c>
      <c r="K19" s="33">
        <f>Черн_кон.рас.!AE17</f>
        <v>4653.8738300000005</v>
      </c>
      <c r="L19" s="33">
        <f t="shared" si="0"/>
        <v>6.9226951651680935</v>
      </c>
      <c r="M19" s="33">
        <f t="shared" si="1"/>
        <v>17.350685898250532</v>
      </c>
      <c r="N19" s="33">
        <f t="shared" si="2"/>
        <v>-1.0777320559120795</v>
      </c>
      <c r="O19" s="33">
        <f t="shared" si="3"/>
        <v>2.463552021206084</v>
      </c>
      <c r="P19" s="46">
        <f t="shared" si="4"/>
        <v>349.71829805902735</v>
      </c>
    </row>
    <row r="20" spans="1:17" x14ac:dyDescent="0.25">
      <c r="A20" s="130" t="s">
        <v>173</v>
      </c>
      <c r="B20" s="33">
        <f>Черн_кон.рас.!D18</f>
        <v>360956.26293999999</v>
      </c>
      <c r="C20" s="33">
        <f>Черн_кон.рас.!G18</f>
        <v>172848.14862999998</v>
      </c>
      <c r="D20" s="33">
        <f>Черн_кон.рас.!J18</f>
        <v>185614.21231</v>
      </c>
      <c r="E20" s="33">
        <f>Черн_кон.рас.!M18</f>
        <v>1000</v>
      </c>
      <c r="F20" s="33">
        <f>Черн_кон.рас.!P18</f>
        <v>1493.902</v>
      </c>
      <c r="G20" s="33">
        <f>Черн_кон.рас.!S18</f>
        <v>344795.10667000001</v>
      </c>
      <c r="H20" s="33">
        <f>Черн_кон.рас.!V18</f>
        <v>140980.37492999999</v>
      </c>
      <c r="I20" s="33">
        <f>Черн_кон.рас.!Y18</f>
        <v>184546.54208000001</v>
      </c>
      <c r="J20" s="33">
        <f>Черн_кон.рас.!AB18</f>
        <v>16010.16966</v>
      </c>
      <c r="K20" s="33">
        <f>Черн_кон.рас.!AE18</f>
        <v>3258.02</v>
      </c>
      <c r="L20" s="33">
        <f t="shared" si="0"/>
        <v>-4.4773170406760272</v>
      </c>
      <c r="M20" s="33">
        <f t="shared" si="1"/>
        <v>-18.436861460527638</v>
      </c>
      <c r="N20" s="33">
        <f t="shared" si="2"/>
        <v>-0.57520931005909404</v>
      </c>
      <c r="O20" s="282" t="s">
        <v>412</v>
      </c>
      <c r="P20" s="46">
        <f t="shared" si="4"/>
        <v>118.08793347890287</v>
      </c>
      <c r="Q20" s="220">
        <f>J20/E20</f>
        <v>16.010169659999999</v>
      </c>
    </row>
    <row r="21" spans="1:17" x14ac:dyDescent="0.25">
      <c r="A21" s="130" t="s">
        <v>174</v>
      </c>
      <c r="B21" s="33">
        <f>Черн_кон.рас.!D19</f>
        <v>501624.31823000003</v>
      </c>
      <c r="C21" s="33">
        <f>Черн_кон.рас.!G19</f>
        <v>140509.68986000001</v>
      </c>
      <c r="D21" s="33">
        <f>Черн_кон.рас.!J19</f>
        <v>309126.85414999997</v>
      </c>
      <c r="E21" s="33">
        <f>Черн_кон.рас.!M19</f>
        <v>50653</v>
      </c>
      <c r="F21" s="33">
        <f>Черн_кон.рас.!P19</f>
        <v>1334.77422</v>
      </c>
      <c r="G21" s="33">
        <f>Черн_кон.рас.!S19</f>
        <v>475253.95484999998</v>
      </c>
      <c r="H21" s="33">
        <f>Черн_кон.рас.!V19</f>
        <v>98384.621599999999</v>
      </c>
      <c r="I21" s="33">
        <f>Черн_кон.рас.!Y19</f>
        <v>302699.70724999998</v>
      </c>
      <c r="J21" s="33">
        <f>Черн_кон.рас.!AB19</f>
        <v>57110.1</v>
      </c>
      <c r="K21" s="33">
        <f>Черн_кон.рас.!AE19</f>
        <v>17059.526000000002</v>
      </c>
      <c r="L21" s="33">
        <f t="shared" si="0"/>
        <v>-5.2569946116346387</v>
      </c>
      <c r="M21" s="33">
        <f t="shared" si="1"/>
        <v>-29.980187346489956</v>
      </c>
      <c r="N21" s="33">
        <f t="shared" si="2"/>
        <v>-2.079129268038713</v>
      </c>
      <c r="O21" s="33">
        <f t="shared" si="3"/>
        <v>12.747714844135587</v>
      </c>
      <c r="P21" s="283" t="s">
        <v>411</v>
      </c>
      <c r="Q21" s="220">
        <f>K21/F21</f>
        <v>12.780832701428711</v>
      </c>
    </row>
    <row r="22" spans="1:17" x14ac:dyDescent="0.25">
      <c r="A22" s="130" t="s">
        <v>175</v>
      </c>
      <c r="B22" s="33">
        <f>Черн_кон.рас.!D20</f>
        <v>581698.04269999999</v>
      </c>
      <c r="C22" s="33">
        <f>Черн_кон.рас.!G20</f>
        <v>82490.141959999994</v>
      </c>
      <c r="D22" s="33">
        <f>Черн_кон.рас.!J20</f>
        <v>366319.27869000001</v>
      </c>
      <c r="E22" s="33">
        <f>Черн_кон.рас.!M20</f>
        <v>90604.800000000003</v>
      </c>
      <c r="F22" s="33">
        <f>Черн_кон.рас.!P20</f>
        <v>42283.822049999995</v>
      </c>
      <c r="G22" s="33">
        <f>Черн_кон.рас.!S20</f>
        <v>598675.39451999997</v>
      </c>
      <c r="H22" s="33">
        <f>Черн_кон.рас.!V20</f>
        <v>122441.42793999999</v>
      </c>
      <c r="I22" s="33">
        <f>Черн_кон.рас.!Y20</f>
        <v>362017.04008000001</v>
      </c>
      <c r="J22" s="33">
        <f>Черн_кон.рас.!AB20</f>
        <v>102227</v>
      </c>
      <c r="K22" s="33">
        <f>Черн_кон.рас.!AE20</f>
        <v>11989.9265</v>
      </c>
      <c r="L22" s="33">
        <f t="shared" si="0"/>
        <v>2.9185850000798013</v>
      </c>
      <c r="M22" s="33">
        <f t="shared" si="1"/>
        <v>48.431588345880954</v>
      </c>
      <c r="N22" s="33">
        <f t="shared" si="2"/>
        <v>-1.1744505026831575</v>
      </c>
      <c r="O22" s="33">
        <f t="shared" si="3"/>
        <v>12.827355725082995</v>
      </c>
      <c r="P22" s="46">
        <f t="shared" si="4"/>
        <v>-71.644175198206796</v>
      </c>
    </row>
    <row r="23" spans="1:17" x14ac:dyDescent="0.25">
      <c r="A23" s="130" t="s">
        <v>176</v>
      </c>
      <c r="B23" s="33">
        <f>Черн_кон.рас.!D21</f>
        <v>872451.34234000009</v>
      </c>
      <c r="C23" s="33">
        <f>Черн_кон.рас.!G21</f>
        <v>259937.66258</v>
      </c>
      <c r="D23" s="33">
        <f>Черн_кон.рас.!J21</f>
        <v>495089.91726000002</v>
      </c>
      <c r="E23" s="33">
        <f>Черн_кон.рас.!M21</f>
        <v>116117.1</v>
      </c>
      <c r="F23" s="33">
        <f>Черн_кон.рас.!P21</f>
        <v>1306.6624999999999</v>
      </c>
      <c r="G23" s="33">
        <f>Черн_кон.рас.!S21</f>
        <v>873407.57632999995</v>
      </c>
      <c r="H23" s="33">
        <f>Черн_кон.рас.!V21</f>
        <v>272282.48288999998</v>
      </c>
      <c r="I23" s="33">
        <f>Черн_кон.рас.!Y21</f>
        <v>478961.55994000001</v>
      </c>
      <c r="J23" s="33">
        <f>Черн_кон.рас.!AB21</f>
        <v>114001.9</v>
      </c>
      <c r="K23" s="33">
        <f>Черн_кон.рас.!AE21</f>
        <v>8161.6334999999999</v>
      </c>
      <c r="L23" s="33">
        <f t="shared" si="0"/>
        <v>0.10960313126862786</v>
      </c>
      <c r="M23" s="33">
        <f t="shared" si="1"/>
        <v>4.7491464636066922</v>
      </c>
      <c r="N23" s="33">
        <f t="shared" si="2"/>
        <v>-3.2576622463369773</v>
      </c>
      <c r="O23" s="33">
        <f t="shared" si="3"/>
        <v>-1.8216093925873196</v>
      </c>
      <c r="P23" s="46">
        <f t="shared" si="4"/>
        <v>524.61680043622596</v>
      </c>
    </row>
    <row r="24" spans="1:17" x14ac:dyDescent="0.25">
      <c r="A24" s="130" t="s">
        <v>177</v>
      </c>
      <c r="B24" s="33">
        <f>Черн_кон.рас.!D22</f>
        <v>800454.23936000001</v>
      </c>
      <c r="C24" s="33">
        <f>Черн_кон.рас.!G22</f>
        <v>162358.5153</v>
      </c>
      <c r="D24" s="33">
        <f>Черн_кон.рас.!J22</f>
        <v>525559.03526000003</v>
      </c>
      <c r="E24" s="33">
        <f>Черн_кон.рас.!M22</f>
        <v>109057.60000000001</v>
      </c>
      <c r="F24" s="33">
        <f>Черн_кон.рас.!P22</f>
        <v>3479.0888</v>
      </c>
      <c r="G24" s="33">
        <f>Черн_кон.рас.!S22</f>
        <v>808386.59455000004</v>
      </c>
      <c r="H24" s="33">
        <f>Черн_кон.рас.!V22</f>
        <v>153670.26215</v>
      </c>
      <c r="I24" s="33">
        <f>Черн_кон.рас.!Y22</f>
        <v>531126.27240000002</v>
      </c>
      <c r="J24" s="33">
        <f>Черн_кон.рас.!AB22</f>
        <v>118146.1</v>
      </c>
      <c r="K24" s="33">
        <f>Черн_кон.рас.!AE22</f>
        <v>5443.96</v>
      </c>
      <c r="L24" s="33">
        <f t="shared" si="0"/>
        <v>0.99098172012210739</v>
      </c>
      <c r="M24" s="33">
        <f t="shared" si="1"/>
        <v>-5.3512765461954217</v>
      </c>
      <c r="N24" s="33">
        <f t="shared" si="2"/>
        <v>1.0592981504439081</v>
      </c>
      <c r="O24" s="33">
        <f t="shared" si="3"/>
        <v>8.3336695471017208</v>
      </c>
      <c r="P24" s="46">
        <f t="shared" si="4"/>
        <v>56.476603873979855</v>
      </c>
    </row>
    <row r="25" spans="1:17" x14ac:dyDescent="0.25">
      <c r="A25" s="130" t="s">
        <v>178</v>
      </c>
      <c r="B25" s="33">
        <f>Черн_кон.рас.!D23</f>
        <v>876818.35996999999</v>
      </c>
      <c r="C25" s="33">
        <f>Черн_кон.рас.!G23</f>
        <v>484102.51660000003</v>
      </c>
      <c r="D25" s="33">
        <f>Черн_кон.рас.!J23</f>
        <v>378285.30725000001</v>
      </c>
      <c r="E25" s="33">
        <f>Черн_кон.рас.!M23</f>
        <v>9161.5</v>
      </c>
      <c r="F25" s="33">
        <f>Черн_кон.рас.!P23</f>
        <v>5269.0361199999998</v>
      </c>
      <c r="G25" s="33">
        <f>Черн_кон.рас.!S23</f>
        <v>586426.28463000001</v>
      </c>
      <c r="H25" s="33">
        <f>Черн_кон.рас.!V23</f>
        <v>208769.01115000001</v>
      </c>
      <c r="I25" s="33">
        <f>Черн_кон.рас.!Y23</f>
        <v>374048.04066</v>
      </c>
      <c r="J25" s="33">
        <f>Черн_кон.рас.!AB23</f>
        <v>0</v>
      </c>
      <c r="K25" s="33">
        <f>Черн_кон.рас.!AE23</f>
        <v>3609.2328200000002</v>
      </c>
      <c r="L25" s="33">
        <f t="shared" si="0"/>
        <v>-33.11884063991721</v>
      </c>
      <c r="M25" s="33">
        <f t="shared" si="1"/>
        <v>-56.875041134624006</v>
      </c>
      <c r="N25" s="33">
        <f t="shared" si="2"/>
        <v>-1.1201245485328144</v>
      </c>
      <c r="O25" s="33">
        <f t="shared" si="3"/>
        <v>-100</v>
      </c>
      <c r="P25" s="46">
        <f t="shared" si="4"/>
        <v>-31.501080315236095</v>
      </c>
    </row>
    <row r="26" spans="1:17" x14ac:dyDescent="0.25">
      <c r="A26" s="130" t="s">
        <v>179</v>
      </c>
      <c r="B26" s="33">
        <f>Черн_кон.рас.!D24</f>
        <v>804329.51217999996</v>
      </c>
      <c r="C26" s="33">
        <f>Черн_кон.рас.!G24</f>
        <v>258034.07136999999</v>
      </c>
      <c r="D26" s="33">
        <f>Черн_кон.рас.!J24</f>
        <v>484942.89600000001</v>
      </c>
      <c r="E26" s="33">
        <f>Черн_кон.рас.!M24</f>
        <v>54429</v>
      </c>
      <c r="F26" s="33">
        <f>Черн_кон.рас.!P24</f>
        <v>6923.5448099999994</v>
      </c>
      <c r="G26" s="33">
        <f>Черн_кон.рас.!S24</f>
        <v>778642.63280000002</v>
      </c>
      <c r="H26" s="33">
        <f>Черн_кон.рас.!V24</f>
        <v>191756.84831999999</v>
      </c>
      <c r="I26" s="33">
        <f>Черн_кон.рас.!Y24</f>
        <v>504748.38170000003</v>
      </c>
      <c r="J26" s="33">
        <f>Черн_кон.рас.!AB24</f>
        <v>73943.600000000006</v>
      </c>
      <c r="K26" s="33">
        <f>Черн_кон.рас.!AE24</f>
        <v>8193.80278</v>
      </c>
      <c r="L26" s="33">
        <f t="shared" si="0"/>
        <v>-3.1935766363191078</v>
      </c>
      <c r="M26" s="33">
        <f t="shared" si="1"/>
        <v>-25.68545413328917</v>
      </c>
      <c r="N26" s="33">
        <f t="shared" si="2"/>
        <v>4.0840861601156462</v>
      </c>
      <c r="O26" s="33">
        <f t="shared" si="3"/>
        <v>35.853313490969896</v>
      </c>
      <c r="P26" s="46">
        <f t="shared" si="4"/>
        <v>18.346930724927304</v>
      </c>
    </row>
    <row r="27" spans="1:17" x14ac:dyDescent="0.25">
      <c r="A27" s="130" t="s">
        <v>180</v>
      </c>
      <c r="B27" s="33">
        <f>Черн_кон.рас.!D25</f>
        <v>880782.98412000004</v>
      </c>
      <c r="C27" s="33">
        <f>Черн_кон.рас.!G25</f>
        <v>345465.05161999998</v>
      </c>
      <c r="D27" s="33">
        <f>Черн_кон.рас.!J25</f>
        <v>464665.32929999998</v>
      </c>
      <c r="E27" s="33">
        <f>Черн_кон.рас.!M25</f>
        <v>62924.9</v>
      </c>
      <c r="F27" s="33">
        <f>Черн_кон.рас.!P25</f>
        <v>7727.7031999999999</v>
      </c>
      <c r="G27" s="33">
        <f>Черн_кон.рас.!S25</f>
        <v>730443.52243999997</v>
      </c>
      <c r="H27" s="33">
        <f>Черн_кон.рас.!V25</f>
        <v>183775.96290000001</v>
      </c>
      <c r="I27" s="33">
        <f>Черн_кон.рас.!Y25</f>
        <v>460750.60454999999</v>
      </c>
      <c r="J27" s="33">
        <f>Черн_кон.рас.!AB25</f>
        <v>79493</v>
      </c>
      <c r="K27" s="33">
        <f>Черн_кон.рас.!AE25</f>
        <v>6423.9549900000002</v>
      </c>
      <c r="L27" s="33">
        <f t="shared" si="0"/>
        <v>-17.068842653699292</v>
      </c>
      <c r="M27" s="33">
        <f t="shared" si="1"/>
        <v>-46.803312798729223</v>
      </c>
      <c r="N27" s="33">
        <f t="shared" si="2"/>
        <v>-0.84248264356141078</v>
      </c>
      <c r="O27" s="33">
        <f t="shared" si="3"/>
        <v>26.329958410740417</v>
      </c>
      <c r="P27" s="46">
        <f t="shared" si="4"/>
        <v>-16.871095799849044</v>
      </c>
    </row>
    <row r="28" spans="1:17" x14ac:dyDescent="0.25">
      <c r="A28" s="130" t="s">
        <v>181</v>
      </c>
      <c r="B28" s="33">
        <f>Черн_кон.рас.!D26</f>
        <v>312220.84198999999</v>
      </c>
      <c r="C28" s="33">
        <f>Черн_кон.рас.!G26</f>
        <v>79918.755219999992</v>
      </c>
      <c r="D28" s="33">
        <f>Черн_кон.рас.!J26</f>
        <v>178755.70906999998</v>
      </c>
      <c r="E28" s="33">
        <f>Черн_кон.рас.!M26</f>
        <v>52049.7</v>
      </c>
      <c r="F28" s="33">
        <f>Черн_кон.рас.!P26</f>
        <v>1496.6777</v>
      </c>
      <c r="G28" s="33">
        <f>Черн_кон.рас.!S26</f>
        <v>305045.06309000001</v>
      </c>
      <c r="H28" s="33">
        <f>Черн_кон.рас.!V26</f>
        <v>77877.774600000004</v>
      </c>
      <c r="I28" s="33">
        <f>Черн_кон.рас.!Y26</f>
        <v>170378.08848999999</v>
      </c>
      <c r="J28" s="33">
        <f>Черн_кон.рас.!AB26</f>
        <v>55172.2</v>
      </c>
      <c r="K28" s="33">
        <f>Черн_кон.рас.!AE26</f>
        <v>1617</v>
      </c>
      <c r="L28" s="33">
        <f t="shared" si="0"/>
        <v>-2.2983023344193754</v>
      </c>
      <c r="M28" s="33">
        <f t="shared" si="1"/>
        <v>-2.5538193311214457</v>
      </c>
      <c r="N28" s="33">
        <f t="shared" si="2"/>
        <v>-4.6866310584348128</v>
      </c>
      <c r="O28" s="33">
        <f t="shared" si="3"/>
        <v>5.9990739620017024</v>
      </c>
      <c r="P28" s="46">
        <f t="shared" si="4"/>
        <v>8.0392926279318431</v>
      </c>
    </row>
    <row r="29" spans="1:17" x14ac:dyDescent="0.25">
      <c r="A29" s="130" t="s">
        <v>182</v>
      </c>
      <c r="B29" s="33">
        <f>Черн_кон.рас.!D27</f>
        <v>3659829.1921599996</v>
      </c>
      <c r="C29" s="33">
        <f>Черн_кон.рас.!G27</f>
        <v>466802.88101999997</v>
      </c>
      <c r="D29" s="33">
        <f>Черн_кон.рас.!J27</f>
        <v>2974114.74817</v>
      </c>
      <c r="E29" s="33">
        <f>Черн_кон.рас.!M27</f>
        <v>94490.5</v>
      </c>
      <c r="F29" s="33">
        <f>Черн_кон.рас.!P27</f>
        <v>124421.06297</v>
      </c>
      <c r="G29" s="33">
        <f>Черн_кон.рас.!S27</f>
        <v>3889191.3073499999</v>
      </c>
      <c r="H29" s="33">
        <f>Черн_кон.рас.!V27</f>
        <v>853333.45729000005</v>
      </c>
      <c r="I29" s="33">
        <f>Черн_кон.рас.!Y27</f>
        <v>3021776.5013899999</v>
      </c>
      <c r="J29" s="33">
        <f>Черн_кон.рас.!AB27</f>
        <v>0</v>
      </c>
      <c r="K29" s="33">
        <f>Черн_кон.рас.!AE27</f>
        <v>14081.348669999999</v>
      </c>
      <c r="L29" s="33">
        <f t="shared" si="0"/>
        <v>6.2670169329578158</v>
      </c>
      <c r="M29" s="33">
        <f t="shared" si="1"/>
        <v>82.80381119872294</v>
      </c>
      <c r="N29" s="33">
        <f t="shared" si="2"/>
        <v>1.6025525998728369</v>
      </c>
      <c r="O29" s="33">
        <f t="shared" si="3"/>
        <v>-100</v>
      </c>
      <c r="P29" s="46">
        <f t="shared" si="4"/>
        <v>-88.682504124405966</v>
      </c>
    </row>
    <row r="30" spans="1:17" x14ac:dyDescent="0.25">
      <c r="A30" s="130" t="s">
        <v>183</v>
      </c>
      <c r="B30" s="33">
        <f>Черн_кон.рас.!D28</f>
        <v>3046504.2488099998</v>
      </c>
      <c r="C30" s="33">
        <f>Черн_кон.рас.!G28</f>
        <v>936305.28973000008</v>
      </c>
      <c r="D30" s="33">
        <f>Черн_кон.рас.!J28</f>
        <v>2104642.1515000002</v>
      </c>
      <c r="E30" s="33">
        <f>Черн_кон.рас.!M28</f>
        <v>0</v>
      </c>
      <c r="F30" s="33">
        <f>Черн_кон.рас.!P28</f>
        <v>5556.8075799999997</v>
      </c>
      <c r="G30" s="33">
        <f>Черн_кон.рас.!S28</f>
        <v>2976810.0986899999</v>
      </c>
      <c r="H30" s="33">
        <f>Черн_кон.рас.!V28</f>
        <v>844857.80559999996</v>
      </c>
      <c r="I30" s="33">
        <f>Черн_кон.рас.!Y28</f>
        <v>2126755.3828799999</v>
      </c>
      <c r="J30" s="33">
        <f>Черн_кон.рас.!AB28</f>
        <v>0</v>
      </c>
      <c r="K30" s="33">
        <f>Черн_кон.рас.!AE28</f>
        <v>5196.91021</v>
      </c>
      <c r="L30" s="33">
        <f t="shared" si="0"/>
        <v>-2.2876761175443363</v>
      </c>
      <c r="M30" s="33">
        <f t="shared" si="1"/>
        <v>-9.7668447602566175</v>
      </c>
      <c r="N30" s="33">
        <f t="shared" si="2"/>
        <v>1.050688420558302</v>
      </c>
      <c r="O30" s="33"/>
      <c r="P30" s="46">
        <f t="shared" si="4"/>
        <v>-6.47669304395815</v>
      </c>
    </row>
    <row r="31" spans="1:17" x14ac:dyDescent="0.25">
      <c r="A31" s="130" t="s">
        <v>184</v>
      </c>
      <c r="B31" s="33">
        <f>Черн_кон.рас.!D29</f>
        <v>964556.87405999994</v>
      </c>
      <c r="C31" s="33">
        <f>Черн_кон.рас.!G29</f>
        <v>128755.27372</v>
      </c>
      <c r="D31" s="33">
        <f>Черн_кон.рас.!J29</f>
        <v>761210.16417</v>
      </c>
      <c r="E31" s="33">
        <f>Черн_кон.рас.!M29</f>
        <v>64559.3</v>
      </c>
      <c r="F31" s="33">
        <f>Черн_кон.рас.!P29</f>
        <v>10032.13617</v>
      </c>
      <c r="G31" s="33">
        <f>Черн_кон.рас.!S29</f>
        <v>1066356.16815</v>
      </c>
      <c r="H31" s="33">
        <f>Черн_кон.рас.!V29</f>
        <v>106583.78499</v>
      </c>
      <c r="I31" s="33">
        <f>Черн_кон.рас.!Y29</f>
        <v>799940.20836000005</v>
      </c>
      <c r="J31" s="33">
        <f>Черн_кон.рас.!AB29</f>
        <v>157184.70000000001</v>
      </c>
      <c r="K31" s="33">
        <f>Черн_кон.рас.!AE29</f>
        <v>2647.4748</v>
      </c>
      <c r="L31" s="33">
        <f t="shared" si="0"/>
        <v>10.553996019074319</v>
      </c>
      <c r="M31" s="33">
        <f t="shared" si="1"/>
        <v>-17.219868429013346</v>
      </c>
      <c r="N31" s="33">
        <f t="shared" si="2"/>
        <v>5.0879567842121673</v>
      </c>
      <c r="O31" s="33">
        <f t="shared" si="3"/>
        <v>143.47336479794544</v>
      </c>
      <c r="P31" s="46">
        <f t="shared" si="4"/>
        <v>-73.610059162504371</v>
      </c>
    </row>
    <row r="32" spans="1:17" x14ac:dyDescent="0.25">
      <c r="A32" s="130" t="s">
        <v>185</v>
      </c>
      <c r="B32" s="33">
        <f>Черн_кон.рас.!D30</f>
        <v>584130.01977999997</v>
      </c>
      <c r="C32" s="33">
        <f>Черн_кон.рас.!G30</f>
        <v>140493.29119999998</v>
      </c>
      <c r="D32" s="33">
        <f>Черн_кон.рас.!J30</f>
        <v>369393.98858</v>
      </c>
      <c r="E32" s="33">
        <f>Черн_кон.рас.!M30</f>
        <v>73027.8</v>
      </c>
      <c r="F32" s="33">
        <f>Черн_кон.рас.!P30</f>
        <v>1214.94</v>
      </c>
      <c r="G32" s="33">
        <f>Черн_кон.рас.!S30</f>
        <v>503389.86505999998</v>
      </c>
      <c r="H32" s="33">
        <f>Черн_кон.рас.!V30</f>
        <v>51522.338860000003</v>
      </c>
      <c r="I32" s="33">
        <f>Черн_кон.рас.!Y30</f>
        <v>374712.6262</v>
      </c>
      <c r="J32" s="33">
        <f>Черн_кон.рас.!AB30</f>
        <v>76994.899999999994</v>
      </c>
      <c r="K32" s="33">
        <f>Черн_кон.рас.!AE30</f>
        <v>160</v>
      </c>
      <c r="L32" s="33">
        <f t="shared" si="0"/>
        <v>-13.822291610763131</v>
      </c>
      <c r="M32" s="33">
        <f t="shared" si="1"/>
        <v>-63.327545094907698</v>
      </c>
      <c r="N32" s="33">
        <f t="shared" si="2"/>
        <v>1.4398278760424716</v>
      </c>
      <c r="O32" s="33">
        <f t="shared" si="3"/>
        <v>5.432314817097037</v>
      </c>
      <c r="P32" s="46">
        <f t="shared" si="4"/>
        <v>-86.830625380677233</v>
      </c>
    </row>
    <row r="33" spans="1:17" x14ac:dyDescent="0.25">
      <c r="A33" s="130" t="s">
        <v>186</v>
      </c>
      <c r="B33" s="33">
        <f>Черн_кон.рас.!D31</f>
        <v>466066.27651999996</v>
      </c>
      <c r="C33" s="33">
        <f>Черн_кон.рас.!G31</f>
        <v>43205.995590000006</v>
      </c>
      <c r="D33" s="33">
        <f>Черн_кон.рас.!J31</f>
        <v>406199.23093000002</v>
      </c>
      <c r="E33" s="33">
        <f>Черн_кон.рас.!M31</f>
        <v>11729.8</v>
      </c>
      <c r="F33" s="33">
        <f>Черн_кон.рас.!P31</f>
        <v>4931.25</v>
      </c>
      <c r="G33" s="33">
        <f>Черн_кон.рас.!S31</f>
        <v>476145.21106</v>
      </c>
      <c r="H33" s="33">
        <f>Черн_кон.рас.!V31</f>
        <v>54479.452640000003</v>
      </c>
      <c r="I33" s="33">
        <f>Черн_кон.рас.!Y31</f>
        <v>408636.17842000001</v>
      </c>
      <c r="J33" s="33">
        <f>Черн_кон.рас.!AB31</f>
        <v>12535</v>
      </c>
      <c r="K33" s="33">
        <f>Черн_кон.рас.!AE31</f>
        <v>494.58</v>
      </c>
      <c r="L33" s="33">
        <f t="shared" si="0"/>
        <v>2.1625539215703213</v>
      </c>
      <c r="M33" s="33">
        <f t="shared" si="1"/>
        <v>26.092344120428592</v>
      </c>
      <c r="N33" s="33">
        <f t="shared" si="2"/>
        <v>0.59993897192285317</v>
      </c>
      <c r="O33" s="33">
        <f t="shared" si="3"/>
        <v>6.8645671707957661</v>
      </c>
      <c r="P33" s="46">
        <f t="shared" si="4"/>
        <v>-89.970494296577954</v>
      </c>
    </row>
    <row r="34" spans="1:17" ht="26.4" x14ac:dyDescent="0.25">
      <c r="A34" s="130" t="s">
        <v>187</v>
      </c>
      <c r="B34" s="33">
        <f>Черн_кон.рас.!D32</f>
        <v>425128.04824999999</v>
      </c>
      <c r="C34" s="33">
        <f>Черн_кон.рас.!G32</f>
        <v>15022.281210000001</v>
      </c>
      <c r="D34" s="33">
        <f>Черн_кон.рас.!J32</f>
        <v>297445.46704000002</v>
      </c>
      <c r="E34" s="33">
        <f>Черн_кон.рас.!M32</f>
        <v>112657.7</v>
      </c>
      <c r="F34" s="33">
        <f>Черн_кон.рас.!P32</f>
        <v>2.6</v>
      </c>
      <c r="G34" s="33">
        <f>Черн_кон.рас.!S32</f>
        <v>1066120.5606800001</v>
      </c>
      <c r="H34" s="33">
        <f>Черн_кон.рас.!V32</f>
        <v>611502.62373999995</v>
      </c>
      <c r="I34" s="33">
        <f>Черн_кон.рас.!Y32</f>
        <v>302859.93994000001</v>
      </c>
      <c r="J34" s="33">
        <f>Черн_кон.рас.!AB32</f>
        <v>148758</v>
      </c>
      <c r="K34" s="33">
        <f>Черн_кон.рас.!AE32</f>
        <v>2999.9969999999998</v>
      </c>
      <c r="L34" s="33">
        <f t="shared" si="0"/>
        <v>150.77634022704123</v>
      </c>
      <c r="M34" s="392" t="s">
        <v>414</v>
      </c>
      <c r="N34" s="33">
        <f t="shared" si="2"/>
        <v>1.820324563652477</v>
      </c>
      <c r="O34" s="33">
        <f t="shared" si="3"/>
        <v>32.044236656704328</v>
      </c>
      <c r="P34" s="352" t="s">
        <v>413</v>
      </c>
      <c r="Q34" s="220">
        <f>H34/C34</f>
        <v>40.706375762220198</v>
      </c>
    </row>
    <row r="35" spans="1:17" x14ac:dyDescent="0.25">
      <c r="A35" s="130" t="s">
        <v>188</v>
      </c>
      <c r="B35" s="33">
        <f>Черн_кон.рас.!D33</f>
        <v>7288.0168700000004</v>
      </c>
      <c r="C35" s="33">
        <f>Черн_кон.рас.!G33</f>
        <v>7</v>
      </c>
      <c r="D35" s="33">
        <f>Черн_кон.рас.!J33</f>
        <v>6531.3168700000006</v>
      </c>
      <c r="E35" s="33">
        <f>Черн_кон.рас.!M33</f>
        <v>749.7</v>
      </c>
      <c r="F35" s="33">
        <f>Черн_кон.рас.!P33</f>
        <v>0</v>
      </c>
      <c r="G35" s="33">
        <f>Черн_кон.рас.!S33</f>
        <v>7298.9468800000004</v>
      </c>
      <c r="H35" s="33">
        <f>Черн_кон.рас.!V33</f>
        <v>0</v>
      </c>
      <c r="I35" s="33">
        <f>Черн_кон.рас.!Y33</f>
        <v>6500.9468800000004</v>
      </c>
      <c r="J35" s="33">
        <f>Черн_кон.рас.!AB33</f>
        <v>798</v>
      </c>
      <c r="K35" s="33">
        <f>Черн_кон.рас.!AE33</f>
        <v>0</v>
      </c>
      <c r="L35" s="33">
        <f t="shared" si="0"/>
        <v>0.14997234769025169</v>
      </c>
      <c r="M35" s="33">
        <f t="shared" si="1"/>
        <v>-100</v>
      </c>
      <c r="N35" s="33">
        <f t="shared" si="2"/>
        <v>-0.46499030141221454</v>
      </c>
      <c r="O35" s="33">
        <f t="shared" si="3"/>
        <v>6.4425770308123163</v>
      </c>
      <c r="P35" s="46"/>
    </row>
    <row r="36" spans="1:17" s="219" customFormat="1" ht="13.8" thickBot="1" x14ac:dyDescent="0.3">
      <c r="A36" s="301" t="s">
        <v>189</v>
      </c>
      <c r="B36" s="302">
        <f>Черн_кон.рас.!D34</f>
        <v>20500681.364039999</v>
      </c>
      <c r="C36" s="302">
        <f>Черн_кон.рас.!G34</f>
        <v>5862845.098840001</v>
      </c>
      <c r="D36" s="302">
        <f>Черн_кон.рас.!J34</f>
        <v>12996894.609870002</v>
      </c>
      <c r="E36" s="302">
        <f>Черн_кон.рас.!M34</f>
        <v>1391550.59195</v>
      </c>
      <c r="F36" s="302">
        <f>Черн_кон.рас.!P34</f>
        <v>249391.06338000001</v>
      </c>
      <c r="G36" s="302">
        <f>Черн_кон.рас.!S34</f>
        <v>20682327.362179998</v>
      </c>
      <c r="H36" s="302">
        <f>Черн_кон.рас.!V34</f>
        <v>5906560.1499799984</v>
      </c>
      <c r="I36" s="302">
        <f>Черн_кон.рас.!Y34</f>
        <v>13100364.477119999</v>
      </c>
      <c r="J36" s="302">
        <f>Черн_кон.рас.!AB34</f>
        <v>1532859.5696599996</v>
      </c>
      <c r="K36" s="302">
        <f>Черн_кон.рас.!AE34</f>
        <v>142543.16541999998</v>
      </c>
      <c r="L36" s="302">
        <f t="shared" ref="L36:P36" si="5">G36/B36%-100</f>
        <v>0.88604858987088164</v>
      </c>
      <c r="M36" s="302">
        <f t="shared" si="5"/>
        <v>0.74562862233298688</v>
      </c>
      <c r="N36" s="302">
        <f t="shared" si="5"/>
        <v>0.79611222800421899</v>
      </c>
      <c r="O36" s="302">
        <f t="shared" si="5"/>
        <v>10.154785498095421</v>
      </c>
      <c r="P36" s="303">
        <f t="shared" si="5"/>
        <v>-42.843515125156941</v>
      </c>
    </row>
    <row r="37" spans="1:17" ht="13.8" thickTop="1" x14ac:dyDescent="0.25">
      <c r="A37" s="192" t="s">
        <v>370</v>
      </c>
      <c r="B37" s="217"/>
      <c r="C37" s="217">
        <f>C36/$B$36%</f>
        <v>28.598293855363988</v>
      </c>
      <c r="D37" s="217">
        <f t="shared" ref="D37:F37" si="6">D36/$B$36%</f>
        <v>63.397378745994757</v>
      </c>
      <c r="E37" s="217">
        <f t="shared" si="6"/>
        <v>6.7878260592396815</v>
      </c>
      <c r="F37" s="217">
        <f t="shared" si="6"/>
        <v>1.2165013394015962</v>
      </c>
      <c r="G37" s="217"/>
      <c r="H37" s="217">
        <f>H36/$G$36%</f>
        <v>28.558488832261787</v>
      </c>
      <c r="I37" s="217">
        <f t="shared" ref="I37:K37" si="7">I36/$G$36%</f>
        <v>63.340862213966858</v>
      </c>
      <c r="J37" s="217">
        <f t="shared" si="7"/>
        <v>7.4114462208107614</v>
      </c>
      <c r="K37" s="217">
        <f t="shared" si="7"/>
        <v>0.68920273296058776</v>
      </c>
      <c r="L37" s="217"/>
      <c r="M37" s="217">
        <f>H37-C37</f>
        <v>-3.9805023102200465E-2</v>
      </c>
      <c r="N37" s="217">
        <f t="shared" ref="N37:P37" si="8">I37-D37</f>
        <v>-5.6516532027899302E-2</v>
      </c>
      <c r="O37" s="217">
        <f t="shared" si="8"/>
        <v>0.62362016157107991</v>
      </c>
      <c r="P37" s="217">
        <f t="shared" si="8"/>
        <v>-0.52729860644100846</v>
      </c>
    </row>
    <row r="38" spans="1:17" ht="20.399999999999999" x14ac:dyDescent="0.25">
      <c r="F38" s="353" t="s">
        <v>378</v>
      </c>
      <c r="G38" s="220">
        <f>'1.1_Конс.'!X31*1000</f>
        <v>20682327.362179995</v>
      </c>
      <c r="K38" s="220">
        <f>(J36-E36)/1000</f>
        <v>141.30897770999954</v>
      </c>
    </row>
    <row r="39" spans="1:17" x14ac:dyDescent="0.25">
      <c r="F39" s="353"/>
    </row>
    <row r="43" spans="1:17" x14ac:dyDescent="0.25">
      <c r="B43" s="288" t="s">
        <v>409</v>
      </c>
      <c r="C43" s="288" t="s">
        <v>410</v>
      </c>
    </row>
    <row r="44" spans="1:17" x14ac:dyDescent="0.25">
      <c r="A44" s="213" t="s">
        <v>222</v>
      </c>
      <c r="B44" s="220">
        <f>C36/1000</f>
        <v>5862.8450988400009</v>
      </c>
      <c r="C44" s="220">
        <f>H36/1000</f>
        <v>5906.5601499799986</v>
      </c>
    </row>
    <row r="45" spans="1:17" x14ac:dyDescent="0.25">
      <c r="A45" s="213" t="s">
        <v>223</v>
      </c>
      <c r="B45" s="220">
        <f>D36/1000</f>
        <v>12996.894609870002</v>
      </c>
      <c r="C45" s="220">
        <f>I36/1000</f>
        <v>13100.36447712</v>
      </c>
    </row>
    <row r="46" spans="1:17" x14ac:dyDescent="0.25">
      <c r="A46" s="213" t="s">
        <v>224</v>
      </c>
      <c r="B46" s="220">
        <f>E36/1000</f>
        <v>1391.5505919500001</v>
      </c>
      <c r="C46" s="220">
        <f>J36/1000</f>
        <v>1532.8595696599996</v>
      </c>
    </row>
    <row r="47" spans="1:17" x14ac:dyDescent="0.25">
      <c r="A47" s="289" t="s">
        <v>385</v>
      </c>
      <c r="B47" s="220">
        <f>F36/1000</f>
        <v>249.39106338000002</v>
      </c>
      <c r="C47" s="220">
        <f>K36/1000</f>
        <v>142.54316541999998</v>
      </c>
    </row>
  </sheetData>
  <autoFilter ref="A9:P37"/>
  <mergeCells count="25">
    <mergeCell ref="N1:P1"/>
    <mergeCell ref="A3:P3"/>
    <mergeCell ref="A5:A8"/>
    <mergeCell ref="B5:F5"/>
    <mergeCell ref="G5:K5"/>
    <mergeCell ref="L5:P5"/>
    <mergeCell ref="B6:B8"/>
    <mergeCell ref="C6:F6"/>
    <mergeCell ref="G6:G8"/>
    <mergeCell ref="H6:K6"/>
    <mergeCell ref="L6:L8"/>
    <mergeCell ref="M6:P6"/>
    <mergeCell ref="C7:C8"/>
    <mergeCell ref="D7:D8"/>
    <mergeCell ref="E7:E8"/>
    <mergeCell ref="F7:F8"/>
    <mergeCell ref="O4:P4"/>
    <mergeCell ref="H7:H8"/>
    <mergeCell ref="O7:O8"/>
    <mergeCell ref="P7:P8"/>
    <mergeCell ref="I7:I8"/>
    <mergeCell ref="J7:J8"/>
    <mergeCell ref="K7:K8"/>
    <mergeCell ref="M7:M8"/>
    <mergeCell ref="N7:N8"/>
  </mergeCells>
  <printOptions horizontalCentered="1"/>
  <pageMargins left="0" right="0" top="0.55118110236220474" bottom="0.35433070866141736" header="0.11811023622047245" footer="0.11811023622047245"/>
  <pageSetup paperSize="9" scale="85" orientation="landscape" r:id="rId1"/>
  <headerFooter>
    <oddFooter>&amp;CСтраница &amp;P из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L39"/>
  <sheetViews>
    <sheetView topLeftCell="A29" zoomScale="115" zoomScaleNormal="115" workbookViewId="0">
      <selection activeCell="A39" sqref="A39"/>
    </sheetView>
  </sheetViews>
  <sheetFormatPr defaultColWidth="9.109375" defaultRowHeight="13.2" x14ac:dyDescent="0.25"/>
  <cols>
    <col min="1" max="1" width="25.6640625" style="293" customWidth="1"/>
    <col min="2" max="2" width="11.33203125" style="294" bestFit="1" customWidth="1"/>
    <col min="3" max="3" width="9.6640625" style="294" bestFit="1" customWidth="1"/>
    <col min="4" max="4" width="9.109375" style="294"/>
    <col min="5" max="5" width="11.33203125" style="294" bestFit="1" customWidth="1"/>
    <col min="6" max="6" width="9.6640625" style="294" bestFit="1" customWidth="1"/>
    <col min="7" max="7" width="9.33203125" style="294" bestFit="1" customWidth="1"/>
    <col min="8" max="8" width="8.5546875" style="294" customWidth="1"/>
    <col min="9" max="9" width="9.109375" style="294" customWidth="1"/>
    <col min="10" max="10" width="14.88671875" style="294" customWidth="1"/>
    <col min="11" max="12" width="0" style="294" hidden="1" customWidth="1"/>
    <col min="13" max="16384" width="9.109375" style="294"/>
  </cols>
  <sheetData>
    <row r="1" spans="1:12" s="293" customFormat="1" ht="27.75" customHeight="1" x14ac:dyDescent="0.25">
      <c r="H1" s="476" t="s">
        <v>468</v>
      </c>
      <c r="I1" s="476"/>
      <c r="J1" s="476"/>
    </row>
    <row r="2" spans="1:12" s="293" customFormat="1" ht="27.75" customHeight="1" x14ac:dyDescent="0.25">
      <c r="A2" s="477" t="s">
        <v>434</v>
      </c>
      <c r="B2" s="477"/>
      <c r="C2" s="477"/>
      <c r="D2" s="477"/>
      <c r="E2" s="477"/>
      <c r="F2" s="477"/>
      <c r="G2" s="477"/>
      <c r="H2" s="477"/>
      <c r="I2" s="477"/>
      <c r="J2" s="477"/>
    </row>
    <row r="3" spans="1:12" s="293" customFormat="1" ht="13.8" thickBot="1" x14ac:dyDescent="0.3">
      <c r="I3" s="480" t="s">
        <v>192</v>
      </c>
      <c r="J3" s="480"/>
    </row>
    <row r="4" spans="1:12" s="310" customFormat="1" ht="13.5" customHeight="1" thickTop="1" x14ac:dyDescent="0.25">
      <c r="A4" s="448" t="s">
        <v>193</v>
      </c>
      <c r="B4" s="478" t="s">
        <v>342</v>
      </c>
      <c r="C4" s="478"/>
      <c r="D4" s="478"/>
      <c r="E4" s="478" t="s">
        <v>422</v>
      </c>
      <c r="F4" s="478"/>
      <c r="G4" s="478"/>
      <c r="H4" s="478" t="s">
        <v>435</v>
      </c>
      <c r="I4" s="478"/>
      <c r="J4" s="479"/>
    </row>
    <row r="5" spans="1:12" s="310" customFormat="1" x14ac:dyDescent="0.25">
      <c r="A5" s="449"/>
      <c r="B5" s="474" t="s">
        <v>199</v>
      </c>
      <c r="C5" s="364" t="s">
        <v>8</v>
      </c>
      <c r="D5" s="474" t="s">
        <v>347</v>
      </c>
      <c r="E5" s="474" t="s">
        <v>199</v>
      </c>
      <c r="F5" s="364" t="s">
        <v>8</v>
      </c>
      <c r="G5" s="474" t="s">
        <v>347</v>
      </c>
      <c r="H5" s="474" t="s">
        <v>346</v>
      </c>
      <c r="I5" s="364" t="s">
        <v>8</v>
      </c>
      <c r="J5" s="475" t="s">
        <v>353</v>
      </c>
    </row>
    <row r="6" spans="1:12" s="310" customFormat="1" ht="53.25" customHeight="1" x14ac:dyDescent="0.25">
      <c r="A6" s="449"/>
      <c r="B6" s="474"/>
      <c r="C6" s="364" t="s">
        <v>341</v>
      </c>
      <c r="D6" s="474"/>
      <c r="E6" s="474"/>
      <c r="F6" s="364" t="s">
        <v>341</v>
      </c>
      <c r="G6" s="474"/>
      <c r="H6" s="474"/>
      <c r="I6" s="364" t="s">
        <v>352</v>
      </c>
      <c r="J6" s="475"/>
    </row>
    <row r="7" spans="1:12" s="249" customFormat="1" ht="10.199999999999999" x14ac:dyDescent="0.25">
      <c r="A7" s="226" t="s">
        <v>13</v>
      </c>
      <c r="B7" s="246">
        <v>1</v>
      </c>
      <c r="C7" s="246">
        <v>2</v>
      </c>
      <c r="D7" s="246" t="s">
        <v>348</v>
      </c>
      <c r="E7" s="246">
        <v>4</v>
      </c>
      <c r="F7" s="246">
        <v>5</v>
      </c>
      <c r="G7" s="246" t="s">
        <v>349</v>
      </c>
      <c r="H7" s="246" t="s">
        <v>350</v>
      </c>
      <c r="I7" s="246" t="s">
        <v>351</v>
      </c>
      <c r="J7" s="247" t="s">
        <v>235</v>
      </c>
    </row>
    <row r="8" spans="1:12" x14ac:dyDescent="0.25">
      <c r="A8" s="130" t="s">
        <v>163</v>
      </c>
      <c r="B8" s="291">
        <f>Черн.!DT7</f>
        <v>67886.93737</v>
      </c>
      <c r="C8" s="291">
        <f>Черн.!DU7</f>
        <v>33568.917829999999</v>
      </c>
      <c r="D8" s="282">
        <f>C8/B8%</f>
        <v>49.448272569789665</v>
      </c>
      <c r="E8" s="291">
        <f>Черн.!DV7</f>
        <v>60482.169009999998</v>
      </c>
      <c r="F8" s="291">
        <f>Черн.!DW7</f>
        <v>26469.48013</v>
      </c>
      <c r="G8" s="282">
        <f>F8/E8%</f>
        <v>43.764105294609379</v>
      </c>
      <c r="H8" s="291">
        <f>E8/B8%-100</f>
        <v>-10.907500981583908</v>
      </c>
      <c r="I8" s="291">
        <f>F8/C8%-100</f>
        <v>-21.148842914606391</v>
      </c>
      <c r="J8" s="312">
        <f>G8-D8</f>
        <v>-5.6841672751802861</v>
      </c>
      <c r="K8" s="294">
        <f t="shared" ref="K8:K15" si="0">E8/B8</f>
        <v>0.89092499018416094</v>
      </c>
      <c r="L8" s="294">
        <f>F8/C8</f>
        <v>0.78851157085393597</v>
      </c>
    </row>
    <row r="9" spans="1:12" x14ac:dyDescent="0.25">
      <c r="A9" s="130" t="s">
        <v>164</v>
      </c>
      <c r="B9" s="291">
        <f>Черн.!DT8</f>
        <v>11579.062529999999</v>
      </c>
      <c r="C9" s="291">
        <f>Черн.!DU8</f>
        <v>1980.85105</v>
      </c>
      <c r="D9" s="282">
        <f t="shared" ref="D9:D36" si="1">C9/B9%</f>
        <v>17.107179833150102</v>
      </c>
      <c r="E9" s="291">
        <f>Черн.!DV8</f>
        <v>8178.4894800000002</v>
      </c>
      <c r="F9" s="291">
        <f>Черн.!DW8</f>
        <v>417.95200999999997</v>
      </c>
      <c r="G9" s="282">
        <f t="shared" ref="G9:G34" si="2">F9/E9%</f>
        <v>5.1103814588510046</v>
      </c>
      <c r="H9" s="291">
        <f t="shared" ref="H9:H33" si="3">E9/B9%-100</f>
        <v>-29.368293341447213</v>
      </c>
      <c r="I9" s="291">
        <f t="shared" ref="I9:I32" si="4">F9/C9%-100</f>
        <v>-78.900381732387203</v>
      </c>
      <c r="J9" s="312">
        <f t="shared" ref="J9:J34" si="5">G9-D9</f>
        <v>-11.996798374299097</v>
      </c>
      <c r="K9" s="294">
        <f t="shared" si="0"/>
        <v>0.70631706658552784</v>
      </c>
      <c r="L9" s="294">
        <f t="shared" ref="L9:L32" si="6">F9/C9</f>
        <v>0.21099618267612802</v>
      </c>
    </row>
    <row r="10" spans="1:12" x14ac:dyDescent="0.25">
      <c r="A10" s="130" t="s">
        <v>165</v>
      </c>
      <c r="B10" s="291">
        <f>Черн.!DT9</f>
        <v>3709.9925400000002</v>
      </c>
      <c r="C10" s="291">
        <f>Черн.!DU9</f>
        <v>82</v>
      </c>
      <c r="D10" s="282">
        <f t="shared" si="1"/>
        <v>2.2102470319252987</v>
      </c>
      <c r="E10" s="291">
        <f>Черн.!DV9</f>
        <v>4733.0988399999997</v>
      </c>
      <c r="F10" s="291">
        <f>Черн.!DW9</f>
        <v>0</v>
      </c>
      <c r="G10" s="282">
        <f t="shared" si="2"/>
        <v>0</v>
      </c>
      <c r="H10" s="291">
        <f t="shared" si="3"/>
        <v>27.57704466974478</v>
      </c>
      <c r="I10" s="291">
        <f t="shared" si="4"/>
        <v>-100</v>
      </c>
      <c r="J10" s="312">
        <f t="shared" si="5"/>
        <v>-2.2102470319252987</v>
      </c>
      <c r="K10" s="294">
        <f t="shared" si="0"/>
        <v>1.275770446697448</v>
      </c>
      <c r="L10" s="294">
        <f t="shared" si="6"/>
        <v>0</v>
      </c>
    </row>
    <row r="11" spans="1:12" x14ac:dyDescent="0.25">
      <c r="A11" s="130" t="s">
        <v>166</v>
      </c>
      <c r="B11" s="291">
        <f>Черн.!DT10</f>
        <v>12034.802830000001</v>
      </c>
      <c r="C11" s="291">
        <f>Черн.!DU10</f>
        <v>4549.0469999999996</v>
      </c>
      <c r="D11" s="282">
        <f t="shared" si="1"/>
        <v>37.799098699484048</v>
      </c>
      <c r="E11" s="291">
        <f>Черн.!DV10</f>
        <v>13687.797500000001</v>
      </c>
      <c r="F11" s="291">
        <f>Черн.!DW10</f>
        <v>3284.9434700000002</v>
      </c>
      <c r="G11" s="282">
        <f t="shared" si="2"/>
        <v>23.999065371912469</v>
      </c>
      <c r="H11" s="291">
        <f t="shared" si="3"/>
        <v>13.735120494699444</v>
      </c>
      <c r="I11" s="291">
        <f t="shared" si="4"/>
        <v>-27.788315442772941</v>
      </c>
      <c r="J11" s="312">
        <f t="shared" si="5"/>
        <v>-13.80003332757158</v>
      </c>
      <c r="K11" s="294">
        <f t="shared" si="0"/>
        <v>1.1373512049469945</v>
      </c>
      <c r="L11" s="294">
        <f t="shared" si="6"/>
        <v>0.72211684557227052</v>
      </c>
    </row>
    <row r="12" spans="1:12" x14ac:dyDescent="0.25">
      <c r="A12" s="130" t="s">
        <v>167</v>
      </c>
      <c r="B12" s="291">
        <f>Черн.!DT11</f>
        <v>104640.31874</v>
      </c>
      <c r="C12" s="291">
        <f>Черн.!DU11</f>
        <v>46895.488530000002</v>
      </c>
      <c r="D12" s="282">
        <f t="shared" si="1"/>
        <v>44.815888459324469</v>
      </c>
      <c r="E12" s="291">
        <f>Черн.!DV11</f>
        <v>120447.02301999999</v>
      </c>
      <c r="F12" s="291">
        <f>Черн.!DW11</f>
        <v>8359.8310399999991</v>
      </c>
      <c r="G12" s="282">
        <f t="shared" si="2"/>
        <v>6.9406705374626538</v>
      </c>
      <c r="H12" s="291">
        <f t="shared" si="3"/>
        <v>15.105749361558182</v>
      </c>
      <c r="I12" s="291">
        <f t="shared" si="4"/>
        <v>-82.173485548290969</v>
      </c>
      <c r="J12" s="312">
        <f t="shared" si="5"/>
        <v>-37.875217921861818</v>
      </c>
      <c r="K12" s="294">
        <f t="shared" si="0"/>
        <v>1.1510574936155817</v>
      </c>
      <c r="L12" s="294">
        <f t="shared" si="6"/>
        <v>0.17826514451709027</v>
      </c>
    </row>
    <row r="13" spans="1:12" x14ac:dyDescent="0.25">
      <c r="A13" s="130" t="s">
        <v>168</v>
      </c>
      <c r="B13" s="291">
        <f>Черн.!DT12</f>
        <v>179898.50122999999</v>
      </c>
      <c r="C13" s="291">
        <f>Черн.!DU12</f>
        <v>20729.255960000002</v>
      </c>
      <c r="D13" s="282">
        <f t="shared" si="1"/>
        <v>11.522750783508572</v>
      </c>
      <c r="E13" s="291">
        <f>Черн.!DV12</f>
        <v>30269.45004</v>
      </c>
      <c r="F13" s="291">
        <f>Черн.!DW12</f>
        <v>15909.975259999999</v>
      </c>
      <c r="G13" s="186">
        <f t="shared" si="2"/>
        <v>52.561163942442079</v>
      </c>
      <c r="H13" s="291">
        <f t="shared" si="3"/>
        <v>-83.174151072386891</v>
      </c>
      <c r="I13" s="291">
        <f t="shared" si="4"/>
        <v>-23.248691170100273</v>
      </c>
      <c r="J13" s="312">
        <f t="shared" si="5"/>
        <v>41.038413158933508</v>
      </c>
      <c r="K13" s="294">
        <f t="shared" si="0"/>
        <v>0.16825848927613105</v>
      </c>
      <c r="L13" s="294">
        <f t="shared" si="6"/>
        <v>0.76751308829899734</v>
      </c>
    </row>
    <row r="14" spans="1:12" x14ac:dyDescent="0.25">
      <c r="A14" s="130" t="s">
        <v>169</v>
      </c>
      <c r="B14" s="291">
        <f>Черн.!DT13</f>
        <v>73280.976599999995</v>
      </c>
      <c r="C14" s="291">
        <f>Черн.!DU13</f>
        <v>58097.597540000002</v>
      </c>
      <c r="D14" s="186">
        <f t="shared" si="1"/>
        <v>79.280599461880001</v>
      </c>
      <c r="E14" s="291">
        <f>Черн.!DV13</f>
        <v>56594.036139999997</v>
      </c>
      <c r="F14" s="291">
        <f>Черн.!DW13</f>
        <v>33649.094400000002</v>
      </c>
      <c r="G14" s="186">
        <f t="shared" si="2"/>
        <v>59.456961713704708</v>
      </c>
      <c r="H14" s="291">
        <f t="shared" si="3"/>
        <v>-22.771176414698601</v>
      </c>
      <c r="I14" s="291">
        <f t="shared" si="4"/>
        <v>-42.081779927590446</v>
      </c>
      <c r="J14" s="312">
        <f t="shared" si="5"/>
        <v>-19.823637748175294</v>
      </c>
      <c r="K14" s="294">
        <f t="shared" si="0"/>
        <v>0.77228823585301398</v>
      </c>
      <c r="L14" s="294">
        <f t="shared" si="6"/>
        <v>0.57918220072409554</v>
      </c>
    </row>
    <row r="15" spans="1:12" x14ac:dyDescent="0.25">
      <c r="A15" s="130" t="s">
        <v>170</v>
      </c>
      <c r="B15" s="291">
        <f>Черн.!DT14</f>
        <v>16576.221529999999</v>
      </c>
      <c r="C15" s="291">
        <f>Черн.!DU14</f>
        <v>2428.0206000000003</v>
      </c>
      <c r="D15" s="282">
        <f t="shared" si="1"/>
        <v>14.647611915693314</v>
      </c>
      <c r="E15" s="291">
        <f>Черн.!DV14</f>
        <v>13738.57223</v>
      </c>
      <c r="F15" s="291">
        <f>Черн.!DW14</f>
        <v>5567.6757600000001</v>
      </c>
      <c r="G15" s="282">
        <f t="shared" si="2"/>
        <v>40.525868822396546</v>
      </c>
      <c r="H15" s="291">
        <f t="shared" si="3"/>
        <v>-17.118794502500833</v>
      </c>
      <c r="I15" s="186">
        <f t="shared" si="4"/>
        <v>129.30924721149398</v>
      </c>
      <c r="J15" s="312">
        <f t="shared" si="5"/>
        <v>25.878256906703232</v>
      </c>
      <c r="K15" s="294">
        <f t="shared" si="0"/>
        <v>0.82881205497499166</v>
      </c>
      <c r="L15" s="294">
        <f t="shared" si="6"/>
        <v>2.2930924721149397</v>
      </c>
    </row>
    <row r="16" spans="1:12" ht="26.4" x14ac:dyDescent="0.25">
      <c r="A16" s="130" t="s">
        <v>171</v>
      </c>
      <c r="B16" s="291">
        <f>Черн.!DT15</f>
        <v>8886.3400500000007</v>
      </c>
      <c r="C16" s="291">
        <f>Черн.!DU15</f>
        <v>106.10716000000001</v>
      </c>
      <c r="D16" s="282">
        <f t="shared" si="1"/>
        <v>1.19404793652928</v>
      </c>
      <c r="E16" s="291">
        <f>Черн.!DV15</f>
        <v>25046.990040000001</v>
      </c>
      <c r="F16" s="291">
        <f>Черн.!DW15</f>
        <v>19028.30759</v>
      </c>
      <c r="G16" s="186">
        <f t="shared" si="2"/>
        <v>75.970436206553472</v>
      </c>
      <c r="H16" s="186">
        <f t="shared" si="3"/>
        <v>181.85945956457067</v>
      </c>
      <c r="I16" s="366" t="s">
        <v>436</v>
      </c>
      <c r="J16" s="312">
        <f t="shared" si="5"/>
        <v>74.776388270024199</v>
      </c>
      <c r="K16" s="294">
        <f>E16/B16</f>
        <v>2.8185945956457066</v>
      </c>
      <c r="L16" s="294">
        <f t="shared" si="6"/>
        <v>179.3310422218444</v>
      </c>
    </row>
    <row r="17" spans="1:12" x14ac:dyDescent="0.25">
      <c r="A17" s="130" t="s">
        <v>172</v>
      </c>
      <c r="B17" s="291">
        <f>Черн.!DT16</f>
        <v>9290.5306199999995</v>
      </c>
      <c r="C17" s="291">
        <f>Черн.!DU16</f>
        <v>4370.4796399999996</v>
      </c>
      <c r="D17" s="282">
        <f t="shared" si="1"/>
        <v>47.042303811921556</v>
      </c>
      <c r="E17" s="291">
        <f>Черн.!DV16</f>
        <v>6362.7908500000003</v>
      </c>
      <c r="F17" s="291">
        <f>Черн.!DW16</f>
        <v>1901.8915300000001</v>
      </c>
      <c r="G17" s="282">
        <f t="shared" si="2"/>
        <v>29.890838388943745</v>
      </c>
      <c r="H17" s="291">
        <f t="shared" si="3"/>
        <v>-31.51315990173228</v>
      </c>
      <c r="I17" s="291">
        <f t="shared" si="4"/>
        <v>-56.483230980112737</v>
      </c>
      <c r="J17" s="312">
        <f t="shared" si="5"/>
        <v>-17.151465422977811</v>
      </c>
      <c r="K17" s="294">
        <f t="shared" ref="K17:K33" si="7">E17/B17</f>
        <v>0.68486840098267721</v>
      </c>
      <c r="L17" s="294">
        <f t="shared" si="6"/>
        <v>0.43516769019887264</v>
      </c>
    </row>
    <row r="18" spans="1:12" x14ac:dyDescent="0.25">
      <c r="A18" s="130" t="s">
        <v>173</v>
      </c>
      <c r="B18" s="291">
        <f>[1]Черн.!DT18</f>
        <v>19359.411029999999</v>
      </c>
      <c r="C18" s="291">
        <f>[1]Черн.!DU18</f>
        <v>8421.4002300000011</v>
      </c>
      <c r="D18" s="282">
        <f t="shared" si="1"/>
        <v>43.500291496212952</v>
      </c>
      <c r="E18" s="291">
        <f>[1]Черн.!DV18</f>
        <v>21673.73717</v>
      </c>
      <c r="F18" s="291">
        <f>[1]Черн.!DW18</f>
        <v>10091.221229999999</v>
      </c>
      <c r="G18" s="282">
        <f t="shared" si="2"/>
        <v>46.559673354200775</v>
      </c>
      <c r="H18" s="291">
        <f t="shared" si="3"/>
        <v>11.954527626969863</v>
      </c>
      <c r="I18" s="186">
        <f t="shared" si="4"/>
        <v>19.828305915820351</v>
      </c>
      <c r="J18" s="312">
        <f t="shared" si="5"/>
        <v>3.0593818579878231</v>
      </c>
      <c r="K18" s="294">
        <f t="shared" si="7"/>
        <v>1.1195452762696987</v>
      </c>
      <c r="L18" s="294">
        <f t="shared" si="6"/>
        <v>1.1982830591582034</v>
      </c>
    </row>
    <row r="19" spans="1:12" x14ac:dyDescent="0.25">
      <c r="A19" s="130" t="s">
        <v>174</v>
      </c>
      <c r="B19" s="291">
        <f>Черн.!DT18</f>
        <v>29495.688020000001</v>
      </c>
      <c r="C19" s="291">
        <f>Черн.!DU18</f>
        <v>14181.029930000001</v>
      </c>
      <c r="D19" s="282">
        <f t="shared" si="1"/>
        <v>48.078315448632146</v>
      </c>
      <c r="E19" s="291">
        <f>Черн.!DV18</f>
        <v>17722.747039999998</v>
      </c>
      <c r="F19" s="291">
        <f>Черн.!DW18</f>
        <v>8471.2423299999991</v>
      </c>
      <c r="G19" s="282">
        <f t="shared" si="2"/>
        <v>47.798697972049823</v>
      </c>
      <c r="H19" s="291">
        <f t="shared" si="3"/>
        <v>-39.914108706388475</v>
      </c>
      <c r="I19" s="291">
        <f t="shared" si="4"/>
        <v>-40.26356074406791</v>
      </c>
      <c r="J19" s="312">
        <f t="shared" si="5"/>
        <v>-0.27961747658232383</v>
      </c>
      <c r="K19" s="294">
        <f t="shared" si="7"/>
        <v>0.60085891293611526</v>
      </c>
      <c r="L19" s="294">
        <f t="shared" si="6"/>
        <v>0.59736439255932083</v>
      </c>
    </row>
    <row r="20" spans="1:12" x14ac:dyDescent="0.25">
      <c r="A20" s="130" t="s">
        <v>175</v>
      </c>
      <c r="B20" s="291">
        <f>Черн.!DT19</f>
        <v>51686.854859999999</v>
      </c>
      <c r="C20" s="291">
        <f>Черн.!DU19</f>
        <v>2302.7566299999999</v>
      </c>
      <c r="D20" s="282">
        <f t="shared" si="1"/>
        <v>4.4552074918028781</v>
      </c>
      <c r="E20" s="291">
        <f>Черн.!DV19</f>
        <v>54643.744440000002</v>
      </c>
      <c r="F20" s="291">
        <f>Черн.!DW19</f>
        <v>2186.9348300000001</v>
      </c>
      <c r="G20" s="282">
        <f t="shared" si="2"/>
        <v>4.0021686881309924</v>
      </c>
      <c r="H20" s="291">
        <f t="shared" si="3"/>
        <v>5.7207767584409908</v>
      </c>
      <c r="I20" s="291">
        <f t="shared" si="4"/>
        <v>-5.0297021617955266</v>
      </c>
      <c r="J20" s="312">
        <f t="shared" si="5"/>
        <v>-0.45303880367188576</v>
      </c>
      <c r="K20" s="294">
        <f t="shared" si="7"/>
        <v>1.0572077675844098</v>
      </c>
      <c r="L20" s="294">
        <f t="shared" si="6"/>
        <v>0.94970297838204476</v>
      </c>
    </row>
    <row r="21" spans="1:12" x14ac:dyDescent="0.25">
      <c r="A21" s="130" t="s">
        <v>176</v>
      </c>
      <c r="B21" s="291">
        <f>Черн.!DT20</f>
        <v>13464.38445</v>
      </c>
      <c r="C21" s="291">
        <f>Черн.!DU20</f>
        <v>2594.11591</v>
      </c>
      <c r="D21" s="282">
        <f t="shared" si="1"/>
        <v>19.266502079120297</v>
      </c>
      <c r="E21" s="291">
        <f>Черн.!DV20</f>
        <v>9994.8952599999993</v>
      </c>
      <c r="F21" s="291">
        <f>Черн.!DW20</f>
        <v>619.9</v>
      </c>
      <c r="G21" s="282">
        <f t="shared" si="2"/>
        <v>6.2021660445094051</v>
      </c>
      <c r="H21" s="291">
        <f t="shared" si="3"/>
        <v>-25.767900514753947</v>
      </c>
      <c r="I21" s="291">
        <f t="shared" si="4"/>
        <v>-76.103612116545719</v>
      </c>
      <c r="J21" s="312">
        <f t="shared" si="5"/>
        <v>-13.064336034610893</v>
      </c>
      <c r="K21" s="294">
        <f t="shared" si="7"/>
        <v>0.7423209948524605</v>
      </c>
      <c r="L21" s="294">
        <f t="shared" si="6"/>
        <v>0.2389638788345429</v>
      </c>
    </row>
    <row r="22" spans="1:12" x14ac:dyDescent="0.25">
      <c r="A22" s="130" t="s">
        <v>177</v>
      </c>
      <c r="B22" s="291">
        <f>Черн.!DT21</f>
        <v>182794.70295000001</v>
      </c>
      <c r="C22" s="291">
        <f>Черн.!DU21</f>
        <v>91769.900500000003</v>
      </c>
      <c r="D22" s="186">
        <f t="shared" si="1"/>
        <v>50.203807341781619</v>
      </c>
      <c r="E22" s="291">
        <f>Черн.!DV21</f>
        <v>122004.61497</v>
      </c>
      <c r="F22" s="291">
        <f>Черн.!DW21</f>
        <v>67968.822899999999</v>
      </c>
      <c r="G22" s="186">
        <f t="shared" si="2"/>
        <v>55.710042539549029</v>
      </c>
      <c r="H22" s="291">
        <f t="shared" si="3"/>
        <v>-33.255935209800896</v>
      </c>
      <c r="I22" s="291">
        <f t="shared" si="4"/>
        <v>-25.935603580609751</v>
      </c>
      <c r="J22" s="312">
        <f t="shared" si="5"/>
        <v>5.5062351977674098</v>
      </c>
      <c r="K22" s="294">
        <f t="shared" si="7"/>
        <v>0.66744064790199098</v>
      </c>
      <c r="L22" s="294">
        <f t="shared" si="6"/>
        <v>0.74064396419390255</v>
      </c>
    </row>
    <row r="23" spans="1:12" x14ac:dyDescent="0.25">
      <c r="A23" s="130" t="s">
        <v>178</v>
      </c>
      <c r="B23" s="291">
        <f>Черн.!DT22</f>
        <v>46116.95336</v>
      </c>
      <c r="C23" s="291">
        <f>Черн.!DU22</f>
        <v>10297.972960000001</v>
      </c>
      <c r="D23" s="282">
        <f t="shared" si="1"/>
        <v>22.330124194483432</v>
      </c>
      <c r="E23" s="291">
        <f>Черн.!DV22</f>
        <v>46348.302369999998</v>
      </c>
      <c r="F23" s="291">
        <f>Черн.!DW22</f>
        <v>5827.5177000000003</v>
      </c>
      <c r="G23" s="282">
        <f t="shared" si="2"/>
        <v>12.573314235931962</v>
      </c>
      <c r="H23" s="291">
        <f t="shared" si="3"/>
        <v>0.50165718492726796</v>
      </c>
      <c r="I23" s="291">
        <f t="shared" si="4"/>
        <v>-43.411021541466546</v>
      </c>
      <c r="J23" s="312">
        <f t="shared" si="5"/>
        <v>-9.7568099585514698</v>
      </c>
      <c r="K23" s="294">
        <f t="shared" si="7"/>
        <v>1.0050165718492727</v>
      </c>
      <c r="L23" s="294">
        <f t="shared" si="6"/>
        <v>0.56588978458533457</v>
      </c>
    </row>
    <row r="24" spans="1:12" x14ac:dyDescent="0.25">
      <c r="A24" s="130" t="s">
        <v>179</v>
      </c>
      <c r="B24" s="291">
        <f>Черн.!DT23</f>
        <v>35385.728710000003</v>
      </c>
      <c r="C24" s="291">
        <f>Черн.!DU23</f>
        <v>5822.0637800000004</v>
      </c>
      <c r="D24" s="282">
        <f t="shared" si="1"/>
        <v>16.45314083458365</v>
      </c>
      <c r="E24" s="291">
        <f>Черн.!DV23</f>
        <v>35253.170140000002</v>
      </c>
      <c r="F24" s="291">
        <f>Черн.!DW23</f>
        <v>6142.9548999999997</v>
      </c>
      <c r="G24" s="282">
        <f t="shared" si="2"/>
        <v>17.425255304997087</v>
      </c>
      <c r="H24" s="291">
        <f t="shared" si="3"/>
        <v>-0.37461025908599765</v>
      </c>
      <c r="I24" s="291">
        <f t="shared" si="4"/>
        <v>5.5116386924912604</v>
      </c>
      <c r="J24" s="312">
        <f t="shared" si="5"/>
        <v>0.97211447041343746</v>
      </c>
      <c r="K24" s="294">
        <f t="shared" si="7"/>
        <v>0.99625389740913994</v>
      </c>
      <c r="L24" s="294">
        <f t="shared" si="6"/>
        <v>1.0551163869249127</v>
      </c>
    </row>
    <row r="25" spans="1:12" x14ac:dyDescent="0.25">
      <c r="A25" s="130" t="s">
        <v>180</v>
      </c>
      <c r="B25" s="291">
        <f>Черн.!DT24</f>
        <v>15228.034190000002</v>
      </c>
      <c r="C25" s="291">
        <f>Черн.!DU24</f>
        <v>299.80041</v>
      </c>
      <c r="D25" s="282">
        <f t="shared" si="1"/>
        <v>1.968740063618152</v>
      </c>
      <c r="E25" s="291">
        <f>Черн.!DV24</f>
        <v>10439.640220000001</v>
      </c>
      <c r="F25" s="291">
        <f>Черн.!DW24</f>
        <v>214.24440999999999</v>
      </c>
      <c r="G25" s="282">
        <f t="shared" si="2"/>
        <v>2.052220244042088</v>
      </c>
      <c r="H25" s="291">
        <f t="shared" si="3"/>
        <v>-31.444596920753312</v>
      </c>
      <c r="I25" s="291">
        <f t="shared" si="4"/>
        <v>-28.537652767052592</v>
      </c>
      <c r="J25" s="312">
        <f t="shared" si="5"/>
        <v>8.3480180423936012E-2</v>
      </c>
      <c r="K25" s="294">
        <f t="shared" si="7"/>
        <v>0.68555403079246691</v>
      </c>
      <c r="L25" s="294">
        <f t="shared" si="6"/>
        <v>0.7146234723294741</v>
      </c>
    </row>
    <row r="26" spans="1:12" x14ac:dyDescent="0.25">
      <c r="A26" s="130" t="s">
        <v>181</v>
      </c>
      <c r="B26" s="291">
        <f>Черн.!DT25</f>
        <v>7100.4480100000001</v>
      </c>
      <c r="C26" s="291">
        <f>Черн.!DU25</f>
        <v>0</v>
      </c>
      <c r="D26" s="282">
        <f t="shared" si="1"/>
        <v>0</v>
      </c>
      <c r="E26" s="291">
        <f>Черн.!DV25</f>
        <v>6594.2429400000001</v>
      </c>
      <c r="F26" s="291">
        <f>Черн.!DW25</f>
        <v>0</v>
      </c>
      <c r="G26" s="282">
        <f t="shared" si="2"/>
        <v>0</v>
      </c>
      <c r="H26" s="291">
        <f t="shared" si="3"/>
        <v>-7.1291990207812148</v>
      </c>
      <c r="I26" s="291"/>
      <c r="J26" s="312">
        <f t="shared" si="5"/>
        <v>0</v>
      </c>
      <c r="K26" s="294">
        <f t="shared" si="7"/>
        <v>0.92870800979218771</v>
      </c>
    </row>
    <row r="27" spans="1:12" x14ac:dyDescent="0.25">
      <c r="A27" s="130" t="s">
        <v>182</v>
      </c>
      <c r="B27" s="291">
        <f>Черн.!DT26</f>
        <v>197516.90841999999</v>
      </c>
      <c r="C27" s="291">
        <f>Черн.!DU26</f>
        <v>9058.7393000000011</v>
      </c>
      <c r="D27" s="282">
        <f t="shared" si="1"/>
        <v>4.5863107986367915</v>
      </c>
      <c r="E27" s="291">
        <f>Черн.!DV26</f>
        <v>240389.07295</v>
      </c>
      <c r="F27" s="291">
        <f>Черн.!DW26</f>
        <v>333.33395999999999</v>
      </c>
      <c r="G27" s="282">
        <f t="shared" si="2"/>
        <v>0.13866435604139635</v>
      </c>
      <c r="H27" s="291">
        <f t="shared" si="3"/>
        <v>21.705566815999688</v>
      </c>
      <c r="I27" s="291">
        <f t="shared" si="4"/>
        <v>-96.320305188603896</v>
      </c>
      <c r="J27" s="312">
        <f t="shared" si="5"/>
        <v>-4.4476464425953948</v>
      </c>
      <c r="K27" s="294">
        <f t="shared" si="7"/>
        <v>1.2170556681599969</v>
      </c>
      <c r="L27" s="294">
        <f t="shared" si="6"/>
        <v>3.6796948113961059E-2</v>
      </c>
    </row>
    <row r="28" spans="1:12" x14ac:dyDescent="0.25">
      <c r="A28" s="130" t="s">
        <v>183</v>
      </c>
      <c r="B28" s="291">
        <f>Черн.!DT27</f>
        <v>239811.14918000001</v>
      </c>
      <c r="C28" s="291">
        <f>Черн.!DU27</f>
        <v>0</v>
      </c>
      <c r="D28" s="282">
        <f t="shared" si="1"/>
        <v>0</v>
      </c>
      <c r="E28" s="291">
        <f>Черн.!DV27</f>
        <v>207914.75416000001</v>
      </c>
      <c r="F28" s="291">
        <f>Черн.!DW27</f>
        <v>0</v>
      </c>
      <c r="G28" s="282">
        <f t="shared" si="2"/>
        <v>0</v>
      </c>
      <c r="H28" s="291">
        <f t="shared" si="3"/>
        <v>-13.300630570790887</v>
      </c>
      <c r="I28" s="291"/>
      <c r="J28" s="312">
        <f t="shared" si="5"/>
        <v>0</v>
      </c>
      <c r="K28" s="294">
        <f t="shared" si="7"/>
        <v>0.86699369429209128</v>
      </c>
    </row>
    <row r="29" spans="1:12" x14ac:dyDescent="0.25">
      <c r="A29" s="130" t="s">
        <v>184</v>
      </c>
      <c r="B29" s="291">
        <f>Черн.!DT28</f>
        <v>98699.52476</v>
      </c>
      <c r="C29" s="291">
        <f>Черн.!DU28</f>
        <v>0</v>
      </c>
      <c r="D29" s="282">
        <f t="shared" si="1"/>
        <v>0</v>
      </c>
      <c r="E29" s="291">
        <f>Черн.!DV28</f>
        <v>217188.10826000001</v>
      </c>
      <c r="F29" s="291">
        <f>Черн.!DW28</f>
        <v>0</v>
      </c>
      <c r="G29" s="282">
        <f t="shared" si="2"/>
        <v>0</v>
      </c>
      <c r="H29" s="186">
        <f t="shared" si="3"/>
        <v>120.04980144344114</v>
      </c>
      <c r="I29" s="291"/>
      <c r="J29" s="312">
        <f t="shared" si="5"/>
        <v>0</v>
      </c>
      <c r="K29" s="294">
        <f t="shared" si="7"/>
        <v>2.2004980144344111</v>
      </c>
    </row>
    <row r="30" spans="1:12" x14ac:dyDescent="0.25">
      <c r="A30" s="130" t="s">
        <v>185</v>
      </c>
      <c r="B30" s="291">
        <f>Черн.!DT29</f>
        <v>44981.330029999997</v>
      </c>
      <c r="C30" s="291">
        <f>Черн.!DU29</f>
        <v>20132.06381</v>
      </c>
      <c r="D30" s="282">
        <f t="shared" si="1"/>
        <v>44.75648851773181</v>
      </c>
      <c r="E30" s="291">
        <f>Черн.!DV29</f>
        <v>42713.163549999997</v>
      </c>
      <c r="F30" s="291">
        <f>Черн.!DW29</f>
        <v>19132.06381</v>
      </c>
      <c r="G30" s="282">
        <f t="shared" si="2"/>
        <v>44.79196158721426</v>
      </c>
      <c r="H30" s="291">
        <f t="shared" si="3"/>
        <v>-5.0424620136560208</v>
      </c>
      <c r="I30" s="291">
        <f t="shared" si="4"/>
        <v>-4.9672006280015921</v>
      </c>
      <c r="J30" s="312">
        <f t="shared" si="5"/>
        <v>3.547306948244966E-2</v>
      </c>
      <c r="K30" s="294">
        <f t="shared" si="7"/>
        <v>0.94957537986343976</v>
      </c>
      <c r="L30" s="294">
        <f t="shared" si="6"/>
        <v>0.95032799371998411</v>
      </c>
    </row>
    <row r="31" spans="1:12" x14ac:dyDescent="0.25">
      <c r="A31" s="130" t="s">
        <v>186</v>
      </c>
      <c r="B31" s="291">
        <f>Черн.!DT30</f>
        <v>27162.97437</v>
      </c>
      <c r="C31" s="291">
        <f>Черн.!DU30</f>
        <v>467.77819</v>
      </c>
      <c r="D31" s="282">
        <f t="shared" si="1"/>
        <v>1.7221169656465718</v>
      </c>
      <c r="E31" s="291">
        <f>Черн.!DV30</f>
        <v>22394.991300000002</v>
      </c>
      <c r="F31" s="291">
        <f>Черн.!DW30</f>
        <v>0</v>
      </c>
      <c r="G31" s="282">
        <f t="shared" si="2"/>
        <v>0</v>
      </c>
      <c r="H31" s="291">
        <f t="shared" si="3"/>
        <v>-17.553243636182827</v>
      </c>
      <c r="I31" s="291">
        <f t="shared" si="4"/>
        <v>-100</v>
      </c>
      <c r="J31" s="312">
        <f t="shared" si="5"/>
        <v>-1.7221169656465718</v>
      </c>
      <c r="K31" s="294">
        <f t="shared" si="7"/>
        <v>0.82446756363817164</v>
      </c>
      <c r="L31" s="294">
        <f t="shared" si="6"/>
        <v>0</v>
      </c>
    </row>
    <row r="32" spans="1:12" x14ac:dyDescent="0.25">
      <c r="A32" s="130" t="s">
        <v>187</v>
      </c>
      <c r="B32" s="291">
        <f>Черн.!DT31</f>
        <v>51387.113400000002</v>
      </c>
      <c r="C32" s="291">
        <f>Черн.!DU31</f>
        <v>28285.6374</v>
      </c>
      <c r="D32" s="186">
        <f t="shared" si="1"/>
        <v>55.044223207914222</v>
      </c>
      <c r="E32" s="291">
        <f>Черн.!DV31</f>
        <v>71500.924169999998</v>
      </c>
      <c r="F32" s="291">
        <f>Черн.!DW31</f>
        <v>29419.466639999999</v>
      </c>
      <c r="G32" s="282">
        <f t="shared" si="2"/>
        <v>41.145575363547081</v>
      </c>
      <c r="H32" s="291">
        <f t="shared" si="3"/>
        <v>39.141740874668386</v>
      </c>
      <c r="I32" s="291">
        <f t="shared" si="4"/>
        <v>4.0084981079478723</v>
      </c>
      <c r="J32" s="312">
        <f t="shared" si="5"/>
        <v>-13.89864784436714</v>
      </c>
      <c r="K32" s="294">
        <f t="shared" si="7"/>
        <v>1.391417408746684</v>
      </c>
      <c r="L32" s="294">
        <f t="shared" si="6"/>
        <v>1.0400849810794788</v>
      </c>
    </row>
    <row r="33" spans="1:12" x14ac:dyDescent="0.25">
      <c r="A33" s="130" t="s">
        <v>188</v>
      </c>
      <c r="B33" s="291">
        <f>Черн.!DT32</f>
        <v>111.05580999999999</v>
      </c>
      <c r="C33" s="291">
        <f>Черн.!DU32</f>
        <v>0</v>
      </c>
      <c r="D33" s="282">
        <f t="shared" si="1"/>
        <v>0</v>
      </c>
      <c r="E33" s="291">
        <f>Черн.!DV32</f>
        <v>129.00431</v>
      </c>
      <c r="F33" s="291">
        <f>Черн.!DW32</f>
        <v>0</v>
      </c>
      <c r="G33" s="282">
        <f t="shared" si="2"/>
        <v>0</v>
      </c>
      <c r="H33" s="291">
        <f t="shared" si="3"/>
        <v>16.161693836639444</v>
      </c>
      <c r="I33" s="291"/>
      <c r="J33" s="312">
        <f t="shared" si="5"/>
        <v>0</v>
      </c>
      <c r="K33" s="294">
        <f t="shared" si="7"/>
        <v>1.1616169383663943</v>
      </c>
    </row>
    <row r="34" spans="1:12" s="311" customFormat="1" x14ac:dyDescent="0.25">
      <c r="A34" s="298" t="s">
        <v>189</v>
      </c>
      <c r="B34" s="299">
        <f>SUM(B8:B33)</f>
        <v>1548085.9455900001</v>
      </c>
      <c r="C34" s="299">
        <f>SUM(C8:C33)</f>
        <v>366441.02436000004</v>
      </c>
      <c r="D34" s="299">
        <f t="shared" si="1"/>
        <v>23.670586597848324</v>
      </c>
      <c r="E34" s="299">
        <f>SUM(E8:E33)</f>
        <v>1466445.5303999998</v>
      </c>
      <c r="F34" s="299">
        <f>SUM(F8:F33)</f>
        <v>264996.85389999999</v>
      </c>
      <c r="G34" s="299">
        <f t="shared" si="2"/>
        <v>18.070691915008755</v>
      </c>
      <c r="H34" s="299">
        <f t="shared" ref="H34:H35" si="8">E34/B34%-100</f>
        <v>-5.2736358354371475</v>
      </c>
      <c r="I34" s="299">
        <f>F34/C34%-100</f>
        <v>-27.683628119197422</v>
      </c>
      <c r="J34" s="300">
        <f t="shared" si="5"/>
        <v>-5.5998946828395688</v>
      </c>
      <c r="K34" s="311">
        <f t="shared" ref="K34" si="9">E34/B34</f>
        <v>0.94726364164562848</v>
      </c>
      <c r="L34" s="311">
        <f t="shared" ref="L34" si="10">F34/C34</f>
        <v>0.72316371880802577</v>
      </c>
    </row>
    <row r="35" spans="1:12" s="288" customFormat="1" x14ac:dyDescent="0.25">
      <c r="A35" s="290" t="s">
        <v>394</v>
      </c>
      <c r="B35" s="229">
        <f>5141338130.92/1000</f>
        <v>5141338.1309200004</v>
      </c>
      <c r="C35" s="229">
        <f>C36-C34</f>
        <v>0</v>
      </c>
      <c r="D35" s="229">
        <f t="shared" si="1"/>
        <v>0</v>
      </c>
      <c r="E35" s="229">
        <f>3600297741.57/1000</f>
        <v>3600297.7415700001</v>
      </c>
      <c r="F35" s="229">
        <v>0</v>
      </c>
      <c r="G35" s="229">
        <f t="shared" ref="G35" si="11">F35/E35%</f>
        <v>0</v>
      </c>
      <c r="H35" s="229">
        <f t="shared" si="8"/>
        <v>-29.973527321266531</v>
      </c>
      <c r="I35" s="229"/>
      <c r="J35" s="230">
        <f t="shared" ref="J35" si="12">G35-D35</f>
        <v>0</v>
      </c>
    </row>
    <row r="36" spans="1:12" s="311" customFormat="1" ht="13.8" thickBot="1" x14ac:dyDescent="0.3">
      <c r="A36" s="301" t="s">
        <v>333</v>
      </c>
      <c r="B36" s="302">
        <f>6357518338.44/1000</f>
        <v>6357518.3384399991</v>
      </c>
      <c r="C36" s="302">
        <f>366441024.36/1000</f>
        <v>366441.02436000004</v>
      </c>
      <c r="D36" s="302">
        <f t="shared" si="1"/>
        <v>5.7639003908861222</v>
      </c>
      <c r="E36" s="302">
        <f>4894379311.34/1000</f>
        <v>4894379.3113400005</v>
      </c>
      <c r="F36" s="302">
        <f>264996853.9/1000</f>
        <v>264996.85389999999</v>
      </c>
      <c r="G36" s="302">
        <f t="shared" ref="G36" si="13">F36/E36%</f>
        <v>5.4143097018659185</v>
      </c>
      <c r="H36" s="302">
        <f t="shared" ref="H36" si="14">E36/B36%-100</f>
        <v>-23.014310761060614</v>
      </c>
      <c r="I36" s="302">
        <f t="shared" ref="I36" si="15">F36/C36%-100</f>
        <v>-27.683628119197422</v>
      </c>
      <c r="J36" s="303">
        <f t="shared" ref="J36" si="16">G36-D36</f>
        <v>-0.34959068902020363</v>
      </c>
      <c r="K36" s="311">
        <f t="shared" ref="K36" si="17">E36/B36</f>
        <v>0.76985689238939381</v>
      </c>
      <c r="L36" s="311">
        <f t="shared" ref="L36" si="18">F36/C36</f>
        <v>0.72316371880802577</v>
      </c>
    </row>
    <row r="37" spans="1:12" ht="13.8" thickTop="1" x14ac:dyDescent="0.25"/>
    <row r="38" spans="1:12" hidden="1" x14ac:dyDescent="0.25">
      <c r="E38" s="294">
        <f>+F34-C34</f>
        <v>-101444.17046000005</v>
      </c>
    </row>
    <row r="39" spans="1:12" hidden="1" x14ac:dyDescent="0.25">
      <c r="A39" s="293" t="s">
        <v>395</v>
      </c>
      <c r="B39" s="294">
        <f>B34+B35-B36</f>
        <v>331905.73807000183</v>
      </c>
      <c r="C39" s="294">
        <f>C34+C35-C36</f>
        <v>0</v>
      </c>
      <c r="E39" s="294">
        <f>E34+E35-E36</f>
        <v>172363.96062999964</v>
      </c>
      <c r="F39" s="294">
        <f>F34+F35-F36</f>
        <v>0</v>
      </c>
    </row>
  </sheetData>
  <autoFilter ref="A7:J39"/>
  <mergeCells count="13">
    <mergeCell ref="H5:H6"/>
    <mergeCell ref="J5:J6"/>
    <mergeCell ref="A2:J2"/>
    <mergeCell ref="H1:J1"/>
    <mergeCell ref="A4:A6"/>
    <mergeCell ref="B5:B6"/>
    <mergeCell ref="B4:D4"/>
    <mergeCell ref="D5:D6"/>
    <mergeCell ref="E4:G4"/>
    <mergeCell ref="E5:E6"/>
    <mergeCell ref="G5:G6"/>
    <mergeCell ref="H4:J4"/>
    <mergeCell ref="I3:J3"/>
  </mergeCells>
  <conditionalFormatting sqref="B8:J17 B19:J36">
    <cfRule type="cellIs" dxfId="5" priority="2" operator="equal">
      <formula>0</formula>
    </cfRule>
  </conditionalFormatting>
  <conditionalFormatting sqref="B18:J18">
    <cfRule type="cellIs" dxfId="4" priority="1" operator="equal">
      <formula>0</formula>
    </cfRule>
  </conditionalFormatting>
  <printOptions horizontalCentered="1"/>
  <pageMargins left="0" right="0" top="0.74803149606299213" bottom="0.35433070866141736" header="0.31496062992125984" footer="0.11811023622047245"/>
  <pageSetup paperSize="9" orientation="landscape" r:id="rId1"/>
  <headerFooter>
    <oddFooter>&amp;CСтраница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1"/>
  <sheetViews>
    <sheetView zoomScaleNormal="100" workbookViewId="0">
      <pane xSplit="1" ySplit="1" topLeftCell="B2" activePane="bottomRight" state="frozen"/>
      <selection pane="topRight" activeCell="B1" sqref="B1"/>
      <selection pane="bottomLeft" activeCell="A9" sqref="A9"/>
      <selection pane="bottomRight" activeCell="AF6" sqref="AF6:AF7"/>
    </sheetView>
  </sheetViews>
  <sheetFormatPr defaultColWidth="9.109375" defaultRowHeight="14.4" x14ac:dyDescent="0.3"/>
  <cols>
    <col min="1" max="1" width="6.44140625" style="397" bestFit="1" customWidth="1"/>
    <col min="2" max="2" width="38.6640625" style="397" customWidth="1"/>
    <col min="3" max="3" width="12.5546875" style="397" hidden="1" customWidth="1"/>
    <col min="4" max="4" width="12.44140625" style="397" hidden="1" customWidth="1"/>
    <col min="5" max="6" width="12" style="397" hidden="1" customWidth="1"/>
    <col min="7" max="7" width="16.6640625" style="397" hidden="1" customWidth="1"/>
    <col min="8" max="8" width="12.6640625" style="397" hidden="1" customWidth="1"/>
    <col min="9" max="9" width="11.5546875" style="397" hidden="1" customWidth="1"/>
    <col min="10" max="10" width="11.33203125" style="397" hidden="1" customWidth="1"/>
    <col min="11" max="11" width="13" style="397" hidden="1" customWidth="1"/>
    <col min="12" max="12" width="17.5546875" style="397" hidden="1" customWidth="1"/>
    <col min="13" max="13" width="14.6640625" style="397" hidden="1" customWidth="1"/>
    <col min="14" max="14" width="11.5546875" style="397" hidden="1" customWidth="1"/>
    <col min="15" max="15" width="12.109375" style="397" hidden="1" customWidth="1"/>
    <col min="16" max="16" width="12.88671875" style="397" hidden="1" customWidth="1"/>
    <col min="17" max="17" width="15.33203125" style="399" hidden="1" customWidth="1"/>
    <col min="18" max="18" width="12.88671875" style="397" customWidth="1"/>
    <col min="19" max="19" width="11" style="397" customWidth="1"/>
    <col min="20" max="20" width="11.5546875" style="397" customWidth="1"/>
    <col min="21" max="21" width="9.109375" style="397"/>
    <col min="22" max="22" width="14.44140625" style="397" customWidth="1"/>
    <col min="23" max="23" width="14.44140625" style="400" hidden="1" customWidth="1"/>
    <col min="24" max="24" width="13.5546875" style="397" customWidth="1"/>
    <col min="25" max="26" width="11.88671875" style="397" customWidth="1"/>
    <col min="27" max="27" width="12.109375" style="397" customWidth="1"/>
    <col min="28" max="28" width="15.88671875" style="399" customWidth="1"/>
    <col min="29" max="29" width="0" style="397" hidden="1" customWidth="1"/>
    <col min="30" max="30" width="14.6640625" style="399" hidden="1" customWidth="1"/>
    <col min="31" max="31" width="0" style="397" hidden="1" customWidth="1"/>
    <col min="32" max="32" width="10.6640625" style="400" hidden="1" customWidth="1"/>
    <col min="33" max="256" width="9.109375" style="397"/>
    <col min="257" max="257" width="6.44140625" style="397" bestFit="1" customWidth="1"/>
    <col min="258" max="258" width="38.6640625" style="397" customWidth="1"/>
    <col min="259" max="273" width="0" style="397" hidden="1" customWidth="1"/>
    <col min="274" max="274" width="12.88671875" style="397" customWidth="1"/>
    <col min="275" max="275" width="11" style="397" customWidth="1"/>
    <col min="276" max="276" width="11.5546875" style="397" customWidth="1"/>
    <col min="277" max="277" width="9.109375" style="397"/>
    <col min="278" max="278" width="14.44140625" style="397" customWidth="1"/>
    <col min="279" max="279" width="0" style="397" hidden="1" customWidth="1"/>
    <col min="280" max="280" width="13.5546875" style="397" customWidth="1"/>
    <col min="281" max="282" width="11.88671875" style="397" customWidth="1"/>
    <col min="283" max="283" width="12.109375" style="397" customWidth="1"/>
    <col min="284" max="284" width="15.88671875" style="397" customWidth="1"/>
    <col min="285" max="288" width="0" style="397" hidden="1" customWidth="1"/>
    <col min="289" max="512" width="9.109375" style="397"/>
    <col min="513" max="513" width="6.44140625" style="397" bestFit="1" customWidth="1"/>
    <col min="514" max="514" width="38.6640625" style="397" customWidth="1"/>
    <col min="515" max="529" width="0" style="397" hidden="1" customWidth="1"/>
    <col min="530" max="530" width="12.88671875" style="397" customWidth="1"/>
    <col min="531" max="531" width="11" style="397" customWidth="1"/>
    <col min="532" max="532" width="11.5546875" style="397" customWidth="1"/>
    <col min="533" max="533" width="9.109375" style="397"/>
    <col min="534" max="534" width="14.44140625" style="397" customWidth="1"/>
    <col min="535" max="535" width="0" style="397" hidden="1" customWidth="1"/>
    <col min="536" max="536" width="13.5546875" style="397" customWidth="1"/>
    <col min="537" max="538" width="11.88671875" style="397" customWidth="1"/>
    <col min="539" max="539" width="12.109375" style="397" customWidth="1"/>
    <col min="540" max="540" width="15.88671875" style="397" customWidth="1"/>
    <col min="541" max="544" width="0" style="397" hidden="1" customWidth="1"/>
    <col min="545" max="768" width="9.109375" style="397"/>
    <col min="769" max="769" width="6.44140625" style="397" bestFit="1" customWidth="1"/>
    <col min="770" max="770" width="38.6640625" style="397" customWidth="1"/>
    <col min="771" max="785" width="0" style="397" hidden="1" customWidth="1"/>
    <col min="786" max="786" width="12.88671875" style="397" customWidth="1"/>
    <col min="787" max="787" width="11" style="397" customWidth="1"/>
    <col min="788" max="788" width="11.5546875" style="397" customWidth="1"/>
    <col min="789" max="789" width="9.109375" style="397"/>
    <col min="790" max="790" width="14.44140625" style="397" customWidth="1"/>
    <col min="791" max="791" width="0" style="397" hidden="1" customWidth="1"/>
    <col min="792" max="792" width="13.5546875" style="397" customWidth="1"/>
    <col min="793" max="794" width="11.88671875" style="397" customWidth="1"/>
    <col min="795" max="795" width="12.109375" style="397" customWidth="1"/>
    <col min="796" max="796" width="15.88671875" style="397" customWidth="1"/>
    <col min="797" max="800" width="0" style="397" hidden="1" customWidth="1"/>
    <col min="801" max="1024" width="9.109375" style="397"/>
    <col min="1025" max="1025" width="6.44140625" style="397" bestFit="1" customWidth="1"/>
    <col min="1026" max="1026" width="38.6640625" style="397" customWidth="1"/>
    <col min="1027" max="1041" width="0" style="397" hidden="1" customWidth="1"/>
    <col min="1042" max="1042" width="12.88671875" style="397" customWidth="1"/>
    <col min="1043" max="1043" width="11" style="397" customWidth="1"/>
    <col min="1044" max="1044" width="11.5546875" style="397" customWidth="1"/>
    <col min="1045" max="1045" width="9.109375" style="397"/>
    <col min="1046" max="1046" width="14.44140625" style="397" customWidth="1"/>
    <col min="1047" max="1047" width="0" style="397" hidden="1" customWidth="1"/>
    <col min="1048" max="1048" width="13.5546875" style="397" customWidth="1"/>
    <col min="1049" max="1050" width="11.88671875" style="397" customWidth="1"/>
    <col min="1051" max="1051" width="12.109375" style="397" customWidth="1"/>
    <col min="1052" max="1052" width="15.88671875" style="397" customWidth="1"/>
    <col min="1053" max="1056" width="0" style="397" hidden="1" customWidth="1"/>
    <col min="1057" max="1280" width="9.109375" style="397"/>
    <col min="1281" max="1281" width="6.44140625" style="397" bestFit="1" customWidth="1"/>
    <col min="1282" max="1282" width="38.6640625" style="397" customWidth="1"/>
    <col min="1283" max="1297" width="0" style="397" hidden="1" customWidth="1"/>
    <col min="1298" max="1298" width="12.88671875" style="397" customWidth="1"/>
    <col min="1299" max="1299" width="11" style="397" customWidth="1"/>
    <col min="1300" max="1300" width="11.5546875" style="397" customWidth="1"/>
    <col min="1301" max="1301" width="9.109375" style="397"/>
    <col min="1302" max="1302" width="14.44140625" style="397" customWidth="1"/>
    <col min="1303" max="1303" width="0" style="397" hidden="1" customWidth="1"/>
    <col min="1304" max="1304" width="13.5546875" style="397" customWidth="1"/>
    <col min="1305" max="1306" width="11.88671875" style="397" customWidth="1"/>
    <col min="1307" max="1307" width="12.109375" style="397" customWidth="1"/>
    <col min="1308" max="1308" width="15.88671875" style="397" customWidth="1"/>
    <col min="1309" max="1312" width="0" style="397" hidden="1" customWidth="1"/>
    <col min="1313" max="1536" width="9.109375" style="397"/>
    <col min="1537" max="1537" width="6.44140625" style="397" bestFit="1" customWidth="1"/>
    <col min="1538" max="1538" width="38.6640625" style="397" customWidth="1"/>
    <col min="1539" max="1553" width="0" style="397" hidden="1" customWidth="1"/>
    <col min="1554" max="1554" width="12.88671875" style="397" customWidth="1"/>
    <col min="1555" max="1555" width="11" style="397" customWidth="1"/>
    <col min="1556" max="1556" width="11.5546875" style="397" customWidth="1"/>
    <col min="1557" max="1557" width="9.109375" style="397"/>
    <col min="1558" max="1558" width="14.44140625" style="397" customWidth="1"/>
    <col min="1559" max="1559" width="0" style="397" hidden="1" customWidth="1"/>
    <col min="1560" max="1560" width="13.5546875" style="397" customWidth="1"/>
    <col min="1561" max="1562" width="11.88671875" style="397" customWidth="1"/>
    <col min="1563" max="1563" width="12.109375" style="397" customWidth="1"/>
    <col min="1564" max="1564" width="15.88671875" style="397" customWidth="1"/>
    <col min="1565" max="1568" width="0" style="397" hidden="1" customWidth="1"/>
    <col min="1569" max="1792" width="9.109375" style="397"/>
    <col min="1793" max="1793" width="6.44140625" style="397" bestFit="1" customWidth="1"/>
    <col min="1794" max="1794" width="38.6640625" style="397" customWidth="1"/>
    <col min="1795" max="1809" width="0" style="397" hidden="1" customWidth="1"/>
    <col min="1810" max="1810" width="12.88671875" style="397" customWidth="1"/>
    <col min="1811" max="1811" width="11" style="397" customWidth="1"/>
    <col min="1812" max="1812" width="11.5546875" style="397" customWidth="1"/>
    <col min="1813" max="1813" width="9.109375" style="397"/>
    <col min="1814" max="1814" width="14.44140625" style="397" customWidth="1"/>
    <col min="1815" max="1815" width="0" style="397" hidden="1" customWidth="1"/>
    <col min="1816" max="1816" width="13.5546875" style="397" customWidth="1"/>
    <col min="1817" max="1818" width="11.88671875" style="397" customWidth="1"/>
    <col min="1819" max="1819" width="12.109375" style="397" customWidth="1"/>
    <col min="1820" max="1820" width="15.88671875" style="397" customWidth="1"/>
    <col min="1821" max="1824" width="0" style="397" hidden="1" customWidth="1"/>
    <col min="1825" max="2048" width="9.109375" style="397"/>
    <col min="2049" max="2049" width="6.44140625" style="397" bestFit="1" customWidth="1"/>
    <col min="2050" max="2050" width="38.6640625" style="397" customWidth="1"/>
    <col min="2051" max="2065" width="0" style="397" hidden="1" customWidth="1"/>
    <col min="2066" max="2066" width="12.88671875" style="397" customWidth="1"/>
    <col min="2067" max="2067" width="11" style="397" customWidth="1"/>
    <col min="2068" max="2068" width="11.5546875" style="397" customWidth="1"/>
    <col min="2069" max="2069" width="9.109375" style="397"/>
    <col min="2070" max="2070" width="14.44140625" style="397" customWidth="1"/>
    <col min="2071" max="2071" width="0" style="397" hidden="1" customWidth="1"/>
    <col min="2072" max="2072" width="13.5546875" style="397" customWidth="1"/>
    <col min="2073" max="2074" width="11.88671875" style="397" customWidth="1"/>
    <col min="2075" max="2075" width="12.109375" style="397" customWidth="1"/>
    <col min="2076" max="2076" width="15.88671875" style="397" customWidth="1"/>
    <col min="2077" max="2080" width="0" style="397" hidden="1" customWidth="1"/>
    <col min="2081" max="2304" width="9.109375" style="397"/>
    <col min="2305" max="2305" width="6.44140625" style="397" bestFit="1" customWidth="1"/>
    <col min="2306" max="2306" width="38.6640625" style="397" customWidth="1"/>
    <col min="2307" max="2321" width="0" style="397" hidden="1" customWidth="1"/>
    <col min="2322" max="2322" width="12.88671875" style="397" customWidth="1"/>
    <col min="2323" max="2323" width="11" style="397" customWidth="1"/>
    <col min="2324" max="2324" width="11.5546875" style="397" customWidth="1"/>
    <col min="2325" max="2325" width="9.109375" style="397"/>
    <col min="2326" max="2326" width="14.44140625" style="397" customWidth="1"/>
    <col min="2327" max="2327" width="0" style="397" hidden="1" customWidth="1"/>
    <col min="2328" max="2328" width="13.5546875" style="397" customWidth="1"/>
    <col min="2329" max="2330" width="11.88671875" style="397" customWidth="1"/>
    <col min="2331" max="2331" width="12.109375" style="397" customWidth="1"/>
    <col min="2332" max="2332" width="15.88671875" style="397" customWidth="1"/>
    <col min="2333" max="2336" width="0" style="397" hidden="1" customWidth="1"/>
    <col min="2337" max="2560" width="9.109375" style="397"/>
    <col min="2561" max="2561" width="6.44140625" style="397" bestFit="1" customWidth="1"/>
    <col min="2562" max="2562" width="38.6640625" style="397" customWidth="1"/>
    <col min="2563" max="2577" width="0" style="397" hidden="1" customWidth="1"/>
    <col min="2578" max="2578" width="12.88671875" style="397" customWidth="1"/>
    <col min="2579" max="2579" width="11" style="397" customWidth="1"/>
    <col min="2580" max="2580" width="11.5546875" style="397" customWidth="1"/>
    <col min="2581" max="2581" width="9.109375" style="397"/>
    <col min="2582" max="2582" width="14.44140625" style="397" customWidth="1"/>
    <col min="2583" max="2583" width="0" style="397" hidden="1" customWidth="1"/>
    <col min="2584" max="2584" width="13.5546875" style="397" customWidth="1"/>
    <col min="2585" max="2586" width="11.88671875" style="397" customWidth="1"/>
    <col min="2587" max="2587" width="12.109375" style="397" customWidth="1"/>
    <col min="2588" max="2588" width="15.88671875" style="397" customWidth="1"/>
    <col min="2589" max="2592" width="0" style="397" hidden="1" customWidth="1"/>
    <col min="2593" max="2816" width="9.109375" style="397"/>
    <col min="2817" max="2817" width="6.44140625" style="397" bestFit="1" customWidth="1"/>
    <col min="2818" max="2818" width="38.6640625" style="397" customWidth="1"/>
    <col min="2819" max="2833" width="0" style="397" hidden="1" customWidth="1"/>
    <col min="2834" max="2834" width="12.88671875" style="397" customWidth="1"/>
    <col min="2835" max="2835" width="11" style="397" customWidth="1"/>
    <col min="2836" max="2836" width="11.5546875" style="397" customWidth="1"/>
    <col min="2837" max="2837" width="9.109375" style="397"/>
    <col min="2838" max="2838" width="14.44140625" style="397" customWidth="1"/>
    <col min="2839" max="2839" width="0" style="397" hidden="1" customWidth="1"/>
    <col min="2840" max="2840" width="13.5546875" style="397" customWidth="1"/>
    <col min="2841" max="2842" width="11.88671875" style="397" customWidth="1"/>
    <col min="2843" max="2843" width="12.109375" style="397" customWidth="1"/>
    <col min="2844" max="2844" width="15.88671875" style="397" customWidth="1"/>
    <col min="2845" max="2848" width="0" style="397" hidden="1" customWidth="1"/>
    <col min="2849" max="3072" width="9.109375" style="397"/>
    <col min="3073" max="3073" width="6.44140625" style="397" bestFit="1" customWidth="1"/>
    <col min="3074" max="3074" width="38.6640625" style="397" customWidth="1"/>
    <col min="3075" max="3089" width="0" style="397" hidden="1" customWidth="1"/>
    <col min="3090" max="3090" width="12.88671875" style="397" customWidth="1"/>
    <col min="3091" max="3091" width="11" style="397" customWidth="1"/>
    <col min="3092" max="3092" width="11.5546875" style="397" customWidth="1"/>
    <col min="3093" max="3093" width="9.109375" style="397"/>
    <col min="3094" max="3094" width="14.44140625" style="397" customWidth="1"/>
    <col min="3095" max="3095" width="0" style="397" hidden="1" customWidth="1"/>
    <col min="3096" max="3096" width="13.5546875" style="397" customWidth="1"/>
    <col min="3097" max="3098" width="11.88671875" style="397" customWidth="1"/>
    <col min="3099" max="3099" width="12.109375" style="397" customWidth="1"/>
    <col min="3100" max="3100" width="15.88671875" style="397" customWidth="1"/>
    <col min="3101" max="3104" width="0" style="397" hidden="1" customWidth="1"/>
    <col min="3105" max="3328" width="9.109375" style="397"/>
    <col min="3329" max="3329" width="6.44140625" style="397" bestFit="1" customWidth="1"/>
    <col min="3330" max="3330" width="38.6640625" style="397" customWidth="1"/>
    <col min="3331" max="3345" width="0" style="397" hidden="1" customWidth="1"/>
    <col min="3346" max="3346" width="12.88671875" style="397" customWidth="1"/>
    <col min="3347" max="3347" width="11" style="397" customWidth="1"/>
    <col min="3348" max="3348" width="11.5546875" style="397" customWidth="1"/>
    <col min="3349" max="3349" width="9.109375" style="397"/>
    <col min="3350" max="3350" width="14.44140625" style="397" customWidth="1"/>
    <col min="3351" max="3351" width="0" style="397" hidden="1" customWidth="1"/>
    <col min="3352" max="3352" width="13.5546875" style="397" customWidth="1"/>
    <col min="3353" max="3354" width="11.88671875" style="397" customWidth="1"/>
    <col min="3355" max="3355" width="12.109375" style="397" customWidth="1"/>
    <col min="3356" max="3356" width="15.88671875" style="397" customWidth="1"/>
    <col min="3357" max="3360" width="0" style="397" hidden="1" customWidth="1"/>
    <col min="3361" max="3584" width="9.109375" style="397"/>
    <col min="3585" max="3585" width="6.44140625" style="397" bestFit="1" customWidth="1"/>
    <col min="3586" max="3586" width="38.6640625" style="397" customWidth="1"/>
    <col min="3587" max="3601" width="0" style="397" hidden="1" customWidth="1"/>
    <col min="3602" max="3602" width="12.88671875" style="397" customWidth="1"/>
    <col min="3603" max="3603" width="11" style="397" customWidth="1"/>
    <col min="3604" max="3604" width="11.5546875" style="397" customWidth="1"/>
    <col min="3605" max="3605" width="9.109375" style="397"/>
    <col min="3606" max="3606" width="14.44140625" style="397" customWidth="1"/>
    <col min="3607" max="3607" width="0" style="397" hidden="1" customWidth="1"/>
    <col min="3608" max="3608" width="13.5546875" style="397" customWidth="1"/>
    <col min="3609" max="3610" width="11.88671875" style="397" customWidth="1"/>
    <col min="3611" max="3611" width="12.109375" style="397" customWidth="1"/>
    <col min="3612" max="3612" width="15.88671875" style="397" customWidth="1"/>
    <col min="3613" max="3616" width="0" style="397" hidden="1" customWidth="1"/>
    <col min="3617" max="3840" width="9.109375" style="397"/>
    <col min="3841" max="3841" width="6.44140625" style="397" bestFit="1" customWidth="1"/>
    <col min="3842" max="3842" width="38.6640625" style="397" customWidth="1"/>
    <col min="3843" max="3857" width="0" style="397" hidden="1" customWidth="1"/>
    <col min="3858" max="3858" width="12.88671875" style="397" customWidth="1"/>
    <col min="3859" max="3859" width="11" style="397" customWidth="1"/>
    <col min="3860" max="3860" width="11.5546875" style="397" customWidth="1"/>
    <col min="3861" max="3861" width="9.109375" style="397"/>
    <col min="3862" max="3862" width="14.44140625" style="397" customWidth="1"/>
    <col min="3863" max="3863" width="0" style="397" hidden="1" customWidth="1"/>
    <col min="3864" max="3864" width="13.5546875" style="397" customWidth="1"/>
    <col min="3865" max="3866" width="11.88671875" style="397" customWidth="1"/>
    <col min="3867" max="3867" width="12.109375" style="397" customWidth="1"/>
    <col min="3868" max="3868" width="15.88671875" style="397" customWidth="1"/>
    <col min="3869" max="3872" width="0" style="397" hidden="1" customWidth="1"/>
    <col min="3873" max="4096" width="9.109375" style="397"/>
    <col min="4097" max="4097" width="6.44140625" style="397" bestFit="1" customWidth="1"/>
    <col min="4098" max="4098" width="38.6640625" style="397" customWidth="1"/>
    <col min="4099" max="4113" width="0" style="397" hidden="1" customWidth="1"/>
    <col min="4114" max="4114" width="12.88671875" style="397" customWidth="1"/>
    <col min="4115" max="4115" width="11" style="397" customWidth="1"/>
    <col min="4116" max="4116" width="11.5546875" style="397" customWidth="1"/>
    <col min="4117" max="4117" width="9.109375" style="397"/>
    <col min="4118" max="4118" width="14.44140625" style="397" customWidth="1"/>
    <col min="4119" max="4119" width="0" style="397" hidden="1" customWidth="1"/>
    <col min="4120" max="4120" width="13.5546875" style="397" customWidth="1"/>
    <col min="4121" max="4122" width="11.88671875" style="397" customWidth="1"/>
    <col min="4123" max="4123" width="12.109375" style="397" customWidth="1"/>
    <col min="4124" max="4124" width="15.88671875" style="397" customWidth="1"/>
    <col min="4125" max="4128" width="0" style="397" hidden="1" customWidth="1"/>
    <col min="4129" max="4352" width="9.109375" style="397"/>
    <col min="4353" max="4353" width="6.44140625" style="397" bestFit="1" customWidth="1"/>
    <col min="4354" max="4354" width="38.6640625" style="397" customWidth="1"/>
    <col min="4355" max="4369" width="0" style="397" hidden="1" customWidth="1"/>
    <col min="4370" max="4370" width="12.88671875" style="397" customWidth="1"/>
    <col min="4371" max="4371" width="11" style="397" customWidth="1"/>
    <col min="4372" max="4372" width="11.5546875" style="397" customWidth="1"/>
    <col min="4373" max="4373" width="9.109375" style="397"/>
    <col min="4374" max="4374" width="14.44140625" style="397" customWidth="1"/>
    <col min="4375" max="4375" width="0" style="397" hidden="1" customWidth="1"/>
    <col min="4376" max="4376" width="13.5546875" style="397" customWidth="1"/>
    <col min="4377" max="4378" width="11.88671875" style="397" customWidth="1"/>
    <col min="4379" max="4379" width="12.109375" style="397" customWidth="1"/>
    <col min="4380" max="4380" width="15.88671875" style="397" customWidth="1"/>
    <col min="4381" max="4384" width="0" style="397" hidden="1" customWidth="1"/>
    <col min="4385" max="4608" width="9.109375" style="397"/>
    <col min="4609" max="4609" width="6.44140625" style="397" bestFit="1" customWidth="1"/>
    <col min="4610" max="4610" width="38.6640625" style="397" customWidth="1"/>
    <col min="4611" max="4625" width="0" style="397" hidden="1" customWidth="1"/>
    <col min="4626" max="4626" width="12.88671875" style="397" customWidth="1"/>
    <col min="4627" max="4627" width="11" style="397" customWidth="1"/>
    <col min="4628" max="4628" width="11.5546875" style="397" customWidth="1"/>
    <col min="4629" max="4629" width="9.109375" style="397"/>
    <col min="4630" max="4630" width="14.44140625" style="397" customWidth="1"/>
    <col min="4631" max="4631" width="0" style="397" hidden="1" customWidth="1"/>
    <col min="4632" max="4632" width="13.5546875" style="397" customWidth="1"/>
    <col min="4633" max="4634" width="11.88671875" style="397" customWidth="1"/>
    <col min="4635" max="4635" width="12.109375" style="397" customWidth="1"/>
    <col min="4636" max="4636" width="15.88671875" style="397" customWidth="1"/>
    <col min="4637" max="4640" width="0" style="397" hidden="1" customWidth="1"/>
    <col min="4641" max="4864" width="9.109375" style="397"/>
    <col min="4865" max="4865" width="6.44140625" style="397" bestFit="1" customWidth="1"/>
    <col min="4866" max="4866" width="38.6640625" style="397" customWidth="1"/>
    <col min="4867" max="4881" width="0" style="397" hidden="1" customWidth="1"/>
    <col min="4882" max="4882" width="12.88671875" style="397" customWidth="1"/>
    <col min="4883" max="4883" width="11" style="397" customWidth="1"/>
    <col min="4884" max="4884" width="11.5546875" style="397" customWidth="1"/>
    <col min="4885" max="4885" width="9.109375" style="397"/>
    <col min="4886" max="4886" width="14.44140625" style="397" customWidth="1"/>
    <col min="4887" max="4887" width="0" style="397" hidden="1" customWidth="1"/>
    <col min="4888" max="4888" width="13.5546875" style="397" customWidth="1"/>
    <col min="4889" max="4890" width="11.88671875" style="397" customWidth="1"/>
    <col min="4891" max="4891" width="12.109375" style="397" customWidth="1"/>
    <col min="4892" max="4892" width="15.88671875" style="397" customWidth="1"/>
    <col min="4893" max="4896" width="0" style="397" hidden="1" customWidth="1"/>
    <col min="4897" max="5120" width="9.109375" style="397"/>
    <col min="5121" max="5121" width="6.44140625" style="397" bestFit="1" customWidth="1"/>
    <col min="5122" max="5122" width="38.6640625" style="397" customWidth="1"/>
    <col min="5123" max="5137" width="0" style="397" hidden="1" customWidth="1"/>
    <col min="5138" max="5138" width="12.88671875" style="397" customWidth="1"/>
    <col min="5139" max="5139" width="11" style="397" customWidth="1"/>
    <col min="5140" max="5140" width="11.5546875" style="397" customWidth="1"/>
    <col min="5141" max="5141" width="9.109375" style="397"/>
    <col min="5142" max="5142" width="14.44140625" style="397" customWidth="1"/>
    <col min="5143" max="5143" width="0" style="397" hidden="1" customWidth="1"/>
    <col min="5144" max="5144" width="13.5546875" style="397" customWidth="1"/>
    <col min="5145" max="5146" width="11.88671875" style="397" customWidth="1"/>
    <col min="5147" max="5147" width="12.109375" style="397" customWidth="1"/>
    <col min="5148" max="5148" width="15.88671875" style="397" customWidth="1"/>
    <col min="5149" max="5152" width="0" style="397" hidden="1" customWidth="1"/>
    <col min="5153" max="5376" width="9.109375" style="397"/>
    <col min="5377" max="5377" width="6.44140625" style="397" bestFit="1" customWidth="1"/>
    <col min="5378" max="5378" width="38.6640625" style="397" customWidth="1"/>
    <col min="5379" max="5393" width="0" style="397" hidden="1" customWidth="1"/>
    <col min="5394" max="5394" width="12.88671875" style="397" customWidth="1"/>
    <col min="5395" max="5395" width="11" style="397" customWidth="1"/>
    <col min="5396" max="5396" width="11.5546875" style="397" customWidth="1"/>
    <col min="5397" max="5397" width="9.109375" style="397"/>
    <col min="5398" max="5398" width="14.44140625" style="397" customWidth="1"/>
    <col min="5399" max="5399" width="0" style="397" hidden="1" customWidth="1"/>
    <col min="5400" max="5400" width="13.5546875" style="397" customWidth="1"/>
    <col min="5401" max="5402" width="11.88671875" style="397" customWidth="1"/>
    <col min="5403" max="5403" width="12.109375" style="397" customWidth="1"/>
    <col min="5404" max="5404" width="15.88671875" style="397" customWidth="1"/>
    <col min="5405" max="5408" width="0" style="397" hidden="1" customWidth="1"/>
    <col min="5409" max="5632" width="9.109375" style="397"/>
    <col min="5633" max="5633" width="6.44140625" style="397" bestFit="1" customWidth="1"/>
    <col min="5634" max="5634" width="38.6640625" style="397" customWidth="1"/>
    <col min="5635" max="5649" width="0" style="397" hidden="1" customWidth="1"/>
    <col min="5650" max="5650" width="12.88671875" style="397" customWidth="1"/>
    <col min="5651" max="5651" width="11" style="397" customWidth="1"/>
    <col min="5652" max="5652" width="11.5546875" style="397" customWidth="1"/>
    <col min="5653" max="5653" width="9.109375" style="397"/>
    <col min="5654" max="5654" width="14.44140625" style="397" customWidth="1"/>
    <col min="5655" max="5655" width="0" style="397" hidden="1" customWidth="1"/>
    <col min="5656" max="5656" width="13.5546875" style="397" customWidth="1"/>
    <col min="5657" max="5658" width="11.88671875" style="397" customWidth="1"/>
    <col min="5659" max="5659" width="12.109375" style="397" customWidth="1"/>
    <col min="5660" max="5660" width="15.88671875" style="397" customWidth="1"/>
    <col min="5661" max="5664" width="0" style="397" hidden="1" customWidth="1"/>
    <col min="5665" max="5888" width="9.109375" style="397"/>
    <col min="5889" max="5889" width="6.44140625" style="397" bestFit="1" customWidth="1"/>
    <col min="5890" max="5890" width="38.6640625" style="397" customWidth="1"/>
    <col min="5891" max="5905" width="0" style="397" hidden="1" customWidth="1"/>
    <col min="5906" max="5906" width="12.88671875" style="397" customWidth="1"/>
    <col min="5907" max="5907" width="11" style="397" customWidth="1"/>
    <col min="5908" max="5908" width="11.5546875" style="397" customWidth="1"/>
    <col min="5909" max="5909" width="9.109375" style="397"/>
    <col min="5910" max="5910" width="14.44140625" style="397" customWidth="1"/>
    <col min="5911" max="5911" width="0" style="397" hidden="1" customWidth="1"/>
    <col min="5912" max="5912" width="13.5546875" style="397" customWidth="1"/>
    <col min="5913" max="5914" width="11.88671875" style="397" customWidth="1"/>
    <col min="5915" max="5915" width="12.109375" style="397" customWidth="1"/>
    <col min="5916" max="5916" width="15.88671875" style="397" customWidth="1"/>
    <col min="5917" max="5920" width="0" style="397" hidden="1" customWidth="1"/>
    <col min="5921" max="6144" width="9.109375" style="397"/>
    <col min="6145" max="6145" width="6.44140625" style="397" bestFit="1" customWidth="1"/>
    <col min="6146" max="6146" width="38.6640625" style="397" customWidth="1"/>
    <col min="6147" max="6161" width="0" style="397" hidden="1" customWidth="1"/>
    <col min="6162" max="6162" width="12.88671875" style="397" customWidth="1"/>
    <col min="6163" max="6163" width="11" style="397" customWidth="1"/>
    <col min="6164" max="6164" width="11.5546875" style="397" customWidth="1"/>
    <col min="6165" max="6165" width="9.109375" style="397"/>
    <col min="6166" max="6166" width="14.44140625" style="397" customWidth="1"/>
    <col min="6167" max="6167" width="0" style="397" hidden="1" customWidth="1"/>
    <col min="6168" max="6168" width="13.5546875" style="397" customWidth="1"/>
    <col min="6169" max="6170" width="11.88671875" style="397" customWidth="1"/>
    <col min="6171" max="6171" width="12.109375" style="397" customWidth="1"/>
    <col min="6172" max="6172" width="15.88671875" style="397" customWidth="1"/>
    <col min="6173" max="6176" width="0" style="397" hidden="1" customWidth="1"/>
    <col min="6177" max="6400" width="9.109375" style="397"/>
    <col min="6401" max="6401" width="6.44140625" style="397" bestFit="1" customWidth="1"/>
    <col min="6402" max="6402" width="38.6640625" style="397" customWidth="1"/>
    <col min="6403" max="6417" width="0" style="397" hidden="1" customWidth="1"/>
    <col min="6418" max="6418" width="12.88671875" style="397" customWidth="1"/>
    <col min="6419" max="6419" width="11" style="397" customWidth="1"/>
    <col min="6420" max="6420" width="11.5546875" style="397" customWidth="1"/>
    <col min="6421" max="6421" width="9.109375" style="397"/>
    <col min="6422" max="6422" width="14.44140625" style="397" customWidth="1"/>
    <col min="6423" max="6423" width="0" style="397" hidden="1" customWidth="1"/>
    <col min="6424" max="6424" width="13.5546875" style="397" customWidth="1"/>
    <col min="6425" max="6426" width="11.88671875" style="397" customWidth="1"/>
    <col min="6427" max="6427" width="12.109375" style="397" customWidth="1"/>
    <col min="6428" max="6428" width="15.88671875" style="397" customWidth="1"/>
    <col min="6429" max="6432" width="0" style="397" hidden="1" customWidth="1"/>
    <col min="6433" max="6656" width="9.109375" style="397"/>
    <col min="6657" max="6657" width="6.44140625" style="397" bestFit="1" customWidth="1"/>
    <col min="6658" max="6658" width="38.6640625" style="397" customWidth="1"/>
    <col min="6659" max="6673" width="0" style="397" hidden="1" customWidth="1"/>
    <col min="6674" max="6674" width="12.88671875" style="397" customWidth="1"/>
    <col min="6675" max="6675" width="11" style="397" customWidth="1"/>
    <col min="6676" max="6676" width="11.5546875" style="397" customWidth="1"/>
    <col min="6677" max="6677" width="9.109375" style="397"/>
    <col min="6678" max="6678" width="14.44140625" style="397" customWidth="1"/>
    <col min="6679" max="6679" width="0" style="397" hidden="1" customWidth="1"/>
    <col min="6680" max="6680" width="13.5546875" style="397" customWidth="1"/>
    <col min="6681" max="6682" width="11.88671875" style="397" customWidth="1"/>
    <col min="6683" max="6683" width="12.109375" style="397" customWidth="1"/>
    <col min="6684" max="6684" width="15.88671875" style="397" customWidth="1"/>
    <col min="6685" max="6688" width="0" style="397" hidden="1" customWidth="1"/>
    <col min="6689" max="6912" width="9.109375" style="397"/>
    <col min="6913" max="6913" width="6.44140625" style="397" bestFit="1" customWidth="1"/>
    <col min="6914" max="6914" width="38.6640625" style="397" customWidth="1"/>
    <col min="6915" max="6929" width="0" style="397" hidden="1" customWidth="1"/>
    <col min="6930" max="6930" width="12.88671875" style="397" customWidth="1"/>
    <col min="6931" max="6931" width="11" style="397" customWidth="1"/>
    <col min="6932" max="6932" width="11.5546875" style="397" customWidth="1"/>
    <col min="6933" max="6933" width="9.109375" style="397"/>
    <col min="6934" max="6934" width="14.44140625" style="397" customWidth="1"/>
    <col min="6935" max="6935" width="0" style="397" hidden="1" customWidth="1"/>
    <col min="6936" max="6936" width="13.5546875" style="397" customWidth="1"/>
    <col min="6937" max="6938" width="11.88671875" style="397" customWidth="1"/>
    <col min="6939" max="6939" width="12.109375" style="397" customWidth="1"/>
    <col min="6940" max="6940" width="15.88671875" style="397" customWidth="1"/>
    <col min="6941" max="6944" width="0" style="397" hidden="1" customWidth="1"/>
    <col min="6945" max="7168" width="9.109375" style="397"/>
    <col min="7169" max="7169" width="6.44140625" style="397" bestFit="1" customWidth="1"/>
    <col min="7170" max="7170" width="38.6640625" style="397" customWidth="1"/>
    <col min="7171" max="7185" width="0" style="397" hidden="1" customWidth="1"/>
    <col min="7186" max="7186" width="12.88671875" style="397" customWidth="1"/>
    <col min="7187" max="7187" width="11" style="397" customWidth="1"/>
    <col min="7188" max="7188" width="11.5546875" style="397" customWidth="1"/>
    <col min="7189" max="7189" width="9.109375" style="397"/>
    <col min="7190" max="7190" width="14.44140625" style="397" customWidth="1"/>
    <col min="7191" max="7191" width="0" style="397" hidden="1" customWidth="1"/>
    <col min="7192" max="7192" width="13.5546875" style="397" customWidth="1"/>
    <col min="7193" max="7194" width="11.88671875" style="397" customWidth="1"/>
    <col min="7195" max="7195" width="12.109375" style="397" customWidth="1"/>
    <col min="7196" max="7196" width="15.88671875" style="397" customWidth="1"/>
    <col min="7197" max="7200" width="0" style="397" hidden="1" customWidth="1"/>
    <col min="7201" max="7424" width="9.109375" style="397"/>
    <col min="7425" max="7425" width="6.44140625" style="397" bestFit="1" customWidth="1"/>
    <col min="7426" max="7426" width="38.6640625" style="397" customWidth="1"/>
    <col min="7427" max="7441" width="0" style="397" hidden="1" customWidth="1"/>
    <col min="7442" max="7442" width="12.88671875" style="397" customWidth="1"/>
    <col min="7443" max="7443" width="11" style="397" customWidth="1"/>
    <col min="7444" max="7444" width="11.5546875" style="397" customWidth="1"/>
    <col min="7445" max="7445" width="9.109375" style="397"/>
    <col min="7446" max="7446" width="14.44140625" style="397" customWidth="1"/>
    <col min="7447" max="7447" width="0" style="397" hidden="1" customWidth="1"/>
    <col min="7448" max="7448" width="13.5546875" style="397" customWidth="1"/>
    <col min="7449" max="7450" width="11.88671875" style="397" customWidth="1"/>
    <col min="7451" max="7451" width="12.109375" style="397" customWidth="1"/>
    <col min="7452" max="7452" width="15.88671875" style="397" customWidth="1"/>
    <col min="7453" max="7456" width="0" style="397" hidden="1" customWidth="1"/>
    <col min="7457" max="7680" width="9.109375" style="397"/>
    <col min="7681" max="7681" width="6.44140625" style="397" bestFit="1" customWidth="1"/>
    <col min="7682" max="7682" width="38.6640625" style="397" customWidth="1"/>
    <col min="7683" max="7697" width="0" style="397" hidden="1" customWidth="1"/>
    <col min="7698" max="7698" width="12.88671875" style="397" customWidth="1"/>
    <col min="7699" max="7699" width="11" style="397" customWidth="1"/>
    <col min="7700" max="7700" width="11.5546875" style="397" customWidth="1"/>
    <col min="7701" max="7701" width="9.109375" style="397"/>
    <col min="7702" max="7702" width="14.44140625" style="397" customWidth="1"/>
    <col min="7703" max="7703" width="0" style="397" hidden="1" customWidth="1"/>
    <col min="7704" max="7704" width="13.5546875" style="397" customWidth="1"/>
    <col min="7705" max="7706" width="11.88671875" style="397" customWidth="1"/>
    <col min="7707" max="7707" width="12.109375" style="397" customWidth="1"/>
    <col min="7708" max="7708" width="15.88671875" style="397" customWidth="1"/>
    <col min="7709" max="7712" width="0" style="397" hidden="1" customWidth="1"/>
    <col min="7713" max="7936" width="9.109375" style="397"/>
    <col min="7937" max="7937" width="6.44140625" style="397" bestFit="1" customWidth="1"/>
    <col min="7938" max="7938" width="38.6640625" style="397" customWidth="1"/>
    <col min="7939" max="7953" width="0" style="397" hidden="1" customWidth="1"/>
    <col min="7954" max="7954" width="12.88671875" style="397" customWidth="1"/>
    <col min="7955" max="7955" width="11" style="397" customWidth="1"/>
    <col min="7956" max="7956" width="11.5546875" style="397" customWidth="1"/>
    <col min="7957" max="7957" width="9.109375" style="397"/>
    <col min="7958" max="7958" width="14.44140625" style="397" customWidth="1"/>
    <col min="7959" max="7959" width="0" style="397" hidden="1" customWidth="1"/>
    <col min="7960" max="7960" width="13.5546875" style="397" customWidth="1"/>
    <col min="7961" max="7962" width="11.88671875" style="397" customWidth="1"/>
    <col min="7963" max="7963" width="12.109375" style="397" customWidth="1"/>
    <col min="7964" max="7964" width="15.88671875" style="397" customWidth="1"/>
    <col min="7965" max="7968" width="0" style="397" hidden="1" customWidth="1"/>
    <col min="7969" max="8192" width="9.109375" style="397"/>
    <col min="8193" max="8193" width="6.44140625" style="397" bestFit="1" customWidth="1"/>
    <col min="8194" max="8194" width="38.6640625" style="397" customWidth="1"/>
    <col min="8195" max="8209" width="0" style="397" hidden="1" customWidth="1"/>
    <col min="8210" max="8210" width="12.88671875" style="397" customWidth="1"/>
    <col min="8211" max="8211" width="11" style="397" customWidth="1"/>
    <col min="8212" max="8212" width="11.5546875" style="397" customWidth="1"/>
    <col min="8213" max="8213" width="9.109375" style="397"/>
    <col min="8214" max="8214" width="14.44140625" style="397" customWidth="1"/>
    <col min="8215" max="8215" width="0" style="397" hidden="1" customWidth="1"/>
    <col min="8216" max="8216" width="13.5546875" style="397" customWidth="1"/>
    <col min="8217" max="8218" width="11.88671875" style="397" customWidth="1"/>
    <col min="8219" max="8219" width="12.109375" style="397" customWidth="1"/>
    <col min="8220" max="8220" width="15.88671875" style="397" customWidth="1"/>
    <col min="8221" max="8224" width="0" style="397" hidden="1" customWidth="1"/>
    <col min="8225" max="8448" width="9.109375" style="397"/>
    <col min="8449" max="8449" width="6.44140625" style="397" bestFit="1" customWidth="1"/>
    <col min="8450" max="8450" width="38.6640625" style="397" customWidth="1"/>
    <col min="8451" max="8465" width="0" style="397" hidden="1" customWidth="1"/>
    <col min="8466" max="8466" width="12.88671875" style="397" customWidth="1"/>
    <col min="8467" max="8467" width="11" style="397" customWidth="1"/>
    <col min="8468" max="8468" width="11.5546875" style="397" customWidth="1"/>
    <col min="8469" max="8469" width="9.109375" style="397"/>
    <col min="8470" max="8470" width="14.44140625" style="397" customWidth="1"/>
    <col min="8471" max="8471" width="0" style="397" hidden="1" customWidth="1"/>
    <col min="8472" max="8472" width="13.5546875" style="397" customWidth="1"/>
    <col min="8473" max="8474" width="11.88671875" style="397" customWidth="1"/>
    <col min="8475" max="8475" width="12.109375" style="397" customWidth="1"/>
    <col min="8476" max="8476" width="15.88671875" style="397" customWidth="1"/>
    <col min="8477" max="8480" width="0" style="397" hidden="1" customWidth="1"/>
    <col min="8481" max="8704" width="9.109375" style="397"/>
    <col min="8705" max="8705" width="6.44140625" style="397" bestFit="1" customWidth="1"/>
    <col min="8706" max="8706" width="38.6640625" style="397" customWidth="1"/>
    <col min="8707" max="8721" width="0" style="397" hidden="1" customWidth="1"/>
    <col min="8722" max="8722" width="12.88671875" style="397" customWidth="1"/>
    <col min="8723" max="8723" width="11" style="397" customWidth="1"/>
    <col min="8724" max="8724" width="11.5546875" style="397" customWidth="1"/>
    <col min="8725" max="8725" width="9.109375" style="397"/>
    <col min="8726" max="8726" width="14.44140625" style="397" customWidth="1"/>
    <col min="8727" max="8727" width="0" style="397" hidden="1" customWidth="1"/>
    <col min="8728" max="8728" width="13.5546875" style="397" customWidth="1"/>
    <col min="8729" max="8730" width="11.88671875" style="397" customWidth="1"/>
    <col min="8731" max="8731" width="12.109375" style="397" customWidth="1"/>
    <col min="8732" max="8732" width="15.88671875" style="397" customWidth="1"/>
    <col min="8733" max="8736" width="0" style="397" hidden="1" customWidth="1"/>
    <col min="8737" max="8960" width="9.109375" style="397"/>
    <col min="8961" max="8961" width="6.44140625" style="397" bestFit="1" customWidth="1"/>
    <col min="8962" max="8962" width="38.6640625" style="397" customWidth="1"/>
    <col min="8963" max="8977" width="0" style="397" hidden="1" customWidth="1"/>
    <col min="8978" max="8978" width="12.88671875" style="397" customWidth="1"/>
    <col min="8979" max="8979" width="11" style="397" customWidth="1"/>
    <col min="8980" max="8980" width="11.5546875" style="397" customWidth="1"/>
    <col min="8981" max="8981" width="9.109375" style="397"/>
    <col min="8982" max="8982" width="14.44140625" style="397" customWidth="1"/>
    <col min="8983" max="8983" width="0" style="397" hidden="1" customWidth="1"/>
    <col min="8984" max="8984" width="13.5546875" style="397" customWidth="1"/>
    <col min="8985" max="8986" width="11.88671875" style="397" customWidth="1"/>
    <col min="8987" max="8987" width="12.109375" style="397" customWidth="1"/>
    <col min="8988" max="8988" width="15.88671875" style="397" customWidth="1"/>
    <col min="8989" max="8992" width="0" style="397" hidden="1" customWidth="1"/>
    <col min="8993" max="9216" width="9.109375" style="397"/>
    <col min="9217" max="9217" width="6.44140625" style="397" bestFit="1" customWidth="1"/>
    <col min="9218" max="9218" width="38.6640625" style="397" customWidth="1"/>
    <col min="9219" max="9233" width="0" style="397" hidden="1" customWidth="1"/>
    <col min="9234" max="9234" width="12.88671875" style="397" customWidth="1"/>
    <col min="9235" max="9235" width="11" style="397" customWidth="1"/>
    <col min="9236" max="9236" width="11.5546875" style="397" customWidth="1"/>
    <col min="9237" max="9237" width="9.109375" style="397"/>
    <col min="9238" max="9238" width="14.44140625" style="397" customWidth="1"/>
    <col min="9239" max="9239" width="0" style="397" hidden="1" customWidth="1"/>
    <col min="9240" max="9240" width="13.5546875" style="397" customWidth="1"/>
    <col min="9241" max="9242" width="11.88671875" style="397" customWidth="1"/>
    <col min="9243" max="9243" width="12.109375" style="397" customWidth="1"/>
    <col min="9244" max="9244" width="15.88671875" style="397" customWidth="1"/>
    <col min="9245" max="9248" width="0" style="397" hidden="1" customWidth="1"/>
    <col min="9249" max="9472" width="9.109375" style="397"/>
    <col min="9473" max="9473" width="6.44140625" style="397" bestFit="1" customWidth="1"/>
    <col min="9474" max="9474" width="38.6640625" style="397" customWidth="1"/>
    <col min="9475" max="9489" width="0" style="397" hidden="1" customWidth="1"/>
    <col min="9490" max="9490" width="12.88671875" style="397" customWidth="1"/>
    <col min="9491" max="9491" width="11" style="397" customWidth="1"/>
    <col min="9492" max="9492" width="11.5546875" style="397" customWidth="1"/>
    <col min="9493" max="9493" width="9.109375" style="397"/>
    <col min="9494" max="9494" width="14.44140625" style="397" customWidth="1"/>
    <col min="9495" max="9495" width="0" style="397" hidden="1" customWidth="1"/>
    <col min="9496" max="9496" width="13.5546875" style="397" customWidth="1"/>
    <col min="9497" max="9498" width="11.88671875" style="397" customWidth="1"/>
    <col min="9499" max="9499" width="12.109375" style="397" customWidth="1"/>
    <col min="9500" max="9500" width="15.88671875" style="397" customWidth="1"/>
    <col min="9501" max="9504" width="0" style="397" hidden="1" customWidth="1"/>
    <col min="9505" max="9728" width="9.109375" style="397"/>
    <col min="9729" max="9729" width="6.44140625" style="397" bestFit="1" customWidth="1"/>
    <col min="9730" max="9730" width="38.6640625" style="397" customWidth="1"/>
    <col min="9731" max="9745" width="0" style="397" hidden="1" customWidth="1"/>
    <col min="9746" max="9746" width="12.88671875" style="397" customWidth="1"/>
    <col min="9747" max="9747" width="11" style="397" customWidth="1"/>
    <col min="9748" max="9748" width="11.5546875" style="397" customWidth="1"/>
    <col min="9749" max="9749" width="9.109375" style="397"/>
    <col min="9750" max="9750" width="14.44140625" style="397" customWidth="1"/>
    <col min="9751" max="9751" width="0" style="397" hidden="1" customWidth="1"/>
    <col min="9752" max="9752" width="13.5546875" style="397" customWidth="1"/>
    <col min="9753" max="9754" width="11.88671875" style="397" customWidth="1"/>
    <col min="9755" max="9755" width="12.109375" style="397" customWidth="1"/>
    <col min="9756" max="9756" width="15.88671875" style="397" customWidth="1"/>
    <col min="9757" max="9760" width="0" style="397" hidden="1" customWidth="1"/>
    <col min="9761" max="9984" width="9.109375" style="397"/>
    <col min="9985" max="9985" width="6.44140625" style="397" bestFit="1" customWidth="1"/>
    <col min="9986" max="9986" width="38.6640625" style="397" customWidth="1"/>
    <col min="9987" max="10001" width="0" style="397" hidden="1" customWidth="1"/>
    <col min="10002" max="10002" width="12.88671875" style="397" customWidth="1"/>
    <col min="10003" max="10003" width="11" style="397" customWidth="1"/>
    <col min="10004" max="10004" width="11.5546875" style="397" customWidth="1"/>
    <col min="10005" max="10005" width="9.109375" style="397"/>
    <col min="10006" max="10006" width="14.44140625" style="397" customWidth="1"/>
    <col min="10007" max="10007" width="0" style="397" hidden="1" customWidth="1"/>
    <col min="10008" max="10008" width="13.5546875" style="397" customWidth="1"/>
    <col min="10009" max="10010" width="11.88671875" style="397" customWidth="1"/>
    <col min="10011" max="10011" width="12.109375" style="397" customWidth="1"/>
    <col min="10012" max="10012" width="15.88671875" style="397" customWidth="1"/>
    <col min="10013" max="10016" width="0" style="397" hidden="1" customWidth="1"/>
    <col min="10017" max="10240" width="9.109375" style="397"/>
    <col min="10241" max="10241" width="6.44140625" style="397" bestFit="1" customWidth="1"/>
    <col min="10242" max="10242" width="38.6640625" style="397" customWidth="1"/>
    <col min="10243" max="10257" width="0" style="397" hidden="1" customWidth="1"/>
    <col min="10258" max="10258" width="12.88671875" style="397" customWidth="1"/>
    <col min="10259" max="10259" width="11" style="397" customWidth="1"/>
    <col min="10260" max="10260" width="11.5546875" style="397" customWidth="1"/>
    <col min="10261" max="10261" width="9.109375" style="397"/>
    <col min="10262" max="10262" width="14.44140625" style="397" customWidth="1"/>
    <col min="10263" max="10263" width="0" style="397" hidden="1" customWidth="1"/>
    <col min="10264" max="10264" width="13.5546875" style="397" customWidth="1"/>
    <col min="10265" max="10266" width="11.88671875" style="397" customWidth="1"/>
    <col min="10267" max="10267" width="12.109375" style="397" customWidth="1"/>
    <col min="10268" max="10268" width="15.88671875" style="397" customWidth="1"/>
    <col min="10269" max="10272" width="0" style="397" hidden="1" customWidth="1"/>
    <col min="10273" max="10496" width="9.109375" style="397"/>
    <col min="10497" max="10497" width="6.44140625" style="397" bestFit="1" customWidth="1"/>
    <col min="10498" max="10498" width="38.6640625" style="397" customWidth="1"/>
    <col min="10499" max="10513" width="0" style="397" hidden="1" customWidth="1"/>
    <col min="10514" max="10514" width="12.88671875" style="397" customWidth="1"/>
    <col min="10515" max="10515" width="11" style="397" customWidth="1"/>
    <col min="10516" max="10516" width="11.5546875" style="397" customWidth="1"/>
    <col min="10517" max="10517" width="9.109375" style="397"/>
    <col min="10518" max="10518" width="14.44140625" style="397" customWidth="1"/>
    <col min="10519" max="10519" width="0" style="397" hidden="1" customWidth="1"/>
    <col min="10520" max="10520" width="13.5546875" style="397" customWidth="1"/>
    <col min="10521" max="10522" width="11.88671875" style="397" customWidth="1"/>
    <col min="10523" max="10523" width="12.109375" style="397" customWidth="1"/>
    <col min="10524" max="10524" width="15.88671875" style="397" customWidth="1"/>
    <col min="10525" max="10528" width="0" style="397" hidden="1" customWidth="1"/>
    <col min="10529" max="10752" width="9.109375" style="397"/>
    <col min="10753" max="10753" width="6.44140625" style="397" bestFit="1" customWidth="1"/>
    <col min="10754" max="10754" width="38.6640625" style="397" customWidth="1"/>
    <col min="10755" max="10769" width="0" style="397" hidden="1" customWidth="1"/>
    <col min="10770" max="10770" width="12.88671875" style="397" customWidth="1"/>
    <col min="10771" max="10771" width="11" style="397" customWidth="1"/>
    <col min="10772" max="10772" width="11.5546875" style="397" customWidth="1"/>
    <col min="10773" max="10773" width="9.109375" style="397"/>
    <col min="10774" max="10774" width="14.44140625" style="397" customWidth="1"/>
    <col min="10775" max="10775" width="0" style="397" hidden="1" customWidth="1"/>
    <col min="10776" max="10776" width="13.5546875" style="397" customWidth="1"/>
    <col min="10777" max="10778" width="11.88671875" style="397" customWidth="1"/>
    <col min="10779" max="10779" width="12.109375" style="397" customWidth="1"/>
    <col min="10780" max="10780" width="15.88671875" style="397" customWidth="1"/>
    <col min="10781" max="10784" width="0" style="397" hidden="1" customWidth="1"/>
    <col min="10785" max="11008" width="9.109375" style="397"/>
    <col min="11009" max="11009" width="6.44140625" style="397" bestFit="1" customWidth="1"/>
    <col min="11010" max="11010" width="38.6640625" style="397" customWidth="1"/>
    <col min="11011" max="11025" width="0" style="397" hidden="1" customWidth="1"/>
    <col min="11026" max="11026" width="12.88671875" style="397" customWidth="1"/>
    <col min="11027" max="11027" width="11" style="397" customWidth="1"/>
    <col min="11028" max="11028" width="11.5546875" style="397" customWidth="1"/>
    <col min="11029" max="11029" width="9.109375" style="397"/>
    <col min="11030" max="11030" width="14.44140625" style="397" customWidth="1"/>
    <col min="11031" max="11031" width="0" style="397" hidden="1" customWidth="1"/>
    <col min="11032" max="11032" width="13.5546875" style="397" customWidth="1"/>
    <col min="11033" max="11034" width="11.88671875" style="397" customWidth="1"/>
    <col min="11035" max="11035" width="12.109375" style="397" customWidth="1"/>
    <col min="11036" max="11036" width="15.88671875" style="397" customWidth="1"/>
    <col min="11037" max="11040" width="0" style="397" hidden="1" customWidth="1"/>
    <col min="11041" max="11264" width="9.109375" style="397"/>
    <col min="11265" max="11265" width="6.44140625" style="397" bestFit="1" customWidth="1"/>
    <col min="11266" max="11266" width="38.6640625" style="397" customWidth="1"/>
    <col min="11267" max="11281" width="0" style="397" hidden="1" customWidth="1"/>
    <col min="11282" max="11282" width="12.88671875" style="397" customWidth="1"/>
    <col min="11283" max="11283" width="11" style="397" customWidth="1"/>
    <col min="11284" max="11284" width="11.5546875" style="397" customWidth="1"/>
    <col min="11285" max="11285" width="9.109375" style="397"/>
    <col min="11286" max="11286" width="14.44140625" style="397" customWidth="1"/>
    <col min="11287" max="11287" width="0" style="397" hidden="1" customWidth="1"/>
    <col min="11288" max="11288" width="13.5546875" style="397" customWidth="1"/>
    <col min="11289" max="11290" width="11.88671875" style="397" customWidth="1"/>
    <col min="11291" max="11291" width="12.109375" style="397" customWidth="1"/>
    <col min="11292" max="11292" width="15.88671875" style="397" customWidth="1"/>
    <col min="11293" max="11296" width="0" style="397" hidden="1" customWidth="1"/>
    <col min="11297" max="11520" width="9.109375" style="397"/>
    <col min="11521" max="11521" width="6.44140625" style="397" bestFit="1" customWidth="1"/>
    <col min="11522" max="11522" width="38.6640625" style="397" customWidth="1"/>
    <col min="11523" max="11537" width="0" style="397" hidden="1" customWidth="1"/>
    <col min="11538" max="11538" width="12.88671875" style="397" customWidth="1"/>
    <col min="11539" max="11539" width="11" style="397" customWidth="1"/>
    <col min="11540" max="11540" width="11.5546875" style="397" customWidth="1"/>
    <col min="11541" max="11541" width="9.109375" style="397"/>
    <col min="11542" max="11542" width="14.44140625" style="397" customWidth="1"/>
    <col min="11543" max="11543" width="0" style="397" hidden="1" customWidth="1"/>
    <col min="11544" max="11544" width="13.5546875" style="397" customWidth="1"/>
    <col min="11545" max="11546" width="11.88671875" style="397" customWidth="1"/>
    <col min="11547" max="11547" width="12.109375" style="397" customWidth="1"/>
    <col min="11548" max="11548" width="15.88671875" style="397" customWidth="1"/>
    <col min="11549" max="11552" width="0" style="397" hidden="1" customWidth="1"/>
    <col min="11553" max="11776" width="9.109375" style="397"/>
    <col min="11777" max="11777" width="6.44140625" style="397" bestFit="1" customWidth="1"/>
    <col min="11778" max="11778" width="38.6640625" style="397" customWidth="1"/>
    <col min="11779" max="11793" width="0" style="397" hidden="1" customWidth="1"/>
    <col min="11794" max="11794" width="12.88671875" style="397" customWidth="1"/>
    <col min="11795" max="11795" width="11" style="397" customWidth="1"/>
    <col min="11796" max="11796" width="11.5546875" style="397" customWidth="1"/>
    <col min="11797" max="11797" width="9.109375" style="397"/>
    <col min="11798" max="11798" width="14.44140625" style="397" customWidth="1"/>
    <col min="11799" max="11799" width="0" style="397" hidden="1" customWidth="1"/>
    <col min="11800" max="11800" width="13.5546875" style="397" customWidth="1"/>
    <col min="11801" max="11802" width="11.88671875" style="397" customWidth="1"/>
    <col min="11803" max="11803" width="12.109375" style="397" customWidth="1"/>
    <col min="11804" max="11804" width="15.88671875" style="397" customWidth="1"/>
    <col min="11805" max="11808" width="0" style="397" hidden="1" customWidth="1"/>
    <col min="11809" max="12032" width="9.109375" style="397"/>
    <col min="12033" max="12033" width="6.44140625" style="397" bestFit="1" customWidth="1"/>
    <col min="12034" max="12034" width="38.6640625" style="397" customWidth="1"/>
    <col min="12035" max="12049" width="0" style="397" hidden="1" customWidth="1"/>
    <col min="12050" max="12050" width="12.88671875" style="397" customWidth="1"/>
    <col min="12051" max="12051" width="11" style="397" customWidth="1"/>
    <col min="12052" max="12052" width="11.5546875" style="397" customWidth="1"/>
    <col min="12053" max="12053" width="9.109375" style="397"/>
    <col min="12054" max="12054" width="14.44140625" style="397" customWidth="1"/>
    <col min="12055" max="12055" width="0" style="397" hidden="1" customWidth="1"/>
    <col min="12056" max="12056" width="13.5546875" style="397" customWidth="1"/>
    <col min="12057" max="12058" width="11.88671875" style="397" customWidth="1"/>
    <col min="12059" max="12059" width="12.109375" style="397" customWidth="1"/>
    <col min="12060" max="12060" width="15.88671875" style="397" customWidth="1"/>
    <col min="12061" max="12064" width="0" style="397" hidden="1" customWidth="1"/>
    <col min="12065" max="12288" width="9.109375" style="397"/>
    <col min="12289" max="12289" width="6.44140625" style="397" bestFit="1" customWidth="1"/>
    <col min="12290" max="12290" width="38.6640625" style="397" customWidth="1"/>
    <col min="12291" max="12305" width="0" style="397" hidden="1" customWidth="1"/>
    <col min="12306" max="12306" width="12.88671875" style="397" customWidth="1"/>
    <col min="12307" max="12307" width="11" style="397" customWidth="1"/>
    <col min="12308" max="12308" width="11.5546875" style="397" customWidth="1"/>
    <col min="12309" max="12309" width="9.109375" style="397"/>
    <col min="12310" max="12310" width="14.44140625" style="397" customWidth="1"/>
    <col min="12311" max="12311" width="0" style="397" hidden="1" customWidth="1"/>
    <col min="12312" max="12312" width="13.5546875" style="397" customWidth="1"/>
    <col min="12313" max="12314" width="11.88671875" style="397" customWidth="1"/>
    <col min="12315" max="12315" width="12.109375" style="397" customWidth="1"/>
    <col min="12316" max="12316" width="15.88671875" style="397" customWidth="1"/>
    <col min="12317" max="12320" width="0" style="397" hidden="1" customWidth="1"/>
    <col min="12321" max="12544" width="9.109375" style="397"/>
    <col min="12545" max="12545" width="6.44140625" style="397" bestFit="1" customWidth="1"/>
    <col min="12546" max="12546" width="38.6640625" style="397" customWidth="1"/>
    <col min="12547" max="12561" width="0" style="397" hidden="1" customWidth="1"/>
    <col min="12562" max="12562" width="12.88671875" style="397" customWidth="1"/>
    <col min="12563" max="12563" width="11" style="397" customWidth="1"/>
    <col min="12564" max="12564" width="11.5546875" style="397" customWidth="1"/>
    <col min="12565" max="12565" width="9.109375" style="397"/>
    <col min="12566" max="12566" width="14.44140625" style="397" customWidth="1"/>
    <col min="12567" max="12567" width="0" style="397" hidden="1" customWidth="1"/>
    <col min="12568" max="12568" width="13.5546875" style="397" customWidth="1"/>
    <col min="12569" max="12570" width="11.88671875" style="397" customWidth="1"/>
    <col min="12571" max="12571" width="12.109375" style="397" customWidth="1"/>
    <col min="12572" max="12572" width="15.88671875" style="397" customWidth="1"/>
    <col min="12573" max="12576" width="0" style="397" hidden="1" customWidth="1"/>
    <col min="12577" max="12800" width="9.109375" style="397"/>
    <col min="12801" max="12801" width="6.44140625" style="397" bestFit="1" customWidth="1"/>
    <col min="12802" max="12802" width="38.6640625" style="397" customWidth="1"/>
    <col min="12803" max="12817" width="0" style="397" hidden="1" customWidth="1"/>
    <col min="12818" max="12818" width="12.88671875" style="397" customWidth="1"/>
    <col min="12819" max="12819" width="11" style="397" customWidth="1"/>
    <col min="12820" max="12820" width="11.5546875" style="397" customWidth="1"/>
    <col min="12821" max="12821" width="9.109375" style="397"/>
    <col min="12822" max="12822" width="14.44140625" style="397" customWidth="1"/>
    <col min="12823" max="12823" width="0" style="397" hidden="1" customWidth="1"/>
    <col min="12824" max="12824" width="13.5546875" style="397" customWidth="1"/>
    <col min="12825" max="12826" width="11.88671875" style="397" customWidth="1"/>
    <col min="12827" max="12827" width="12.109375" style="397" customWidth="1"/>
    <col min="12828" max="12828" width="15.88671875" style="397" customWidth="1"/>
    <col min="12829" max="12832" width="0" style="397" hidden="1" customWidth="1"/>
    <col min="12833" max="13056" width="9.109375" style="397"/>
    <col min="13057" max="13057" width="6.44140625" style="397" bestFit="1" customWidth="1"/>
    <col min="13058" max="13058" width="38.6640625" style="397" customWidth="1"/>
    <col min="13059" max="13073" width="0" style="397" hidden="1" customWidth="1"/>
    <col min="13074" max="13074" width="12.88671875" style="397" customWidth="1"/>
    <col min="13075" max="13075" width="11" style="397" customWidth="1"/>
    <col min="13076" max="13076" width="11.5546875" style="397" customWidth="1"/>
    <col min="13077" max="13077" width="9.109375" style="397"/>
    <col min="13078" max="13078" width="14.44140625" style="397" customWidth="1"/>
    <col min="13079" max="13079" width="0" style="397" hidden="1" customWidth="1"/>
    <col min="13080" max="13080" width="13.5546875" style="397" customWidth="1"/>
    <col min="13081" max="13082" width="11.88671875" style="397" customWidth="1"/>
    <col min="13083" max="13083" width="12.109375" style="397" customWidth="1"/>
    <col min="13084" max="13084" width="15.88671875" style="397" customWidth="1"/>
    <col min="13085" max="13088" width="0" style="397" hidden="1" customWidth="1"/>
    <col min="13089" max="13312" width="9.109375" style="397"/>
    <col min="13313" max="13313" width="6.44140625" style="397" bestFit="1" customWidth="1"/>
    <col min="13314" max="13314" width="38.6640625" style="397" customWidth="1"/>
    <col min="13315" max="13329" width="0" style="397" hidden="1" customWidth="1"/>
    <col min="13330" max="13330" width="12.88671875" style="397" customWidth="1"/>
    <col min="13331" max="13331" width="11" style="397" customWidth="1"/>
    <col min="13332" max="13332" width="11.5546875" style="397" customWidth="1"/>
    <col min="13333" max="13333" width="9.109375" style="397"/>
    <col min="13334" max="13334" width="14.44140625" style="397" customWidth="1"/>
    <col min="13335" max="13335" width="0" style="397" hidden="1" customWidth="1"/>
    <col min="13336" max="13336" width="13.5546875" style="397" customWidth="1"/>
    <col min="13337" max="13338" width="11.88671875" style="397" customWidth="1"/>
    <col min="13339" max="13339" width="12.109375" style="397" customWidth="1"/>
    <col min="13340" max="13340" width="15.88671875" style="397" customWidth="1"/>
    <col min="13341" max="13344" width="0" style="397" hidden="1" customWidth="1"/>
    <col min="13345" max="13568" width="9.109375" style="397"/>
    <col min="13569" max="13569" width="6.44140625" style="397" bestFit="1" customWidth="1"/>
    <col min="13570" max="13570" width="38.6640625" style="397" customWidth="1"/>
    <col min="13571" max="13585" width="0" style="397" hidden="1" customWidth="1"/>
    <col min="13586" max="13586" width="12.88671875" style="397" customWidth="1"/>
    <col min="13587" max="13587" width="11" style="397" customWidth="1"/>
    <col min="13588" max="13588" width="11.5546875" style="397" customWidth="1"/>
    <col min="13589" max="13589" width="9.109375" style="397"/>
    <col min="13590" max="13590" width="14.44140625" style="397" customWidth="1"/>
    <col min="13591" max="13591" width="0" style="397" hidden="1" customWidth="1"/>
    <col min="13592" max="13592" width="13.5546875" style="397" customWidth="1"/>
    <col min="13593" max="13594" width="11.88671875" style="397" customWidth="1"/>
    <col min="13595" max="13595" width="12.109375" style="397" customWidth="1"/>
    <col min="13596" max="13596" width="15.88671875" style="397" customWidth="1"/>
    <col min="13597" max="13600" width="0" style="397" hidden="1" customWidth="1"/>
    <col min="13601" max="13824" width="9.109375" style="397"/>
    <col min="13825" max="13825" width="6.44140625" style="397" bestFit="1" customWidth="1"/>
    <col min="13826" max="13826" width="38.6640625" style="397" customWidth="1"/>
    <col min="13827" max="13841" width="0" style="397" hidden="1" customWidth="1"/>
    <col min="13842" max="13842" width="12.88671875" style="397" customWidth="1"/>
    <col min="13843" max="13843" width="11" style="397" customWidth="1"/>
    <col min="13844" max="13844" width="11.5546875" style="397" customWidth="1"/>
    <col min="13845" max="13845" width="9.109375" style="397"/>
    <col min="13846" max="13846" width="14.44140625" style="397" customWidth="1"/>
    <col min="13847" max="13847" width="0" style="397" hidden="1" customWidth="1"/>
    <col min="13848" max="13848" width="13.5546875" style="397" customWidth="1"/>
    <col min="13849" max="13850" width="11.88671875" style="397" customWidth="1"/>
    <col min="13851" max="13851" width="12.109375" style="397" customWidth="1"/>
    <col min="13852" max="13852" width="15.88671875" style="397" customWidth="1"/>
    <col min="13853" max="13856" width="0" style="397" hidden="1" customWidth="1"/>
    <col min="13857" max="14080" width="9.109375" style="397"/>
    <col min="14081" max="14081" width="6.44140625" style="397" bestFit="1" customWidth="1"/>
    <col min="14082" max="14082" width="38.6640625" style="397" customWidth="1"/>
    <col min="14083" max="14097" width="0" style="397" hidden="1" customWidth="1"/>
    <col min="14098" max="14098" width="12.88671875" style="397" customWidth="1"/>
    <col min="14099" max="14099" width="11" style="397" customWidth="1"/>
    <col min="14100" max="14100" width="11.5546875" style="397" customWidth="1"/>
    <col min="14101" max="14101" width="9.109375" style="397"/>
    <col min="14102" max="14102" width="14.44140625" style="397" customWidth="1"/>
    <col min="14103" max="14103" width="0" style="397" hidden="1" customWidth="1"/>
    <col min="14104" max="14104" width="13.5546875" style="397" customWidth="1"/>
    <col min="14105" max="14106" width="11.88671875" style="397" customWidth="1"/>
    <col min="14107" max="14107" width="12.109375" style="397" customWidth="1"/>
    <col min="14108" max="14108" width="15.88671875" style="397" customWidth="1"/>
    <col min="14109" max="14112" width="0" style="397" hidden="1" customWidth="1"/>
    <col min="14113" max="14336" width="9.109375" style="397"/>
    <col min="14337" max="14337" width="6.44140625" style="397" bestFit="1" customWidth="1"/>
    <col min="14338" max="14338" width="38.6640625" style="397" customWidth="1"/>
    <col min="14339" max="14353" width="0" style="397" hidden="1" customWidth="1"/>
    <col min="14354" max="14354" width="12.88671875" style="397" customWidth="1"/>
    <col min="14355" max="14355" width="11" style="397" customWidth="1"/>
    <col min="14356" max="14356" width="11.5546875" style="397" customWidth="1"/>
    <col min="14357" max="14357" width="9.109375" style="397"/>
    <col min="14358" max="14358" width="14.44140625" style="397" customWidth="1"/>
    <col min="14359" max="14359" width="0" style="397" hidden="1" customWidth="1"/>
    <col min="14360" max="14360" width="13.5546875" style="397" customWidth="1"/>
    <col min="14361" max="14362" width="11.88671875" style="397" customWidth="1"/>
    <col min="14363" max="14363" width="12.109375" style="397" customWidth="1"/>
    <col min="14364" max="14364" width="15.88671875" style="397" customWidth="1"/>
    <col min="14365" max="14368" width="0" style="397" hidden="1" customWidth="1"/>
    <col min="14369" max="14592" width="9.109375" style="397"/>
    <col min="14593" max="14593" width="6.44140625" style="397" bestFit="1" customWidth="1"/>
    <col min="14594" max="14594" width="38.6640625" style="397" customWidth="1"/>
    <col min="14595" max="14609" width="0" style="397" hidden="1" customWidth="1"/>
    <col min="14610" max="14610" width="12.88671875" style="397" customWidth="1"/>
    <col min="14611" max="14611" width="11" style="397" customWidth="1"/>
    <col min="14612" max="14612" width="11.5546875" style="397" customWidth="1"/>
    <col min="14613" max="14613" width="9.109375" style="397"/>
    <col min="14614" max="14614" width="14.44140625" style="397" customWidth="1"/>
    <col min="14615" max="14615" width="0" style="397" hidden="1" customWidth="1"/>
    <col min="14616" max="14616" width="13.5546875" style="397" customWidth="1"/>
    <col min="14617" max="14618" width="11.88671875" style="397" customWidth="1"/>
    <col min="14619" max="14619" width="12.109375" style="397" customWidth="1"/>
    <col min="14620" max="14620" width="15.88671875" style="397" customWidth="1"/>
    <col min="14621" max="14624" width="0" style="397" hidden="1" customWidth="1"/>
    <col min="14625" max="14848" width="9.109375" style="397"/>
    <col min="14849" max="14849" width="6.44140625" style="397" bestFit="1" customWidth="1"/>
    <col min="14850" max="14850" width="38.6640625" style="397" customWidth="1"/>
    <col min="14851" max="14865" width="0" style="397" hidden="1" customWidth="1"/>
    <col min="14866" max="14866" width="12.88671875" style="397" customWidth="1"/>
    <col min="14867" max="14867" width="11" style="397" customWidth="1"/>
    <col min="14868" max="14868" width="11.5546875" style="397" customWidth="1"/>
    <col min="14869" max="14869" width="9.109375" style="397"/>
    <col min="14870" max="14870" width="14.44140625" style="397" customWidth="1"/>
    <col min="14871" max="14871" width="0" style="397" hidden="1" customWidth="1"/>
    <col min="14872" max="14872" width="13.5546875" style="397" customWidth="1"/>
    <col min="14873" max="14874" width="11.88671875" style="397" customWidth="1"/>
    <col min="14875" max="14875" width="12.109375" style="397" customWidth="1"/>
    <col min="14876" max="14876" width="15.88671875" style="397" customWidth="1"/>
    <col min="14877" max="14880" width="0" style="397" hidden="1" customWidth="1"/>
    <col min="14881" max="15104" width="9.109375" style="397"/>
    <col min="15105" max="15105" width="6.44140625" style="397" bestFit="1" customWidth="1"/>
    <col min="15106" max="15106" width="38.6640625" style="397" customWidth="1"/>
    <col min="15107" max="15121" width="0" style="397" hidden="1" customWidth="1"/>
    <col min="15122" max="15122" width="12.88671875" style="397" customWidth="1"/>
    <col min="15123" max="15123" width="11" style="397" customWidth="1"/>
    <col min="15124" max="15124" width="11.5546875" style="397" customWidth="1"/>
    <col min="15125" max="15125" width="9.109375" style="397"/>
    <col min="15126" max="15126" width="14.44140625" style="397" customWidth="1"/>
    <col min="15127" max="15127" width="0" style="397" hidden="1" customWidth="1"/>
    <col min="15128" max="15128" width="13.5546875" style="397" customWidth="1"/>
    <col min="15129" max="15130" width="11.88671875" style="397" customWidth="1"/>
    <col min="15131" max="15131" width="12.109375" style="397" customWidth="1"/>
    <col min="15132" max="15132" width="15.88671875" style="397" customWidth="1"/>
    <col min="15133" max="15136" width="0" style="397" hidden="1" customWidth="1"/>
    <col min="15137" max="15360" width="9.109375" style="397"/>
    <col min="15361" max="15361" width="6.44140625" style="397" bestFit="1" customWidth="1"/>
    <col min="15362" max="15362" width="38.6640625" style="397" customWidth="1"/>
    <col min="15363" max="15377" width="0" style="397" hidden="1" customWidth="1"/>
    <col min="15378" max="15378" width="12.88671875" style="397" customWidth="1"/>
    <col min="15379" max="15379" width="11" style="397" customWidth="1"/>
    <col min="15380" max="15380" width="11.5546875" style="397" customWidth="1"/>
    <col min="15381" max="15381" width="9.109375" style="397"/>
    <col min="15382" max="15382" width="14.44140625" style="397" customWidth="1"/>
    <col min="15383" max="15383" width="0" style="397" hidden="1" customWidth="1"/>
    <col min="15384" max="15384" width="13.5546875" style="397" customWidth="1"/>
    <col min="15385" max="15386" width="11.88671875" style="397" customWidth="1"/>
    <col min="15387" max="15387" width="12.109375" style="397" customWidth="1"/>
    <col min="15388" max="15388" width="15.88671875" style="397" customWidth="1"/>
    <col min="15389" max="15392" width="0" style="397" hidden="1" customWidth="1"/>
    <col min="15393" max="15616" width="9.109375" style="397"/>
    <col min="15617" max="15617" width="6.44140625" style="397" bestFit="1" customWidth="1"/>
    <col min="15618" max="15618" width="38.6640625" style="397" customWidth="1"/>
    <col min="15619" max="15633" width="0" style="397" hidden="1" customWidth="1"/>
    <col min="15634" max="15634" width="12.88671875" style="397" customWidth="1"/>
    <col min="15635" max="15635" width="11" style="397" customWidth="1"/>
    <col min="15636" max="15636" width="11.5546875" style="397" customWidth="1"/>
    <col min="15637" max="15637" width="9.109375" style="397"/>
    <col min="15638" max="15638" width="14.44140625" style="397" customWidth="1"/>
    <col min="15639" max="15639" width="0" style="397" hidden="1" customWidth="1"/>
    <col min="15640" max="15640" width="13.5546875" style="397" customWidth="1"/>
    <col min="15641" max="15642" width="11.88671875" style="397" customWidth="1"/>
    <col min="15643" max="15643" width="12.109375" style="397" customWidth="1"/>
    <col min="15644" max="15644" width="15.88671875" style="397" customWidth="1"/>
    <col min="15645" max="15648" width="0" style="397" hidden="1" customWidth="1"/>
    <col min="15649" max="15872" width="9.109375" style="397"/>
    <col min="15873" max="15873" width="6.44140625" style="397" bestFit="1" customWidth="1"/>
    <col min="15874" max="15874" width="38.6640625" style="397" customWidth="1"/>
    <col min="15875" max="15889" width="0" style="397" hidden="1" customWidth="1"/>
    <col min="15890" max="15890" width="12.88671875" style="397" customWidth="1"/>
    <col min="15891" max="15891" width="11" style="397" customWidth="1"/>
    <col min="15892" max="15892" width="11.5546875" style="397" customWidth="1"/>
    <col min="15893" max="15893" width="9.109375" style="397"/>
    <col min="15894" max="15894" width="14.44140625" style="397" customWidth="1"/>
    <col min="15895" max="15895" width="0" style="397" hidden="1" customWidth="1"/>
    <col min="15896" max="15896" width="13.5546875" style="397" customWidth="1"/>
    <col min="15897" max="15898" width="11.88671875" style="397" customWidth="1"/>
    <col min="15899" max="15899" width="12.109375" style="397" customWidth="1"/>
    <col min="15900" max="15900" width="15.88671875" style="397" customWidth="1"/>
    <col min="15901" max="15904" width="0" style="397" hidden="1" customWidth="1"/>
    <col min="15905" max="16128" width="9.109375" style="397"/>
    <col min="16129" max="16129" width="6.44140625" style="397" bestFit="1" customWidth="1"/>
    <col min="16130" max="16130" width="38.6640625" style="397" customWidth="1"/>
    <col min="16131" max="16145" width="0" style="397" hidden="1" customWidth="1"/>
    <col min="16146" max="16146" width="12.88671875" style="397" customWidth="1"/>
    <col min="16147" max="16147" width="11" style="397" customWidth="1"/>
    <col min="16148" max="16148" width="11.5546875" style="397" customWidth="1"/>
    <col min="16149" max="16149" width="9.109375" style="397"/>
    <col min="16150" max="16150" width="14.44140625" style="397" customWidth="1"/>
    <col min="16151" max="16151" width="0" style="397" hidden="1" customWidth="1"/>
    <col min="16152" max="16152" width="13.5546875" style="397" customWidth="1"/>
    <col min="16153" max="16154" width="11.88671875" style="397" customWidth="1"/>
    <col min="16155" max="16155" width="12.109375" style="397" customWidth="1"/>
    <col min="16156" max="16156" width="15.88671875" style="397" customWidth="1"/>
    <col min="16157" max="16160" width="0" style="397" hidden="1" customWidth="1"/>
    <col min="16161" max="16384" width="9.109375" style="397"/>
  </cols>
  <sheetData>
    <row r="1" spans="1:35" x14ac:dyDescent="0.3">
      <c r="F1" s="398"/>
      <c r="L1" s="397" t="s">
        <v>473</v>
      </c>
      <c r="AB1" s="436" t="s">
        <v>527</v>
      </c>
    </row>
    <row r="3" spans="1:35" x14ac:dyDescent="0.3">
      <c r="A3" s="493" t="s">
        <v>522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  <c r="AA3" s="493"/>
      <c r="AB3" s="493"/>
    </row>
    <row r="4" spans="1:35" x14ac:dyDescent="0.3">
      <c r="A4" s="401"/>
      <c r="B4" s="401"/>
      <c r="C4" s="401"/>
      <c r="D4" s="401"/>
      <c r="E4" s="401"/>
      <c r="F4" s="401"/>
    </row>
    <row r="5" spans="1:35" s="402" customFormat="1" ht="13.8" thickBot="1" x14ac:dyDescent="0.3">
      <c r="L5" s="403" t="s">
        <v>474</v>
      </c>
      <c r="Q5" s="404"/>
      <c r="W5" s="405"/>
      <c r="AB5" s="404"/>
      <c r="AD5" s="404"/>
      <c r="AF5" s="405"/>
    </row>
    <row r="6" spans="1:35" s="402" customFormat="1" ht="13.5" customHeight="1" thickTop="1" x14ac:dyDescent="0.25">
      <c r="A6" s="484" t="s">
        <v>475</v>
      </c>
      <c r="B6" s="486" t="s">
        <v>476</v>
      </c>
      <c r="C6" s="488" t="s">
        <v>477</v>
      </c>
      <c r="D6" s="489"/>
      <c r="E6" s="489"/>
      <c r="F6" s="490"/>
      <c r="G6" s="491" t="s">
        <v>478</v>
      </c>
      <c r="H6" s="488" t="s">
        <v>479</v>
      </c>
      <c r="I6" s="489"/>
      <c r="J6" s="489"/>
      <c r="K6" s="489"/>
      <c r="L6" s="494" t="s">
        <v>478</v>
      </c>
      <c r="M6" s="488" t="s">
        <v>480</v>
      </c>
      <c r="N6" s="489"/>
      <c r="O6" s="489"/>
      <c r="P6" s="489"/>
      <c r="Q6" s="481" t="s">
        <v>478</v>
      </c>
      <c r="R6" s="488" t="s">
        <v>409</v>
      </c>
      <c r="S6" s="489"/>
      <c r="T6" s="489"/>
      <c r="U6" s="489"/>
      <c r="V6" s="496" t="s">
        <v>478</v>
      </c>
      <c r="W6" s="406"/>
      <c r="X6" s="489" t="s">
        <v>410</v>
      </c>
      <c r="Y6" s="489"/>
      <c r="Z6" s="489"/>
      <c r="AA6" s="489"/>
      <c r="AB6" s="481" t="s">
        <v>481</v>
      </c>
      <c r="AD6" s="481" t="s">
        <v>482</v>
      </c>
      <c r="AF6" s="483" t="s">
        <v>483</v>
      </c>
    </row>
    <row r="7" spans="1:35" s="402" customFormat="1" ht="90.75" customHeight="1" x14ac:dyDescent="0.25">
      <c r="A7" s="485"/>
      <c r="B7" s="487"/>
      <c r="C7" s="407" t="s">
        <v>484</v>
      </c>
      <c r="D7" s="407" t="s">
        <v>485</v>
      </c>
      <c r="E7" s="407" t="s">
        <v>486</v>
      </c>
      <c r="F7" s="407" t="s">
        <v>487</v>
      </c>
      <c r="G7" s="492"/>
      <c r="H7" s="407" t="s">
        <v>488</v>
      </c>
      <c r="I7" s="407" t="s">
        <v>489</v>
      </c>
      <c r="J7" s="407" t="s">
        <v>490</v>
      </c>
      <c r="K7" s="408" t="s">
        <v>487</v>
      </c>
      <c r="L7" s="495"/>
      <c r="M7" s="407" t="s">
        <v>491</v>
      </c>
      <c r="N7" s="407" t="s">
        <v>492</v>
      </c>
      <c r="O7" s="407" t="s">
        <v>493</v>
      </c>
      <c r="P7" s="408" t="s">
        <v>487</v>
      </c>
      <c r="Q7" s="482"/>
      <c r="R7" s="407" t="s">
        <v>494</v>
      </c>
      <c r="S7" s="407" t="s">
        <v>495</v>
      </c>
      <c r="T7" s="407" t="s">
        <v>496</v>
      </c>
      <c r="U7" s="408" t="s">
        <v>487</v>
      </c>
      <c r="V7" s="497"/>
      <c r="W7" s="409"/>
      <c r="X7" s="410" t="s">
        <v>497</v>
      </c>
      <c r="Y7" s="407" t="s">
        <v>498</v>
      </c>
      <c r="Z7" s="407" t="s">
        <v>499</v>
      </c>
      <c r="AA7" s="408" t="s">
        <v>487</v>
      </c>
      <c r="AB7" s="482"/>
      <c r="AD7" s="482"/>
      <c r="AF7" s="483"/>
    </row>
    <row r="8" spans="1:35" s="402" customFormat="1" ht="26.4" x14ac:dyDescent="0.25">
      <c r="A8" s="411">
        <v>1</v>
      </c>
      <c r="B8" s="412" t="s">
        <v>500</v>
      </c>
      <c r="C8" s="413">
        <f>10875121.60815/1000</f>
        <v>10875.121608150001</v>
      </c>
      <c r="D8" s="413"/>
      <c r="E8" s="413">
        <f>10809219.82711/1000</f>
        <v>10809.219827110001</v>
      </c>
      <c r="F8" s="413">
        <f>E8/C8*100</f>
        <v>99.394013387486055</v>
      </c>
      <c r="G8" s="414">
        <v>97.6</v>
      </c>
      <c r="H8" s="413">
        <v>12433.2</v>
      </c>
      <c r="I8" s="413"/>
      <c r="J8" s="413">
        <v>12135</v>
      </c>
      <c r="K8" s="415">
        <f>J8/H8*100</f>
        <v>97.601582858797414</v>
      </c>
      <c r="L8" s="416">
        <v>93.8</v>
      </c>
      <c r="M8" s="413">
        <v>13170.880999999999</v>
      </c>
      <c r="N8" s="413">
        <v>13170.4133</v>
      </c>
      <c r="O8" s="413">
        <v>13139.640799999999</v>
      </c>
      <c r="P8" s="415">
        <f>O8/M8*100</f>
        <v>99.76280857749758</v>
      </c>
      <c r="Q8" s="416">
        <v>97.1</v>
      </c>
      <c r="R8" s="413">
        <v>12595.298000000001</v>
      </c>
      <c r="S8" s="413">
        <v>12594.135399999999</v>
      </c>
      <c r="T8" s="413">
        <v>12590.199699999999</v>
      </c>
      <c r="U8" s="415">
        <f>T8/R8*100</f>
        <v>99.959522196298963</v>
      </c>
      <c r="V8" s="417">
        <v>90.9</v>
      </c>
      <c r="W8" s="418">
        <f>R8-T8</f>
        <v>5.0983000000014727</v>
      </c>
      <c r="X8" s="414">
        <v>13341.496434660001</v>
      </c>
      <c r="Y8" s="413">
        <v>13341.496434660001</v>
      </c>
      <c r="Z8" s="413">
        <v>13210.237867260001</v>
      </c>
      <c r="AA8" s="415">
        <f t="shared" ref="AA8:AA29" si="0">Z8/X8*100</f>
        <v>99.016163081534074</v>
      </c>
      <c r="AB8" s="440">
        <v>90.8</v>
      </c>
      <c r="AC8" s="419"/>
      <c r="AD8" s="416"/>
      <c r="AE8" s="419"/>
      <c r="AF8" s="420">
        <f>X8-Z8</f>
        <v>131.25856740000017</v>
      </c>
    </row>
    <row r="9" spans="1:35" s="402" customFormat="1" ht="27" customHeight="1" x14ac:dyDescent="0.25">
      <c r="A9" s="411">
        <v>2</v>
      </c>
      <c r="B9" s="437" t="s">
        <v>523</v>
      </c>
      <c r="C9" s="413">
        <f>17056026.28429/1000</f>
        <v>17056.026284290001</v>
      </c>
      <c r="D9" s="413"/>
      <c r="E9" s="413">
        <f>17039442.06147/1000</f>
        <v>17039.442061469999</v>
      </c>
      <c r="F9" s="413">
        <f>E9/C9*100</f>
        <v>99.902766198037128</v>
      </c>
      <c r="G9" s="414">
        <v>98.2</v>
      </c>
      <c r="H9" s="413">
        <v>19823.2</v>
      </c>
      <c r="I9" s="413"/>
      <c r="J9" s="413">
        <v>19701.599999999999</v>
      </c>
      <c r="K9" s="415">
        <f t="shared" ref="K9:K29" si="1">J9/H9*100</f>
        <v>99.386577343718457</v>
      </c>
      <c r="L9" s="416">
        <v>91.2</v>
      </c>
      <c r="M9" s="413">
        <v>18451.489099999999</v>
      </c>
      <c r="N9" s="413">
        <v>18320.534899999999</v>
      </c>
      <c r="O9" s="413">
        <v>18301.683199999999</v>
      </c>
      <c r="P9" s="415">
        <f t="shared" ref="P9:P29" si="2">O9/M9*100</f>
        <v>99.188109430148913</v>
      </c>
      <c r="Q9" s="416">
        <v>95.2</v>
      </c>
      <c r="R9" s="413">
        <v>17925.109199999999</v>
      </c>
      <c r="S9" s="413">
        <v>17891.234199999999</v>
      </c>
      <c r="T9" s="413">
        <v>17879.995900000002</v>
      </c>
      <c r="U9" s="415">
        <f t="shared" ref="U9:U29" si="3">T9/R9*100</f>
        <v>99.748323430018502</v>
      </c>
      <c r="V9" s="417">
        <v>94.7</v>
      </c>
      <c r="W9" s="418">
        <f t="shared" ref="W9:W30" si="4">R9-T9</f>
        <v>45.113299999997253</v>
      </c>
      <c r="X9" s="414">
        <v>18041.871907550001</v>
      </c>
      <c r="Y9" s="413">
        <v>18016.8855</v>
      </c>
      <c r="Z9" s="413">
        <v>18001.388117250001</v>
      </c>
      <c r="AA9" s="415">
        <f t="shared" si="0"/>
        <v>99.775612029020905</v>
      </c>
      <c r="AB9" s="440">
        <v>96.6</v>
      </c>
      <c r="AC9" s="419"/>
      <c r="AD9" s="416">
        <v>93.2</v>
      </c>
      <c r="AE9" s="419"/>
      <c r="AF9" s="420">
        <f t="shared" ref="AF9:AF30" si="5">X9-Z9</f>
        <v>40.483790300000692</v>
      </c>
      <c r="AI9" s="402" t="s">
        <v>501</v>
      </c>
    </row>
    <row r="10" spans="1:35" s="402" customFormat="1" ht="26.4" x14ac:dyDescent="0.25">
      <c r="A10" s="411">
        <v>3</v>
      </c>
      <c r="B10" s="412" t="s">
        <v>502</v>
      </c>
      <c r="C10" s="413">
        <f>10608396.79878/1000</f>
        <v>10608.396798780001</v>
      </c>
      <c r="D10" s="413"/>
      <c r="E10" s="413">
        <f>10020177.39105/1000</f>
        <v>10020.17739105</v>
      </c>
      <c r="F10" s="413">
        <f>E10/C10*100</f>
        <v>94.455152659847258</v>
      </c>
      <c r="G10" s="414">
        <v>96.6</v>
      </c>
      <c r="H10" s="413">
        <v>10473</v>
      </c>
      <c r="I10" s="413"/>
      <c r="J10" s="413">
        <v>10377.799999999999</v>
      </c>
      <c r="K10" s="415">
        <f t="shared" si="1"/>
        <v>99.090995894204141</v>
      </c>
      <c r="L10" s="416">
        <v>97.3</v>
      </c>
      <c r="M10" s="413">
        <v>10277.4193</v>
      </c>
      <c r="N10" s="413">
        <v>10034.403700000001</v>
      </c>
      <c r="O10" s="413">
        <v>10007.154500000001</v>
      </c>
      <c r="P10" s="415">
        <f t="shared" si="2"/>
        <v>97.370304819615569</v>
      </c>
      <c r="Q10" s="421">
        <v>92</v>
      </c>
      <c r="R10" s="413">
        <v>11200.4236</v>
      </c>
      <c r="S10" s="413">
        <v>11021.6749</v>
      </c>
      <c r="T10" s="413">
        <v>11017.2682</v>
      </c>
      <c r="U10" s="415">
        <f t="shared" si="3"/>
        <v>98.36474577622225</v>
      </c>
      <c r="V10" s="422">
        <v>91</v>
      </c>
      <c r="W10" s="418">
        <f t="shared" si="4"/>
        <v>183.15539999999964</v>
      </c>
      <c r="X10" s="414">
        <v>11197.898605</v>
      </c>
      <c r="Y10" s="413">
        <v>11069.1798</v>
      </c>
      <c r="Z10" s="413">
        <v>11062.24586087</v>
      </c>
      <c r="AA10" s="415">
        <f t="shared" si="0"/>
        <v>98.788587493822916</v>
      </c>
      <c r="AB10" s="441">
        <v>90.2</v>
      </c>
      <c r="AC10" s="419"/>
      <c r="AD10" s="421"/>
      <c r="AE10" s="419"/>
      <c r="AF10" s="420">
        <f t="shared" si="5"/>
        <v>135.65274413000043</v>
      </c>
    </row>
    <row r="11" spans="1:35" s="402" customFormat="1" ht="26.4" x14ac:dyDescent="0.25">
      <c r="A11" s="411">
        <v>4</v>
      </c>
      <c r="B11" s="423" t="s">
        <v>503</v>
      </c>
      <c r="C11" s="413">
        <f>1410421.1/1000</f>
        <v>1410.4211</v>
      </c>
      <c r="D11" s="413"/>
      <c r="E11" s="413">
        <f>1395780.43622/1000</f>
        <v>1395.78043622</v>
      </c>
      <c r="F11" s="413">
        <f>E11/C11*100</f>
        <v>98.96196506277451</v>
      </c>
      <c r="G11" s="414">
        <v>93.7</v>
      </c>
      <c r="H11" s="413">
        <v>785.4</v>
      </c>
      <c r="I11" s="413"/>
      <c r="J11" s="413">
        <v>755.1</v>
      </c>
      <c r="K11" s="415">
        <f t="shared" si="1"/>
        <v>96.142093200916733</v>
      </c>
      <c r="L11" s="416">
        <v>94.5</v>
      </c>
      <c r="M11" s="413">
        <v>850.04430000000002</v>
      </c>
      <c r="N11" s="413">
        <v>837.31359999999995</v>
      </c>
      <c r="O11" s="413">
        <v>837.22910000000002</v>
      </c>
      <c r="P11" s="415">
        <f t="shared" si="2"/>
        <v>98.49240798391331</v>
      </c>
      <c r="Q11" s="416">
        <v>95.8</v>
      </c>
      <c r="R11" s="413">
        <v>983.12210000000005</v>
      </c>
      <c r="S11" s="413">
        <v>983.03710000000001</v>
      </c>
      <c r="T11" s="413">
        <v>981.16890000000001</v>
      </c>
      <c r="U11" s="415">
        <f t="shared" si="3"/>
        <v>99.801326813831153</v>
      </c>
      <c r="V11" s="417">
        <v>95.3</v>
      </c>
      <c r="W11" s="418">
        <f t="shared" si="4"/>
        <v>1.953200000000038</v>
      </c>
      <c r="X11" s="414">
        <v>1979.0080844300001</v>
      </c>
      <c r="Y11" s="413">
        <v>1950.7453</v>
      </c>
      <c r="Z11" s="413">
        <v>1949.74534275</v>
      </c>
      <c r="AA11" s="415">
        <f t="shared" si="0"/>
        <v>98.52134299449169</v>
      </c>
      <c r="AB11" s="440">
        <v>90.1</v>
      </c>
      <c r="AC11" s="419"/>
      <c r="AD11" s="416"/>
      <c r="AE11" s="419"/>
      <c r="AF11" s="420">
        <f t="shared" si="5"/>
        <v>29.26274168000009</v>
      </c>
    </row>
    <row r="12" spans="1:35" s="402" customFormat="1" ht="66" x14ac:dyDescent="0.25">
      <c r="A12" s="411">
        <v>5</v>
      </c>
      <c r="B12" s="412" t="s">
        <v>504</v>
      </c>
      <c r="C12" s="413">
        <f>1695774.855/1000</f>
        <v>1695.7748549999999</v>
      </c>
      <c r="D12" s="413"/>
      <c r="E12" s="413">
        <f>1691601.0572/1000</f>
        <v>1691.6010572</v>
      </c>
      <c r="F12" s="413">
        <f>E12/C12*100</f>
        <v>99.753870757801749</v>
      </c>
      <c r="G12" s="414">
        <v>86.6</v>
      </c>
      <c r="H12" s="413">
        <v>1677.6</v>
      </c>
      <c r="I12" s="413"/>
      <c r="J12" s="413">
        <v>1668.3</v>
      </c>
      <c r="K12" s="415">
        <f t="shared" si="1"/>
        <v>99.445636623748214</v>
      </c>
      <c r="L12" s="421">
        <v>89.4</v>
      </c>
      <c r="M12" s="413">
        <v>1175.9075</v>
      </c>
      <c r="N12" s="413">
        <v>1143.0554</v>
      </c>
      <c r="O12" s="413">
        <v>1139.4395999999999</v>
      </c>
      <c r="P12" s="415">
        <f t="shared" si="2"/>
        <v>96.898744161424261</v>
      </c>
      <c r="Q12" s="421">
        <v>80.7</v>
      </c>
      <c r="R12" s="413">
        <v>1185.3474000000001</v>
      </c>
      <c r="S12" s="413">
        <v>1177.9161999999999</v>
      </c>
      <c r="T12" s="413">
        <v>1177.8838000000001</v>
      </c>
      <c r="U12" s="415">
        <f t="shared" si="3"/>
        <v>99.370344930102348</v>
      </c>
      <c r="V12" s="422">
        <v>90.4</v>
      </c>
      <c r="W12" s="418">
        <f t="shared" si="4"/>
        <v>7.4636000000000422</v>
      </c>
      <c r="X12" s="414">
        <v>1150.0989328799999</v>
      </c>
      <c r="Y12" s="413">
        <v>1149.4315999999999</v>
      </c>
      <c r="Z12" s="413">
        <v>1149.1175905</v>
      </c>
      <c r="AA12" s="415">
        <f t="shared" si="0"/>
        <v>99.914673220542653</v>
      </c>
      <c r="AB12" s="441">
        <v>89.5</v>
      </c>
      <c r="AC12" s="419"/>
      <c r="AD12" s="421"/>
      <c r="AE12" s="419"/>
      <c r="AF12" s="420">
        <f t="shared" si="5"/>
        <v>0.98134237999988727</v>
      </c>
    </row>
    <row r="13" spans="1:35" s="402" customFormat="1" ht="52.8" x14ac:dyDescent="0.25">
      <c r="A13" s="411">
        <v>6</v>
      </c>
      <c r="B13" s="424" t="s">
        <v>505</v>
      </c>
      <c r="C13" s="413">
        <v>0</v>
      </c>
      <c r="D13" s="413">
        <v>0</v>
      </c>
      <c r="E13" s="413">
        <v>0</v>
      </c>
      <c r="F13" s="413">
        <v>0</v>
      </c>
      <c r="G13" s="413">
        <v>0</v>
      </c>
      <c r="H13" s="413">
        <v>537.9</v>
      </c>
      <c r="I13" s="413"/>
      <c r="J13" s="413">
        <v>496.3</v>
      </c>
      <c r="K13" s="415">
        <f t="shared" si="1"/>
        <v>92.26622048707938</v>
      </c>
      <c r="L13" s="421">
        <v>80</v>
      </c>
      <c r="M13" s="413">
        <v>502.11020000000002</v>
      </c>
      <c r="N13" s="413">
        <v>485.1198</v>
      </c>
      <c r="O13" s="413">
        <v>409.57929999999999</v>
      </c>
      <c r="P13" s="415">
        <f t="shared" si="2"/>
        <v>81.571595239451412</v>
      </c>
      <c r="Q13" s="421">
        <v>82.3</v>
      </c>
      <c r="R13" s="413">
        <v>452.1712</v>
      </c>
      <c r="S13" s="413">
        <v>439.99180000000001</v>
      </c>
      <c r="T13" s="413">
        <v>416.02690000000001</v>
      </c>
      <c r="U13" s="415">
        <f t="shared" si="3"/>
        <v>92.006501077468002</v>
      </c>
      <c r="V13" s="422">
        <v>88.8</v>
      </c>
      <c r="W13" s="418">
        <f t="shared" si="4"/>
        <v>36.144299999999987</v>
      </c>
      <c r="X13" s="414">
        <v>1206.68313339</v>
      </c>
      <c r="Y13" s="413">
        <v>1198.1925000000001</v>
      </c>
      <c r="Z13" s="413">
        <v>1195.7581888100001</v>
      </c>
      <c r="AA13" s="415">
        <f t="shared" si="0"/>
        <v>99.094630207575051</v>
      </c>
      <c r="AB13" s="441">
        <v>90</v>
      </c>
      <c r="AC13" s="419"/>
      <c r="AD13" s="421"/>
      <c r="AE13" s="419"/>
      <c r="AF13" s="420">
        <f t="shared" si="5"/>
        <v>10.924944579999874</v>
      </c>
    </row>
    <row r="14" spans="1:35" s="402" customFormat="1" ht="43.95" customHeight="1" x14ac:dyDescent="0.25">
      <c r="A14" s="411">
        <v>7</v>
      </c>
      <c r="B14" s="424" t="s">
        <v>506</v>
      </c>
      <c r="C14" s="413">
        <v>0</v>
      </c>
      <c r="D14" s="413">
        <v>0</v>
      </c>
      <c r="E14" s="413">
        <v>0</v>
      </c>
      <c r="F14" s="413">
        <v>0</v>
      </c>
      <c r="G14" s="413">
        <v>0</v>
      </c>
      <c r="H14" s="413">
        <v>858.8</v>
      </c>
      <c r="I14" s="413"/>
      <c r="J14" s="413">
        <v>839.2</v>
      </c>
      <c r="K14" s="415">
        <f t="shared" si="1"/>
        <v>97.717745691662799</v>
      </c>
      <c r="L14" s="416">
        <v>92.4</v>
      </c>
      <c r="M14" s="413">
        <v>931.28499999999997</v>
      </c>
      <c r="N14" s="413">
        <v>886.33209999999997</v>
      </c>
      <c r="O14" s="413">
        <v>879.66</v>
      </c>
      <c r="P14" s="415">
        <f t="shared" si="2"/>
        <v>94.456584182071012</v>
      </c>
      <c r="Q14" s="416">
        <v>77.400000000000006</v>
      </c>
      <c r="R14" s="413">
        <v>904.05460000000005</v>
      </c>
      <c r="S14" s="413">
        <v>885.63109999999995</v>
      </c>
      <c r="T14" s="413">
        <v>883.13379999999995</v>
      </c>
      <c r="U14" s="415">
        <f t="shared" si="3"/>
        <v>97.685891980417978</v>
      </c>
      <c r="V14" s="417">
        <v>94.7</v>
      </c>
      <c r="W14" s="418">
        <f t="shared" si="4"/>
        <v>20.920800000000099</v>
      </c>
      <c r="X14" s="414">
        <v>823.91800509999996</v>
      </c>
      <c r="Y14" s="413">
        <v>806.88630000000001</v>
      </c>
      <c r="Z14" s="413">
        <v>793.12049909999996</v>
      </c>
      <c r="AA14" s="415">
        <f t="shared" si="0"/>
        <v>96.262066636562693</v>
      </c>
      <c r="AB14" s="440">
        <v>90.1</v>
      </c>
      <c r="AC14" s="419"/>
      <c r="AD14" s="416"/>
      <c r="AE14" s="419"/>
      <c r="AF14" s="420">
        <f t="shared" si="5"/>
        <v>30.797505999999998</v>
      </c>
    </row>
    <row r="15" spans="1:35" s="402" customFormat="1" ht="79.2" x14ac:dyDescent="0.25">
      <c r="A15" s="411">
        <v>8</v>
      </c>
      <c r="B15" s="424" t="s">
        <v>507</v>
      </c>
      <c r="C15" s="413">
        <v>0</v>
      </c>
      <c r="D15" s="413">
        <v>0</v>
      </c>
      <c r="E15" s="413">
        <v>0</v>
      </c>
      <c r="F15" s="413">
        <v>0</v>
      </c>
      <c r="G15" s="413">
        <v>0</v>
      </c>
      <c r="H15" s="413">
        <v>53.8</v>
      </c>
      <c r="I15" s="413"/>
      <c r="J15" s="413">
        <v>53.2</v>
      </c>
      <c r="K15" s="415">
        <f t="shared" si="1"/>
        <v>98.884758364312276</v>
      </c>
      <c r="L15" s="416">
        <v>93.6</v>
      </c>
      <c r="M15" s="413">
        <v>66.7744</v>
      </c>
      <c r="N15" s="413">
        <v>60.774299999999997</v>
      </c>
      <c r="O15" s="413">
        <v>60.749899999999997</v>
      </c>
      <c r="P15" s="415">
        <f t="shared" si="2"/>
        <v>90.977829826999567</v>
      </c>
      <c r="Q15" s="416">
        <v>92.6</v>
      </c>
      <c r="R15" s="413">
        <v>9.7015999999999991</v>
      </c>
      <c r="S15" s="413">
        <v>9.7015999999999991</v>
      </c>
      <c r="T15" s="413">
        <v>9.7015999999999991</v>
      </c>
      <c r="U15" s="415">
        <f t="shared" si="3"/>
        <v>100</v>
      </c>
      <c r="V15" s="417">
        <v>92.4</v>
      </c>
      <c r="W15" s="418">
        <f t="shared" si="4"/>
        <v>0</v>
      </c>
      <c r="X15" s="414">
        <v>3.992448</v>
      </c>
      <c r="Y15" s="413">
        <v>3.9923999999999999</v>
      </c>
      <c r="Z15" s="413">
        <v>3.9906410000000001</v>
      </c>
      <c r="AA15" s="415">
        <f t="shared" si="0"/>
        <v>99.954739548267142</v>
      </c>
      <c r="AB15" s="440">
        <v>93.9</v>
      </c>
      <c r="AC15" s="419"/>
      <c r="AD15" s="416"/>
      <c r="AE15" s="419"/>
      <c r="AF15" s="420">
        <f t="shared" si="5"/>
        <v>1.806999999999892E-3</v>
      </c>
    </row>
    <row r="16" spans="1:35" s="402" customFormat="1" ht="66" x14ac:dyDescent="0.25">
      <c r="A16" s="425">
        <v>9</v>
      </c>
      <c r="B16" s="426" t="s">
        <v>508</v>
      </c>
      <c r="C16" s="413">
        <v>0</v>
      </c>
      <c r="D16" s="413">
        <v>0</v>
      </c>
      <c r="E16" s="413">
        <v>0</v>
      </c>
      <c r="F16" s="413">
        <v>0</v>
      </c>
      <c r="G16" s="413">
        <v>0</v>
      </c>
      <c r="H16" s="413">
        <v>1082.5999999999999</v>
      </c>
      <c r="I16" s="413"/>
      <c r="J16" s="413">
        <v>1080.5999999999999</v>
      </c>
      <c r="K16" s="415">
        <f t="shared" si="1"/>
        <v>99.815259560317742</v>
      </c>
      <c r="L16" s="416">
        <v>96.7</v>
      </c>
      <c r="M16" s="413">
        <v>1143.037</v>
      </c>
      <c r="N16" s="413">
        <v>1143.0219999999999</v>
      </c>
      <c r="O16" s="413">
        <v>1143.0184999999999</v>
      </c>
      <c r="P16" s="415">
        <f t="shared" si="2"/>
        <v>99.998381504710693</v>
      </c>
      <c r="Q16" s="416">
        <v>94.6</v>
      </c>
      <c r="R16" s="413">
        <v>1110.5362</v>
      </c>
      <c r="S16" s="413">
        <v>1110.4603999999999</v>
      </c>
      <c r="T16" s="413">
        <v>1107.6392000000001</v>
      </c>
      <c r="U16" s="415">
        <f t="shared" si="3"/>
        <v>99.739135023243733</v>
      </c>
      <c r="V16" s="417">
        <v>80.7</v>
      </c>
      <c r="W16" s="418">
        <f t="shared" si="4"/>
        <v>2.8969999999999345</v>
      </c>
      <c r="X16" s="414">
        <v>1118.78367499</v>
      </c>
      <c r="Y16" s="413">
        <v>1113.6478</v>
      </c>
      <c r="Z16" s="413">
        <v>1113.29473373</v>
      </c>
      <c r="AA16" s="415">
        <f t="shared" si="0"/>
        <v>99.509383146831382</v>
      </c>
      <c r="AB16" s="440">
        <v>94</v>
      </c>
      <c r="AC16" s="419"/>
      <c r="AD16" s="416">
        <v>71.099999999999994</v>
      </c>
      <c r="AE16" s="419"/>
      <c r="AF16" s="420">
        <f t="shared" si="5"/>
        <v>5.4889412600000469</v>
      </c>
    </row>
    <row r="17" spans="1:32" s="402" customFormat="1" ht="52.8" x14ac:dyDescent="0.25">
      <c r="A17" s="425">
        <v>10</v>
      </c>
      <c r="B17" s="426" t="s">
        <v>509</v>
      </c>
      <c r="C17" s="413">
        <v>0</v>
      </c>
      <c r="D17" s="413">
        <v>0</v>
      </c>
      <c r="E17" s="413">
        <v>0</v>
      </c>
      <c r="F17" s="413">
        <v>0</v>
      </c>
      <c r="G17" s="413">
        <v>0</v>
      </c>
      <c r="H17" s="413">
        <v>243.1</v>
      </c>
      <c r="I17" s="413"/>
      <c r="J17" s="413">
        <v>216.7</v>
      </c>
      <c r="K17" s="415">
        <f t="shared" si="1"/>
        <v>89.140271493212666</v>
      </c>
      <c r="L17" s="416">
        <v>67.900000000000006</v>
      </c>
      <c r="M17" s="413">
        <v>144.6095</v>
      </c>
      <c r="N17" s="413">
        <v>134.94649999999999</v>
      </c>
      <c r="O17" s="413">
        <v>132.7997</v>
      </c>
      <c r="P17" s="415">
        <f t="shared" si="2"/>
        <v>91.833316621660416</v>
      </c>
      <c r="Q17" s="416">
        <v>88.2</v>
      </c>
      <c r="R17" s="413">
        <v>144.0523</v>
      </c>
      <c r="S17" s="413">
        <v>70.799000000000007</v>
      </c>
      <c r="T17" s="413">
        <v>70.458600000000004</v>
      </c>
      <c r="U17" s="415">
        <f>T17/R17*100</f>
        <v>48.911818832465705</v>
      </c>
      <c r="V17" s="417">
        <v>83.4</v>
      </c>
      <c r="W17" s="418">
        <f t="shared" si="4"/>
        <v>73.593699999999998</v>
      </c>
      <c r="X17" s="414">
        <v>216.82720631000001</v>
      </c>
      <c r="Y17" s="413">
        <v>213.27359999999999</v>
      </c>
      <c r="Z17" s="413">
        <v>212.98201664000001</v>
      </c>
      <c r="AA17" s="415">
        <f t="shared" si="0"/>
        <v>98.226611071812414</v>
      </c>
      <c r="AB17" s="440">
        <v>85.2</v>
      </c>
      <c r="AC17" s="419"/>
      <c r="AD17" s="416"/>
      <c r="AE17" s="419"/>
      <c r="AF17" s="420">
        <f t="shared" si="5"/>
        <v>3.8451896699999963</v>
      </c>
    </row>
    <row r="18" spans="1:32" s="402" customFormat="1" ht="66" x14ac:dyDescent="0.25">
      <c r="A18" s="425">
        <v>11</v>
      </c>
      <c r="B18" s="426" t="s">
        <v>510</v>
      </c>
      <c r="C18" s="413">
        <v>0</v>
      </c>
      <c r="D18" s="413">
        <v>0</v>
      </c>
      <c r="E18" s="413">
        <v>0</v>
      </c>
      <c r="F18" s="413">
        <v>0</v>
      </c>
      <c r="G18" s="413">
        <v>0</v>
      </c>
      <c r="H18" s="413">
        <v>987.8</v>
      </c>
      <c r="I18" s="413"/>
      <c r="J18" s="413">
        <v>984.4</v>
      </c>
      <c r="K18" s="415">
        <f t="shared" si="1"/>
        <v>99.655800769386516</v>
      </c>
      <c r="L18" s="416">
        <v>95.8</v>
      </c>
      <c r="M18" s="413">
        <v>850.58579999999995</v>
      </c>
      <c r="N18" s="413">
        <v>776.67679999999996</v>
      </c>
      <c r="O18" s="413">
        <v>763.40359999999998</v>
      </c>
      <c r="P18" s="415">
        <f t="shared" si="2"/>
        <v>89.750334416586782</v>
      </c>
      <c r="Q18" s="416">
        <v>93.5</v>
      </c>
      <c r="R18" s="413">
        <v>706.31690000000003</v>
      </c>
      <c r="S18" s="413">
        <v>705.22810000000004</v>
      </c>
      <c r="T18" s="413">
        <v>702.74639999999999</v>
      </c>
      <c r="U18" s="415">
        <f t="shared" si="3"/>
        <v>99.494490362612027</v>
      </c>
      <c r="V18" s="417">
        <v>87.8</v>
      </c>
      <c r="W18" s="418">
        <f t="shared" si="4"/>
        <v>3.5705000000000382</v>
      </c>
      <c r="X18" s="414">
        <v>499.58096608</v>
      </c>
      <c r="Y18" s="413">
        <v>499.58100000000002</v>
      </c>
      <c r="Z18" s="413">
        <v>499.58095489999999</v>
      </c>
      <c r="AA18" s="415">
        <f t="shared" si="0"/>
        <v>99.999997762124508</v>
      </c>
      <c r="AB18" s="440">
        <v>90.5</v>
      </c>
      <c r="AC18" s="419"/>
      <c r="AD18" s="416"/>
      <c r="AE18" s="419"/>
      <c r="AF18" s="420">
        <f t="shared" si="5"/>
        <v>1.1180000001331791E-5</v>
      </c>
    </row>
    <row r="19" spans="1:32" s="402" customFormat="1" ht="39.6" x14ac:dyDescent="0.25">
      <c r="A19" s="425">
        <v>12</v>
      </c>
      <c r="B19" s="426" t="s">
        <v>511</v>
      </c>
      <c r="C19" s="413">
        <v>0</v>
      </c>
      <c r="D19" s="413">
        <v>0</v>
      </c>
      <c r="E19" s="413">
        <v>0</v>
      </c>
      <c r="F19" s="413">
        <v>0</v>
      </c>
      <c r="G19" s="413">
        <v>0</v>
      </c>
      <c r="H19" s="413">
        <v>445.7</v>
      </c>
      <c r="I19" s="413"/>
      <c r="J19" s="413">
        <v>432.8</v>
      </c>
      <c r="K19" s="415">
        <f t="shared" si="1"/>
        <v>97.105676463989226</v>
      </c>
      <c r="L19" s="416">
        <v>89.9</v>
      </c>
      <c r="M19" s="413">
        <v>464.49520000000001</v>
      </c>
      <c r="N19" s="413">
        <v>461.98520000000002</v>
      </c>
      <c r="O19" s="413">
        <v>457.29500000000002</v>
      </c>
      <c r="P19" s="415">
        <f t="shared" si="2"/>
        <v>98.449887103246709</v>
      </c>
      <c r="Q19" s="416">
        <v>93.9</v>
      </c>
      <c r="R19" s="413">
        <v>280.24220000000003</v>
      </c>
      <c r="S19" s="413">
        <v>268.03640000000001</v>
      </c>
      <c r="T19" s="413">
        <v>264.40800000000002</v>
      </c>
      <c r="U19" s="415">
        <f t="shared" si="3"/>
        <v>94.349815980605342</v>
      </c>
      <c r="V19" s="417">
        <v>94.5</v>
      </c>
      <c r="W19" s="418">
        <f t="shared" si="4"/>
        <v>15.83420000000001</v>
      </c>
      <c r="X19" s="414">
        <v>286.45947760000001</v>
      </c>
      <c r="Y19" s="413">
        <v>285.66050000000001</v>
      </c>
      <c r="Z19" s="413">
        <v>282.77922633999998</v>
      </c>
      <c r="AA19" s="415">
        <f t="shared" si="0"/>
        <v>98.715262873885791</v>
      </c>
      <c r="AB19" s="440">
        <v>90.4</v>
      </c>
      <c r="AC19" s="419"/>
      <c r="AD19" s="416"/>
      <c r="AE19" s="419"/>
      <c r="AF19" s="420">
        <f t="shared" si="5"/>
        <v>3.6802512600000341</v>
      </c>
    </row>
    <row r="20" spans="1:32" s="402" customFormat="1" ht="26.4" x14ac:dyDescent="0.25">
      <c r="A20" s="425">
        <v>13</v>
      </c>
      <c r="B20" s="426" t="s">
        <v>512</v>
      </c>
      <c r="C20" s="413">
        <v>0</v>
      </c>
      <c r="D20" s="413">
        <v>0</v>
      </c>
      <c r="E20" s="413">
        <v>0</v>
      </c>
      <c r="F20" s="413">
        <v>0</v>
      </c>
      <c r="G20" s="413">
        <v>0</v>
      </c>
      <c r="H20" s="413">
        <v>3.5</v>
      </c>
      <c r="I20" s="413"/>
      <c r="J20" s="413">
        <v>2.7</v>
      </c>
      <c r="K20" s="415">
        <f t="shared" si="1"/>
        <v>77.142857142857153</v>
      </c>
      <c r="L20" s="416">
        <v>90.2</v>
      </c>
      <c r="M20" s="413">
        <v>3.1389999999999998</v>
      </c>
      <c r="N20" s="413">
        <v>2.6576</v>
      </c>
      <c r="O20" s="413">
        <v>2.6576</v>
      </c>
      <c r="P20" s="415">
        <f t="shared" si="2"/>
        <v>84.663905702453008</v>
      </c>
      <c r="Q20" s="416">
        <v>89.4</v>
      </c>
      <c r="R20" s="413">
        <v>2.8448000000000002</v>
      </c>
      <c r="S20" s="413">
        <v>2.8448000000000002</v>
      </c>
      <c r="T20" s="413">
        <v>2.8448000000000002</v>
      </c>
      <c r="U20" s="415">
        <f t="shared" si="3"/>
        <v>100</v>
      </c>
      <c r="V20" s="417">
        <v>94.5</v>
      </c>
      <c r="W20" s="418">
        <f t="shared" si="4"/>
        <v>0</v>
      </c>
      <c r="X20" s="414">
        <v>2.0333000000000001</v>
      </c>
      <c r="Y20" s="413">
        <v>2.0333000000000001</v>
      </c>
      <c r="Z20" s="413">
        <v>2.03050818</v>
      </c>
      <c r="AA20" s="415">
        <f t="shared" si="0"/>
        <v>99.862695126149603</v>
      </c>
      <c r="AB20" s="440">
        <v>96.5</v>
      </c>
      <c r="AC20" s="419"/>
      <c r="AD20" s="416"/>
      <c r="AE20" s="419"/>
      <c r="AF20" s="420">
        <f t="shared" si="5"/>
        <v>2.7918200000001114E-3</v>
      </c>
    </row>
    <row r="21" spans="1:32" s="402" customFormat="1" ht="26.4" x14ac:dyDescent="0.25">
      <c r="A21" s="425">
        <v>14</v>
      </c>
      <c r="B21" s="426" t="s">
        <v>513</v>
      </c>
      <c r="C21" s="413">
        <v>0</v>
      </c>
      <c r="D21" s="413">
        <v>0</v>
      </c>
      <c r="E21" s="413">
        <v>0</v>
      </c>
      <c r="F21" s="413">
        <v>0</v>
      </c>
      <c r="G21" s="413">
        <v>0</v>
      </c>
      <c r="H21" s="413">
        <v>915.6</v>
      </c>
      <c r="I21" s="413"/>
      <c r="J21" s="413">
        <v>898.5</v>
      </c>
      <c r="K21" s="415">
        <f t="shared" si="1"/>
        <v>98.132372214941029</v>
      </c>
      <c r="L21" s="416">
        <v>80.400000000000006</v>
      </c>
      <c r="M21" s="413">
        <v>906.9144</v>
      </c>
      <c r="N21" s="413">
        <v>906.62940000000003</v>
      </c>
      <c r="O21" s="413">
        <v>894.75549999999998</v>
      </c>
      <c r="P21" s="415">
        <f t="shared" si="2"/>
        <v>98.659311176446195</v>
      </c>
      <c r="Q21" s="416">
        <v>85.1</v>
      </c>
      <c r="R21" s="413">
        <v>926.72059999999999</v>
      </c>
      <c r="S21" s="413">
        <v>922.7038</v>
      </c>
      <c r="T21" s="413">
        <v>919.80809999999997</v>
      </c>
      <c r="U21" s="415">
        <f t="shared" si="3"/>
        <v>99.254090175614962</v>
      </c>
      <c r="V21" s="417">
        <v>83.8</v>
      </c>
      <c r="W21" s="418">
        <f t="shared" si="4"/>
        <v>6.9125000000000227</v>
      </c>
      <c r="X21" s="414">
        <v>888.92136700000003</v>
      </c>
      <c r="Y21" s="413">
        <v>888.88900000000001</v>
      </c>
      <c r="Z21" s="413">
        <v>885.94570811000006</v>
      </c>
      <c r="AA21" s="415">
        <f t="shared" si="0"/>
        <v>99.665250605906522</v>
      </c>
      <c r="AB21" s="440">
        <v>85.2</v>
      </c>
      <c r="AC21" s="419"/>
      <c r="AD21" s="416">
        <v>81</v>
      </c>
      <c r="AE21" s="419"/>
      <c r="AF21" s="420">
        <f t="shared" si="5"/>
        <v>2.975658889999977</v>
      </c>
    </row>
    <row r="22" spans="1:32" s="402" customFormat="1" ht="39.6" x14ac:dyDescent="0.25">
      <c r="A22" s="425">
        <v>15</v>
      </c>
      <c r="B22" s="426" t="s">
        <v>524</v>
      </c>
      <c r="C22" s="413">
        <v>0</v>
      </c>
      <c r="D22" s="413">
        <v>0</v>
      </c>
      <c r="E22" s="413">
        <v>0</v>
      </c>
      <c r="F22" s="413">
        <v>0</v>
      </c>
      <c r="G22" s="413">
        <v>0</v>
      </c>
      <c r="H22" s="413">
        <v>3218.9</v>
      </c>
      <c r="I22" s="413"/>
      <c r="J22" s="413">
        <v>3182.2</v>
      </c>
      <c r="K22" s="415">
        <f t="shared" si="1"/>
        <v>98.859858958029136</v>
      </c>
      <c r="L22" s="416">
        <v>80.5</v>
      </c>
      <c r="M22" s="413">
        <v>3084.9600999999998</v>
      </c>
      <c r="N22" s="413">
        <v>3065.2406000000001</v>
      </c>
      <c r="O22" s="413">
        <v>3054.4697999999999</v>
      </c>
      <c r="P22" s="415">
        <f t="shared" si="2"/>
        <v>99.011646860521793</v>
      </c>
      <c r="Q22" s="421">
        <v>85</v>
      </c>
      <c r="R22" s="413">
        <v>3479.9126999999999</v>
      </c>
      <c r="S22" s="413">
        <v>3467.6808999999998</v>
      </c>
      <c r="T22" s="413">
        <v>3464.9485</v>
      </c>
      <c r="U22" s="415">
        <f t="shared" si="3"/>
        <v>99.569983465389811</v>
      </c>
      <c r="V22" s="422">
        <v>86.6</v>
      </c>
      <c r="W22" s="418">
        <f t="shared" si="4"/>
        <v>14.964199999999892</v>
      </c>
      <c r="X22" s="414">
        <v>4496.5797515000004</v>
      </c>
      <c r="Y22" s="413">
        <v>4461.5293000000001</v>
      </c>
      <c r="Z22" s="413">
        <v>4458.8440902499997</v>
      </c>
      <c r="AA22" s="415">
        <f t="shared" si="0"/>
        <v>99.160791905505235</v>
      </c>
      <c r="AB22" s="441">
        <v>88.6</v>
      </c>
      <c r="AC22" s="419"/>
      <c r="AD22" s="421"/>
      <c r="AE22" s="419"/>
      <c r="AF22" s="420">
        <f t="shared" si="5"/>
        <v>37.735661250000703</v>
      </c>
    </row>
    <row r="23" spans="1:32" s="402" customFormat="1" ht="66" x14ac:dyDescent="0.25">
      <c r="A23" s="425">
        <v>16</v>
      </c>
      <c r="B23" s="426" t="s">
        <v>514</v>
      </c>
      <c r="C23" s="413">
        <v>0</v>
      </c>
      <c r="D23" s="413">
        <v>0</v>
      </c>
      <c r="E23" s="413">
        <v>0</v>
      </c>
      <c r="F23" s="413">
        <v>0</v>
      </c>
      <c r="G23" s="413">
        <v>0</v>
      </c>
      <c r="H23" s="413">
        <v>83.4</v>
      </c>
      <c r="I23" s="413"/>
      <c r="J23" s="413">
        <v>81</v>
      </c>
      <c r="K23" s="415">
        <f t="shared" si="1"/>
        <v>97.122302158273371</v>
      </c>
      <c r="L23" s="416">
        <v>94.1</v>
      </c>
      <c r="M23" s="413">
        <v>88.594399999999993</v>
      </c>
      <c r="N23" s="413">
        <v>87.976900000000001</v>
      </c>
      <c r="O23" s="413">
        <v>81.4542</v>
      </c>
      <c r="P23" s="415">
        <f t="shared" si="2"/>
        <v>91.940574122066408</v>
      </c>
      <c r="Q23" s="416">
        <v>97.6</v>
      </c>
      <c r="R23" s="413">
        <v>46.505600000000001</v>
      </c>
      <c r="S23" s="413">
        <v>46.505000000000003</v>
      </c>
      <c r="T23" s="413">
        <v>46.468000000000004</v>
      </c>
      <c r="U23" s="415">
        <f t="shared" si="3"/>
        <v>99.919149521778024</v>
      </c>
      <c r="V23" s="417">
        <v>86.3</v>
      </c>
      <c r="W23" s="418">
        <f t="shared" si="4"/>
        <v>3.7599999999997635E-2</v>
      </c>
      <c r="X23" s="414">
        <v>39.536209399999997</v>
      </c>
      <c r="Y23" s="413">
        <v>39.4953</v>
      </c>
      <c r="Z23" s="413">
        <v>39.462724440000002</v>
      </c>
      <c r="AA23" s="415">
        <f t="shared" si="0"/>
        <v>99.814132510133874</v>
      </c>
      <c r="AB23" s="440">
        <v>93.9</v>
      </c>
      <c r="AC23" s="419"/>
      <c r="AD23" s="416"/>
      <c r="AE23" s="419"/>
      <c r="AF23" s="420">
        <f t="shared" si="5"/>
        <v>7.3484959999994715E-2</v>
      </c>
    </row>
    <row r="24" spans="1:32" s="402" customFormat="1" ht="26.4" x14ac:dyDescent="0.25">
      <c r="A24" s="425">
        <v>17</v>
      </c>
      <c r="B24" s="426" t="s">
        <v>515</v>
      </c>
      <c r="C24" s="413">
        <v>0</v>
      </c>
      <c r="D24" s="413">
        <v>0</v>
      </c>
      <c r="E24" s="413">
        <v>0</v>
      </c>
      <c r="F24" s="413">
        <v>0</v>
      </c>
      <c r="G24" s="413">
        <v>0</v>
      </c>
      <c r="H24" s="413">
        <v>4597.1000000000004</v>
      </c>
      <c r="I24" s="413"/>
      <c r="J24" s="413">
        <v>4272</v>
      </c>
      <c r="K24" s="415">
        <f t="shared" si="1"/>
        <v>92.928150355659</v>
      </c>
      <c r="L24" s="416">
        <v>92.4</v>
      </c>
      <c r="M24" s="413">
        <v>4978.6088</v>
      </c>
      <c r="N24" s="413">
        <v>4903.6403</v>
      </c>
      <c r="O24" s="413">
        <v>4894.067</v>
      </c>
      <c r="P24" s="415">
        <f t="shared" si="2"/>
        <v>98.301899116877792</v>
      </c>
      <c r="Q24" s="416">
        <v>91.3</v>
      </c>
      <c r="R24" s="413">
        <v>6834.8852999999999</v>
      </c>
      <c r="S24" s="413">
        <v>6487.6648999999998</v>
      </c>
      <c r="T24" s="413">
        <v>6436.1408000000001</v>
      </c>
      <c r="U24" s="415">
        <f t="shared" si="3"/>
        <v>94.166039626151445</v>
      </c>
      <c r="V24" s="417">
        <v>90.2</v>
      </c>
      <c r="W24" s="418">
        <f t="shared" si="4"/>
        <v>398.74449999999979</v>
      </c>
      <c r="X24" s="414">
        <v>5282.9970801010004</v>
      </c>
      <c r="Y24" s="413">
        <v>5238.2830000000004</v>
      </c>
      <c r="Z24" s="413">
        <v>5235.8082232300003</v>
      </c>
      <c r="AA24" s="415">
        <f t="shared" si="0"/>
        <v>99.106778668329341</v>
      </c>
      <c r="AB24" s="440">
        <v>91.1</v>
      </c>
      <c r="AC24" s="419"/>
      <c r="AD24" s="416"/>
      <c r="AE24" s="419"/>
      <c r="AF24" s="420">
        <f t="shared" si="5"/>
        <v>47.188856871000098</v>
      </c>
    </row>
    <row r="25" spans="1:32" s="402" customFormat="1" ht="26.4" x14ac:dyDescent="0.25">
      <c r="A25" s="425">
        <v>18</v>
      </c>
      <c r="B25" s="426" t="s">
        <v>516</v>
      </c>
      <c r="C25" s="413">
        <v>0</v>
      </c>
      <c r="D25" s="413">
        <v>0</v>
      </c>
      <c r="E25" s="413">
        <v>0</v>
      </c>
      <c r="F25" s="413">
        <v>0</v>
      </c>
      <c r="G25" s="413">
        <v>0</v>
      </c>
      <c r="H25" s="413">
        <v>92.7</v>
      </c>
      <c r="I25" s="413"/>
      <c r="J25" s="413">
        <v>47.3</v>
      </c>
      <c r="K25" s="415">
        <f t="shared" si="1"/>
        <v>51.024811218985974</v>
      </c>
      <c r="L25" s="416">
        <v>68.400000000000006</v>
      </c>
      <c r="M25" s="413">
        <v>575.30319999999995</v>
      </c>
      <c r="N25" s="413">
        <v>381.4477</v>
      </c>
      <c r="O25" s="413">
        <v>381.26400000000001</v>
      </c>
      <c r="P25" s="415">
        <f t="shared" si="2"/>
        <v>66.271837180811801</v>
      </c>
      <c r="Q25" s="416">
        <v>77.8</v>
      </c>
      <c r="R25" s="413">
        <v>289.07139999999998</v>
      </c>
      <c r="S25" s="413">
        <v>289.06639999999999</v>
      </c>
      <c r="T25" s="413">
        <v>288.78160000000003</v>
      </c>
      <c r="U25" s="415">
        <f t="shared" si="3"/>
        <v>99.899747951544171</v>
      </c>
      <c r="V25" s="417">
        <v>85.8</v>
      </c>
      <c r="W25" s="418">
        <f t="shared" si="4"/>
        <v>0.28979999999995698</v>
      </c>
      <c r="X25" s="414">
        <v>93.476916540000005</v>
      </c>
      <c r="Y25" s="413">
        <v>44.476900000000001</v>
      </c>
      <c r="Z25" s="413">
        <v>43.386559079999998</v>
      </c>
      <c r="AA25" s="415">
        <f t="shared" si="0"/>
        <v>46.414195809972313</v>
      </c>
      <c r="AB25" s="440">
        <v>74.900000000000006</v>
      </c>
      <c r="AC25" s="419"/>
      <c r="AD25" s="416">
        <v>52</v>
      </c>
      <c r="AE25" s="419"/>
      <c r="AF25" s="420">
        <f t="shared" si="5"/>
        <v>50.090357460000007</v>
      </c>
    </row>
    <row r="26" spans="1:32" s="402" customFormat="1" ht="39.6" x14ac:dyDescent="0.25">
      <c r="A26" s="425">
        <v>19</v>
      </c>
      <c r="B26" s="426" t="s">
        <v>517</v>
      </c>
      <c r="C26" s="413">
        <v>0</v>
      </c>
      <c r="D26" s="413">
        <v>0</v>
      </c>
      <c r="E26" s="413">
        <v>0</v>
      </c>
      <c r="F26" s="413">
        <v>0</v>
      </c>
      <c r="G26" s="413">
        <v>0</v>
      </c>
      <c r="H26" s="413">
        <v>58.5</v>
      </c>
      <c r="I26" s="413"/>
      <c r="J26" s="413">
        <v>57.3</v>
      </c>
      <c r="K26" s="415">
        <f t="shared" si="1"/>
        <v>97.948717948717942</v>
      </c>
      <c r="L26" s="416">
        <v>96.5</v>
      </c>
      <c r="M26" s="413">
        <v>54.448999999999998</v>
      </c>
      <c r="N26" s="413">
        <v>54.448999999999998</v>
      </c>
      <c r="O26" s="413">
        <v>54.190899999999999</v>
      </c>
      <c r="P26" s="415">
        <f t="shared" si="2"/>
        <v>99.525978438538814</v>
      </c>
      <c r="Q26" s="416">
        <v>99.6</v>
      </c>
      <c r="R26" s="413">
        <v>56.156599999999997</v>
      </c>
      <c r="S26" s="413">
        <v>56.156599999999997</v>
      </c>
      <c r="T26" s="413">
        <v>55.5685</v>
      </c>
      <c r="U26" s="415">
        <f t="shared" si="3"/>
        <v>98.952749988425225</v>
      </c>
      <c r="V26" s="417">
        <v>91.8</v>
      </c>
      <c r="W26" s="418">
        <f t="shared" si="4"/>
        <v>0.58809999999999718</v>
      </c>
      <c r="X26" s="414">
        <v>82.818934999999996</v>
      </c>
      <c r="Y26" s="413">
        <v>79.426599999999993</v>
      </c>
      <c r="Z26" s="413">
        <v>79.323336400000002</v>
      </c>
      <c r="AA26" s="415">
        <f t="shared" si="0"/>
        <v>95.779227781666123</v>
      </c>
      <c r="AB26" s="441">
        <v>92</v>
      </c>
      <c r="AC26" s="419"/>
      <c r="AD26" s="416"/>
      <c r="AE26" s="419"/>
      <c r="AF26" s="420">
        <f t="shared" si="5"/>
        <v>3.4955985999999939</v>
      </c>
    </row>
    <row r="27" spans="1:32" s="402" customFormat="1" ht="39.6" x14ac:dyDescent="0.25">
      <c r="A27" s="425">
        <v>20</v>
      </c>
      <c r="B27" s="426" t="s">
        <v>518</v>
      </c>
      <c r="C27" s="413">
        <v>0</v>
      </c>
      <c r="D27" s="413">
        <v>0</v>
      </c>
      <c r="E27" s="413">
        <v>0</v>
      </c>
      <c r="F27" s="413">
        <v>0</v>
      </c>
      <c r="G27" s="413">
        <v>0</v>
      </c>
      <c r="H27" s="413">
        <v>6054.3</v>
      </c>
      <c r="I27" s="413"/>
      <c r="J27" s="413">
        <v>6006</v>
      </c>
      <c r="K27" s="415">
        <f t="shared" si="1"/>
        <v>99.202219909816165</v>
      </c>
      <c r="L27" s="416">
        <v>99.5</v>
      </c>
      <c r="M27" s="413">
        <v>4943.4134000000004</v>
      </c>
      <c r="N27" s="413">
        <v>4816.7578999999996</v>
      </c>
      <c r="O27" s="413">
        <v>4815.4683000000005</v>
      </c>
      <c r="P27" s="415">
        <f t="shared" si="2"/>
        <v>97.41180658692231</v>
      </c>
      <c r="Q27" s="421">
        <v>97</v>
      </c>
      <c r="R27" s="413">
        <v>4811.3670000000002</v>
      </c>
      <c r="S27" s="413">
        <v>4713.5108</v>
      </c>
      <c r="T27" s="413">
        <v>4711.6791999999996</v>
      </c>
      <c r="U27" s="415">
        <f t="shared" si="3"/>
        <v>97.928077405028532</v>
      </c>
      <c r="V27" s="422">
        <v>97.4</v>
      </c>
      <c r="W27" s="418">
        <f t="shared" si="4"/>
        <v>99.687800000000607</v>
      </c>
      <c r="X27" s="414">
        <v>5114.2822919199998</v>
      </c>
      <c r="Y27" s="413">
        <v>5108.4054999999998</v>
      </c>
      <c r="Z27" s="413">
        <v>5106.9826809699998</v>
      </c>
      <c r="AA27" s="415">
        <f t="shared" si="0"/>
        <v>99.857270081443644</v>
      </c>
      <c r="AB27" s="441">
        <v>96.4</v>
      </c>
      <c r="AC27" s="419"/>
      <c r="AD27" s="421"/>
      <c r="AE27" s="419"/>
      <c r="AF27" s="420">
        <f t="shared" si="5"/>
        <v>7.2996109499999875</v>
      </c>
    </row>
    <row r="28" spans="1:32" s="402" customFormat="1" ht="39.6" x14ac:dyDescent="0.25">
      <c r="A28" s="425">
        <v>21</v>
      </c>
      <c r="B28" s="426" t="s">
        <v>519</v>
      </c>
      <c r="C28" s="413">
        <v>0</v>
      </c>
      <c r="D28" s="413">
        <v>0</v>
      </c>
      <c r="E28" s="413">
        <v>0</v>
      </c>
      <c r="F28" s="413">
        <v>0</v>
      </c>
      <c r="G28" s="413">
        <v>0</v>
      </c>
      <c r="H28" s="413">
        <v>1234.7</v>
      </c>
      <c r="I28" s="427"/>
      <c r="J28" s="413">
        <v>1205.2</v>
      </c>
      <c r="K28" s="415">
        <f t="shared" si="1"/>
        <v>97.610755649145545</v>
      </c>
      <c r="L28" s="416">
        <v>93.7</v>
      </c>
      <c r="M28" s="413">
        <v>1413.1262999999999</v>
      </c>
      <c r="N28" s="427">
        <v>1407.1180999999999</v>
      </c>
      <c r="O28" s="413">
        <v>1404.0587</v>
      </c>
      <c r="P28" s="415">
        <f t="shared" si="2"/>
        <v>99.358330532805184</v>
      </c>
      <c r="Q28" s="416">
        <v>94.2</v>
      </c>
      <c r="R28" s="413">
        <v>1365.8367000000001</v>
      </c>
      <c r="S28" s="427">
        <v>1364.4988000000001</v>
      </c>
      <c r="T28" s="413">
        <v>1362.4975999999999</v>
      </c>
      <c r="U28" s="415">
        <f t="shared" si="3"/>
        <v>99.755527143178966</v>
      </c>
      <c r="V28" s="417">
        <v>95.8</v>
      </c>
      <c r="W28" s="418">
        <f t="shared" si="4"/>
        <v>3.3391000000001441</v>
      </c>
      <c r="X28" s="414">
        <v>1355.93032049</v>
      </c>
      <c r="Y28" s="427">
        <v>1343.3036</v>
      </c>
      <c r="Z28" s="413">
        <v>1338.08174867</v>
      </c>
      <c r="AA28" s="415">
        <f t="shared" si="0"/>
        <v>98.683666000362763</v>
      </c>
      <c r="AB28" s="440">
        <v>91.2</v>
      </c>
      <c r="AC28" s="419"/>
      <c r="AD28" s="416"/>
      <c r="AE28" s="419"/>
      <c r="AF28" s="420">
        <f t="shared" si="5"/>
        <v>17.848571819999961</v>
      </c>
    </row>
    <row r="29" spans="1:32" s="402" customFormat="1" ht="39.6" x14ac:dyDescent="0.25">
      <c r="A29" s="425">
        <v>22</v>
      </c>
      <c r="B29" s="426" t="s">
        <v>520</v>
      </c>
      <c r="C29" s="413">
        <v>0</v>
      </c>
      <c r="D29" s="413">
        <v>0</v>
      </c>
      <c r="E29" s="413">
        <v>0</v>
      </c>
      <c r="F29" s="413">
        <v>0</v>
      </c>
      <c r="G29" s="413">
        <v>0</v>
      </c>
      <c r="H29" s="413">
        <v>114.4</v>
      </c>
      <c r="I29" s="413"/>
      <c r="J29" s="413">
        <v>108.4</v>
      </c>
      <c r="K29" s="415">
        <f t="shared" si="1"/>
        <v>94.75524475524476</v>
      </c>
      <c r="L29" s="416">
        <v>72.3</v>
      </c>
      <c r="M29" s="413">
        <v>158.20480000000001</v>
      </c>
      <c r="N29" s="413">
        <v>158.20480000000001</v>
      </c>
      <c r="O29" s="413">
        <v>158.20480000000001</v>
      </c>
      <c r="P29" s="415">
        <f t="shared" si="2"/>
        <v>100</v>
      </c>
      <c r="Q29" s="416">
        <v>91.3</v>
      </c>
      <c r="R29" s="413">
        <v>180.8905</v>
      </c>
      <c r="S29" s="413">
        <v>180.27279999999999</v>
      </c>
      <c r="T29" s="413">
        <v>180.27279999999999</v>
      </c>
      <c r="U29" s="415">
        <f t="shared" si="3"/>
        <v>99.658522697432971</v>
      </c>
      <c r="V29" s="417">
        <v>83.2</v>
      </c>
      <c r="W29" s="418">
        <f t="shared" si="4"/>
        <v>0.61770000000001346</v>
      </c>
      <c r="X29" s="414">
        <v>216.84899100000001</v>
      </c>
      <c r="Y29" s="413">
        <v>213.06139999999999</v>
      </c>
      <c r="Z29" s="413">
        <v>201.29284779</v>
      </c>
      <c r="AA29" s="415">
        <f t="shared" si="0"/>
        <v>92.826278260155689</v>
      </c>
      <c r="AB29" s="440">
        <v>80.099999999999994</v>
      </c>
      <c r="AC29" s="419"/>
      <c r="AD29" s="416">
        <v>93.3</v>
      </c>
      <c r="AE29" s="419"/>
      <c r="AF29" s="420">
        <f t="shared" si="5"/>
        <v>15.556143210000016</v>
      </c>
    </row>
    <row r="30" spans="1:32" s="402" customFormat="1" ht="27" thickBot="1" x14ac:dyDescent="0.3">
      <c r="A30" s="428"/>
      <c r="B30" s="429" t="s">
        <v>521</v>
      </c>
      <c r="C30" s="430">
        <f>SUM(C8:C29)</f>
        <v>41645.740646220002</v>
      </c>
      <c r="D30" s="430">
        <f>SUM(D8:D29)</f>
        <v>0</v>
      </c>
      <c r="E30" s="430">
        <f>SUM(E8:E29)</f>
        <v>40956.220773049994</v>
      </c>
      <c r="F30" s="430">
        <f>+E30/C30*100</f>
        <v>98.344320781739796</v>
      </c>
      <c r="G30" s="431" t="s">
        <v>107</v>
      </c>
      <c r="H30" s="430">
        <f>SUM(H8:H29)</f>
        <v>65775.199999999997</v>
      </c>
      <c r="I30" s="430">
        <f>SUM(I8:I29)</f>
        <v>0</v>
      </c>
      <c r="J30" s="430">
        <f>SUM(J8:J29)</f>
        <v>64601.599999999991</v>
      </c>
      <c r="K30" s="432">
        <f>+J30/H30*100</f>
        <v>98.215740887142871</v>
      </c>
      <c r="L30" s="433" t="s">
        <v>107</v>
      </c>
      <c r="M30" s="430">
        <f>SUM(M8:M29)</f>
        <v>64235.351700000007</v>
      </c>
      <c r="N30" s="430">
        <f>SUM(N8:N29)</f>
        <v>63238.699899999985</v>
      </c>
      <c r="O30" s="430">
        <f>SUM(O8:O29)</f>
        <v>63012.243999999999</v>
      </c>
      <c r="P30" s="432">
        <f>+O30/M30*100</f>
        <v>98.095896313120051</v>
      </c>
      <c r="Q30" s="433" t="s">
        <v>107</v>
      </c>
      <c r="R30" s="430">
        <f>SUM(R8:R29)</f>
        <v>65490.566500000008</v>
      </c>
      <c r="S30" s="430">
        <f>SUM(S8:S29)</f>
        <v>64688.750999999997</v>
      </c>
      <c r="T30" s="430">
        <f>SUM(T8:T29)</f>
        <v>64569.640900000006</v>
      </c>
      <c r="U30" s="432">
        <f>+T30/R30*100</f>
        <v>98.593804193158107</v>
      </c>
      <c r="V30" s="434" t="s">
        <v>107</v>
      </c>
      <c r="W30" s="418">
        <f t="shared" si="4"/>
        <v>920.92560000000231</v>
      </c>
      <c r="X30" s="435">
        <f>SUM(X8:X29)</f>
        <v>67440.044038941021</v>
      </c>
      <c r="Y30" s="430">
        <f>SUM(Y8:Y29)</f>
        <v>67067.876634660017</v>
      </c>
      <c r="Z30" s="430">
        <f>SUM(Z8:Z29)</f>
        <v>66865.399466269984</v>
      </c>
      <c r="AA30" s="432">
        <f>+Z30/X30*100</f>
        <v>99.147917856727346</v>
      </c>
      <c r="AB30" s="442" t="s">
        <v>107</v>
      </c>
      <c r="AD30" s="433" t="s">
        <v>107</v>
      </c>
      <c r="AF30" s="420">
        <f t="shared" si="5"/>
        <v>574.64457267103717</v>
      </c>
    </row>
    <row r="31" spans="1:32" ht="15" thickTop="1" x14ac:dyDescent="0.3"/>
  </sheetData>
  <mergeCells count="15">
    <mergeCell ref="A3:AB3"/>
    <mergeCell ref="H6:K6"/>
    <mergeCell ref="L6:L7"/>
    <mergeCell ref="M6:P6"/>
    <mergeCell ref="Q6:Q7"/>
    <mergeCell ref="R6:U6"/>
    <mergeCell ref="V6:V7"/>
    <mergeCell ref="X6:AA6"/>
    <mergeCell ref="AB6:AB7"/>
    <mergeCell ref="AD6:AD7"/>
    <mergeCell ref="AF6:AF7"/>
    <mergeCell ref="A6:A7"/>
    <mergeCell ref="B6:B7"/>
    <mergeCell ref="C6:F6"/>
    <mergeCell ref="G6:G7"/>
  </mergeCells>
  <pageMargins left="0.39370078740157483" right="0.39370078740157483" top="0.78740157480314965" bottom="0.59055118110236227" header="0.11811023622047245" footer="0.11811023622047245"/>
  <pageSetup paperSize="9" scale="83" fitToHeight="0" orientation="landscape" r:id="rId1"/>
  <headerFooter>
    <oddFooter>&amp;C&amp;9Страница 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42"/>
  <sheetViews>
    <sheetView zoomScale="115" zoomScaleNormal="11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5" sqref="C5:F5"/>
    </sheetView>
  </sheetViews>
  <sheetFormatPr defaultColWidth="9.109375" defaultRowHeight="13.2" x14ac:dyDescent="0.25"/>
  <cols>
    <col min="1" max="1" width="21.88671875" style="279" bestFit="1" customWidth="1"/>
    <col min="2" max="2" width="11.44140625" style="280" bestFit="1" customWidth="1"/>
    <col min="3" max="3" width="11.44140625" style="280" customWidth="1"/>
    <col min="4" max="4" width="9.44140625" style="280" customWidth="1"/>
    <col min="5" max="5" width="10" style="280" customWidth="1"/>
    <col min="6" max="6" width="9.6640625" style="280" customWidth="1"/>
    <col min="7" max="7" width="9.6640625" style="280" bestFit="1" customWidth="1"/>
    <col min="8" max="8" width="10.33203125" style="280" customWidth="1"/>
    <col min="9" max="9" width="9.109375" style="280" customWidth="1"/>
    <col min="10" max="10" width="9.6640625" style="280" bestFit="1" customWidth="1"/>
    <col min="11" max="11" width="10.5546875" style="280" customWidth="1"/>
    <col min="12" max="12" width="12.33203125" style="280" bestFit="1" customWidth="1"/>
    <col min="13" max="14" width="12.109375" style="280" customWidth="1"/>
    <col min="15" max="16" width="12.33203125" style="280" customWidth="1"/>
    <col min="17" max="17" width="7.33203125" style="280" bestFit="1" customWidth="1"/>
    <col min="18" max="18" width="7.44140625" style="280" customWidth="1"/>
    <col min="19" max="19" width="8.44140625" style="280" bestFit="1" customWidth="1"/>
    <col min="20" max="20" width="8.44140625" style="280" customWidth="1"/>
    <col min="21" max="21" width="8.33203125" style="280" customWidth="1"/>
    <col min="22" max="22" width="12.44140625" style="280" bestFit="1" customWidth="1"/>
    <col min="23" max="23" width="12.109375" style="280" customWidth="1"/>
    <col min="24" max="24" width="12.33203125" style="280" customWidth="1"/>
    <col min="25" max="25" width="11.5546875" style="280" customWidth="1"/>
    <col min="26" max="26" width="12.33203125" style="280" customWidth="1"/>
    <col min="27" max="27" width="7.33203125" style="280" bestFit="1" customWidth="1"/>
    <col min="28" max="28" width="7.33203125" style="280" customWidth="1"/>
    <col min="29" max="29" width="7.44140625" style="280" customWidth="1"/>
    <col min="30" max="30" width="7.33203125" style="280" bestFit="1" customWidth="1"/>
    <col min="31" max="16384" width="9.109375" style="280"/>
  </cols>
  <sheetData>
    <row r="1" spans="1:31" s="384" customFormat="1" ht="21.75" customHeight="1" x14ac:dyDescent="0.25">
      <c r="A1" s="383"/>
      <c r="J1" s="508" t="s">
        <v>389</v>
      </c>
      <c r="K1" s="508"/>
      <c r="T1" s="508" t="s">
        <v>389</v>
      </c>
      <c r="U1" s="508"/>
      <c r="AD1" s="508" t="s">
        <v>389</v>
      </c>
      <c r="AE1" s="508"/>
    </row>
    <row r="2" spans="1:31" s="279" customFormat="1" ht="31.5" customHeight="1" x14ac:dyDescent="0.25">
      <c r="B2" s="510" t="s">
        <v>469</v>
      </c>
      <c r="C2" s="510"/>
      <c r="D2" s="510"/>
      <c r="E2" s="510"/>
      <c r="F2" s="510"/>
      <c r="G2" s="510"/>
      <c r="H2" s="510"/>
      <c r="I2" s="510"/>
      <c r="J2" s="510"/>
      <c r="K2" s="510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3"/>
      <c r="AD2" s="373"/>
    </row>
    <row r="3" spans="1:31" s="279" customFormat="1" ht="13.8" thickBot="1" x14ac:dyDescent="0.3">
      <c r="K3" s="394" t="s">
        <v>192</v>
      </c>
      <c r="U3" s="394" t="s">
        <v>192</v>
      </c>
      <c r="Z3" s="381"/>
      <c r="AB3" s="381"/>
      <c r="AC3" s="381"/>
      <c r="AD3" s="381"/>
      <c r="AE3" s="394" t="s">
        <v>192</v>
      </c>
    </row>
    <row r="4" spans="1:31" s="370" customFormat="1" ht="13.5" customHeight="1" thickTop="1" x14ac:dyDescent="0.25">
      <c r="A4" s="498" t="s">
        <v>328</v>
      </c>
      <c r="B4" s="478" t="s">
        <v>443</v>
      </c>
      <c r="C4" s="478"/>
      <c r="D4" s="478"/>
      <c r="E4" s="478"/>
      <c r="F4" s="478"/>
      <c r="G4" s="478"/>
      <c r="H4" s="478"/>
      <c r="I4" s="478"/>
      <c r="J4" s="478"/>
      <c r="K4" s="478"/>
      <c r="L4" s="478" t="s">
        <v>329</v>
      </c>
      <c r="M4" s="478"/>
      <c r="N4" s="478"/>
      <c r="O4" s="478"/>
      <c r="P4" s="478"/>
      <c r="Q4" s="478"/>
      <c r="R4" s="478"/>
      <c r="S4" s="478"/>
      <c r="T4" s="478"/>
      <c r="U4" s="478"/>
      <c r="V4" s="478" t="s">
        <v>330</v>
      </c>
      <c r="W4" s="478"/>
      <c r="X4" s="478"/>
      <c r="Y4" s="478"/>
      <c r="Z4" s="478"/>
      <c r="AA4" s="478"/>
      <c r="AB4" s="478"/>
      <c r="AC4" s="478"/>
      <c r="AD4" s="509"/>
      <c r="AE4" s="479"/>
    </row>
    <row r="5" spans="1:31" s="370" customFormat="1" x14ac:dyDescent="0.25">
      <c r="A5" s="499"/>
      <c r="B5" s="474" t="s">
        <v>422</v>
      </c>
      <c r="C5" s="474" t="s">
        <v>8</v>
      </c>
      <c r="D5" s="474"/>
      <c r="E5" s="474"/>
      <c r="F5" s="474"/>
      <c r="G5" s="474" t="s">
        <v>438</v>
      </c>
      <c r="H5" s="474"/>
      <c r="I5" s="474"/>
      <c r="J5" s="474"/>
      <c r="K5" s="474"/>
      <c r="L5" s="474" t="s">
        <v>150</v>
      </c>
      <c r="M5" s="474"/>
      <c r="N5" s="474"/>
      <c r="O5" s="474"/>
      <c r="P5" s="474"/>
      <c r="Q5" s="474" t="s">
        <v>393</v>
      </c>
      <c r="R5" s="474"/>
      <c r="S5" s="474"/>
      <c r="T5" s="474"/>
      <c r="U5" s="474"/>
      <c r="V5" s="474" t="s">
        <v>150</v>
      </c>
      <c r="W5" s="474"/>
      <c r="X5" s="474"/>
      <c r="Y5" s="474"/>
      <c r="Z5" s="474"/>
      <c r="AA5" s="474" t="s">
        <v>393</v>
      </c>
      <c r="AB5" s="474"/>
      <c r="AC5" s="474"/>
      <c r="AD5" s="502"/>
      <c r="AE5" s="475"/>
    </row>
    <row r="6" spans="1:31" s="370" customFormat="1" ht="12.75" customHeight="1" x14ac:dyDescent="0.25">
      <c r="A6" s="499"/>
      <c r="B6" s="474"/>
      <c r="C6" s="474" t="s">
        <v>439</v>
      </c>
      <c r="D6" s="474" t="s">
        <v>331</v>
      </c>
      <c r="E6" s="502" t="s">
        <v>445</v>
      </c>
      <c r="F6" s="503"/>
      <c r="G6" s="474" t="s">
        <v>199</v>
      </c>
      <c r="H6" s="474" t="s">
        <v>8</v>
      </c>
      <c r="I6" s="474"/>
      <c r="J6" s="474"/>
      <c r="K6" s="474"/>
      <c r="L6" s="474" t="s">
        <v>199</v>
      </c>
      <c r="M6" s="474" t="s">
        <v>8</v>
      </c>
      <c r="N6" s="474"/>
      <c r="O6" s="474"/>
      <c r="P6" s="474"/>
      <c r="Q6" s="474" t="s">
        <v>199</v>
      </c>
      <c r="R6" s="474" t="s">
        <v>8</v>
      </c>
      <c r="S6" s="474"/>
      <c r="T6" s="474"/>
      <c r="U6" s="474"/>
      <c r="V6" s="474" t="s">
        <v>199</v>
      </c>
      <c r="W6" s="474" t="s">
        <v>8</v>
      </c>
      <c r="X6" s="474"/>
      <c r="Y6" s="474"/>
      <c r="Z6" s="474"/>
      <c r="AA6" s="474" t="s">
        <v>199</v>
      </c>
      <c r="AB6" s="474" t="s">
        <v>8</v>
      </c>
      <c r="AC6" s="474"/>
      <c r="AD6" s="502"/>
      <c r="AE6" s="475"/>
    </row>
    <row r="7" spans="1:31" s="370" customFormat="1" ht="12.75" customHeight="1" x14ac:dyDescent="0.25">
      <c r="A7" s="499"/>
      <c r="B7" s="474"/>
      <c r="C7" s="474"/>
      <c r="D7" s="474"/>
      <c r="E7" s="500" t="s">
        <v>442</v>
      </c>
      <c r="F7" s="474" t="s">
        <v>441</v>
      </c>
      <c r="G7" s="474"/>
      <c r="H7" s="474" t="s">
        <v>439</v>
      </c>
      <c r="I7" s="474" t="s">
        <v>331</v>
      </c>
      <c r="J7" s="502" t="s">
        <v>445</v>
      </c>
      <c r="K7" s="503"/>
      <c r="L7" s="474"/>
      <c r="M7" s="474" t="s">
        <v>439</v>
      </c>
      <c r="N7" s="474" t="s">
        <v>334</v>
      </c>
      <c r="O7" s="502" t="s">
        <v>445</v>
      </c>
      <c r="P7" s="503"/>
      <c r="Q7" s="474"/>
      <c r="R7" s="506" t="s">
        <v>444</v>
      </c>
      <c r="S7" s="506" t="s">
        <v>331</v>
      </c>
      <c r="T7" s="504" t="s">
        <v>445</v>
      </c>
      <c r="U7" s="505"/>
      <c r="V7" s="474"/>
      <c r="W7" s="474" t="s">
        <v>439</v>
      </c>
      <c r="X7" s="474" t="s">
        <v>334</v>
      </c>
      <c r="Y7" s="502" t="s">
        <v>445</v>
      </c>
      <c r="Z7" s="503"/>
      <c r="AA7" s="474"/>
      <c r="AB7" s="506" t="s">
        <v>444</v>
      </c>
      <c r="AC7" s="506" t="s">
        <v>331</v>
      </c>
      <c r="AD7" s="504" t="s">
        <v>445</v>
      </c>
      <c r="AE7" s="507"/>
    </row>
    <row r="8" spans="1:31" s="370" customFormat="1" ht="39.6" x14ac:dyDescent="0.25">
      <c r="A8" s="499"/>
      <c r="B8" s="474"/>
      <c r="C8" s="474"/>
      <c r="D8" s="474"/>
      <c r="E8" s="501"/>
      <c r="F8" s="474"/>
      <c r="G8" s="474"/>
      <c r="H8" s="474"/>
      <c r="I8" s="474"/>
      <c r="J8" s="367" t="s">
        <v>442</v>
      </c>
      <c r="K8" s="367" t="s">
        <v>441</v>
      </c>
      <c r="L8" s="474"/>
      <c r="M8" s="474"/>
      <c r="N8" s="474"/>
      <c r="O8" s="367" t="s">
        <v>442</v>
      </c>
      <c r="P8" s="367" t="s">
        <v>441</v>
      </c>
      <c r="Q8" s="474"/>
      <c r="R8" s="506"/>
      <c r="S8" s="506"/>
      <c r="T8" s="371" t="s">
        <v>442</v>
      </c>
      <c r="U8" s="371" t="s">
        <v>441</v>
      </c>
      <c r="V8" s="474"/>
      <c r="W8" s="474"/>
      <c r="X8" s="474"/>
      <c r="Y8" s="367" t="s">
        <v>442</v>
      </c>
      <c r="Z8" s="367" t="s">
        <v>441</v>
      </c>
      <c r="AA8" s="474"/>
      <c r="AB8" s="506"/>
      <c r="AC8" s="506"/>
      <c r="AD8" s="382" t="s">
        <v>442</v>
      </c>
      <c r="AE8" s="372" t="s">
        <v>441</v>
      </c>
    </row>
    <row r="9" spans="1:31" s="249" customFormat="1" ht="10.199999999999999" x14ac:dyDescent="0.25">
      <c r="A9" s="248">
        <v>1</v>
      </c>
      <c r="B9" s="246">
        <v>2</v>
      </c>
      <c r="C9" s="246">
        <v>3</v>
      </c>
      <c r="D9" s="246">
        <v>4</v>
      </c>
      <c r="E9" s="246">
        <v>5</v>
      </c>
      <c r="F9" s="246">
        <v>6</v>
      </c>
      <c r="G9" s="246">
        <v>7</v>
      </c>
      <c r="H9" s="246">
        <v>8</v>
      </c>
      <c r="I9" s="246">
        <v>9</v>
      </c>
      <c r="J9" s="246">
        <v>10</v>
      </c>
      <c r="K9" s="246">
        <v>11</v>
      </c>
      <c r="L9" s="246">
        <v>12</v>
      </c>
      <c r="M9" s="246">
        <v>13</v>
      </c>
      <c r="N9" s="246">
        <v>14</v>
      </c>
      <c r="O9" s="246">
        <v>15</v>
      </c>
      <c r="P9" s="246">
        <v>16</v>
      </c>
      <c r="Q9" s="246">
        <v>17</v>
      </c>
      <c r="R9" s="246">
        <v>18</v>
      </c>
      <c r="S9" s="246">
        <v>19</v>
      </c>
      <c r="T9" s="246">
        <v>20</v>
      </c>
      <c r="U9" s="246">
        <v>21</v>
      </c>
      <c r="V9" s="246">
        <v>22</v>
      </c>
      <c r="W9" s="246">
        <v>23</v>
      </c>
      <c r="X9" s="246">
        <v>24</v>
      </c>
      <c r="Y9" s="246">
        <v>25</v>
      </c>
      <c r="Z9" s="246">
        <v>26</v>
      </c>
      <c r="AA9" s="246">
        <v>27</v>
      </c>
      <c r="AB9" s="246">
        <v>28</v>
      </c>
      <c r="AC9" s="246">
        <v>29</v>
      </c>
      <c r="AD9" s="375">
        <v>30</v>
      </c>
      <c r="AE9" s="247">
        <v>31</v>
      </c>
    </row>
    <row r="10" spans="1:31" x14ac:dyDescent="0.25">
      <c r="A10" s="281" t="s">
        <v>163</v>
      </c>
      <c r="B10" s="282">
        <v>1540.1864499999999</v>
      </c>
      <c r="C10" s="282">
        <v>1350.46651</v>
      </c>
      <c r="D10" s="282">
        <v>189.71994000000001</v>
      </c>
      <c r="E10" s="282">
        <v>182.99994000000001</v>
      </c>
      <c r="F10" s="282">
        <v>6.72</v>
      </c>
      <c r="G10" s="282">
        <v>-479.81745999999998</v>
      </c>
      <c r="H10" s="282">
        <v>659.65863000000002</v>
      </c>
      <c r="I10" s="282">
        <v>-1139.4760899999999</v>
      </c>
      <c r="J10" s="282">
        <v>92.463530000000006</v>
      </c>
      <c r="K10" s="282">
        <v>-1231.9396199999999</v>
      </c>
      <c r="L10" s="282">
        <v>1151300.0489999999</v>
      </c>
      <c r="M10" s="282">
        <v>122979.22472</v>
      </c>
      <c r="N10" s="282">
        <v>1028320.8242799999</v>
      </c>
      <c r="O10" s="282">
        <v>116771.63628000001</v>
      </c>
      <c r="P10" s="282">
        <v>911549.18799999997</v>
      </c>
      <c r="Q10" s="282">
        <v>99.250224482631793</v>
      </c>
      <c r="R10" s="282">
        <v>93.421424155722406</v>
      </c>
      <c r="S10" s="282">
        <v>99.996363968369309</v>
      </c>
      <c r="T10" s="282">
        <v>99.967989263558621</v>
      </c>
      <c r="U10" s="282">
        <v>100</v>
      </c>
      <c r="V10" s="282">
        <v>1151479.8664600002</v>
      </c>
      <c r="W10" s="282">
        <v>122019.56608999999</v>
      </c>
      <c r="X10" s="282">
        <v>1029460.3003700001</v>
      </c>
      <c r="Y10" s="282">
        <v>116679.17275</v>
      </c>
      <c r="Z10" s="282">
        <v>912781.12762000004</v>
      </c>
      <c r="AA10" s="282">
        <v>99.111656430089397</v>
      </c>
      <c r="AB10" s="282">
        <v>92.359834426694462</v>
      </c>
      <c r="AC10" s="282">
        <v>99.977943658686073</v>
      </c>
      <c r="AD10" s="376">
        <v>99.81146946812072</v>
      </c>
      <c r="AE10" s="283">
        <v>99.999263793879663</v>
      </c>
    </row>
    <row r="11" spans="1:31" x14ac:dyDescent="0.25">
      <c r="A11" s="281" t="s">
        <v>164</v>
      </c>
      <c r="B11" s="282">
        <v>3671.0358299999998</v>
      </c>
      <c r="C11" s="282">
        <v>2798.6767300000001</v>
      </c>
      <c r="D11" s="282">
        <v>872.3590999999999</v>
      </c>
      <c r="E11" s="282">
        <v>123.74232000000001</v>
      </c>
      <c r="F11" s="282">
        <v>748.61677999999995</v>
      </c>
      <c r="G11" s="282">
        <v>485.2182399999997</v>
      </c>
      <c r="H11" s="282">
        <v>927.40905000000021</v>
      </c>
      <c r="I11" s="282">
        <v>-442.19081000000028</v>
      </c>
      <c r="J11" s="282">
        <v>-238.37524000000002</v>
      </c>
      <c r="K11" s="282">
        <v>-203.81557000000009</v>
      </c>
      <c r="L11" s="282">
        <v>490025.40365999995</v>
      </c>
      <c r="M11" s="282">
        <v>35283.913639999999</v>
      </c>
      <c r="N11" s="282">
        <v>454741.49001999997</v>
      </c>
      <c r="O11" s="282">
        <v>43094.820019999999</v>
      </c>
      <c r="P11" s="282">
        <v>411646.67</v>
      </c>
      <c r="Q11" s="282">
        <v>99.38119991778234</v>
      </c>
      <c r="R11" s="282">
        <v>92.79646311574588</v>
      </c>
      <c r="S11" s="282">
        <v>99.931400621167185</v>
      </c>
      <c r="T11" s="282">
        <v>99.280843884477221</v>
      </c>
      <c r="U11" s="282">
        <v>100</v>
      </c>
      <c r="V11" s="282">
        <v>489540.08542000002</v>
      </c>
      <c r="W11" s="282">
        <v>34356.504589999997</v>
      </c>
      <c r="X11" s="282">
        <v>455183.58082999999</v>
      </c>
      <c r="Y11" s="282">
        <v>43333.095260000002</v>
      </c>
      <c r="Z11" s="282">
        <v>411850.48557000002</v>
      </c>
      <c r="AA11" s="282">
        <v>98.645415353092744</v>
      </c>
      <c r="AB11" s="282">
        <v>86.119099218852355</v>
      </c>
      <c r="AC11" s="282">
        <v>99.74042383543582</v>
      </c>
      <c r="AD11" s="376">
        <v>99.003849097970843</v>
      </c>
      <c r="AE11" s="283">
        <v>99.818560734685036</v>
      </c>
    </row>
    <row r="12" spans="1:31" x14ac:dyDescent="0.25">
      <c r="A12" s="281" t="s">
        <v>165</v>
      </c>
      <c r="B12" s="282">
        <v>1149.4953800000001</v>
      </c>
      <c r="C12" s="282">
        <v>1015.9733</v>
      </c>
      <c r="D12" s="282">
        <v>133.52207999999999</v>
      </c>
      <c r="E12" s="282">
        <v>0</v>
      </c>
      <c r="F12" s="282">
        <v>133.52207999999999</v>
      </c>
      <c r="G12" s="282">
        <v>462.98289000000011</v>
      </c>
      <c r="H12" s="282">
        <v>350.52777000000003</v>
      </c>
      <c r="I12" s="282">
        <v>112.45511999999999</v>
      </c>
      <c r="J12" s="282">
        <v>0</v>
      </c>
      <c r="K12" s="282">
        <v>112.45511999999999</v>
      </c>
      <c r="L12" s="282">
        <v>355471.54377999995</v>
      </c>
      <c r="M12" s="282">
        <v>29864.14069</v>
      </c>
      <c r="N12" s="282">
        <v>325607.40308999998</v>
      </c>
      <c r="O12" s="282">
        <v>35561.228289999999</v>
      </c>
      <c r="P12" s="282">
        <v>290046.17479999998</v>
      </c>
      <c r="Q12" s="282">
        <v>99.049267868097019</v>
      </c>
      <c r="R12" s="282">
        <v>90.702500605440278</v>
      </c>
      <c r="S12" s="282">
        <v>99.892383559227042</v>
      </c>
      <c r="T12" s="282">
        <v>99.023210976576365</v>
      </c>
      <c r="U12" s="282">
        <v>100</v>
      </c>
      <c r="V12" s="282">
        <v>355008.56088999996</v>
      </c>
      <c r="W12" s="282">
        <v>29513.61292</v>
      </c>
      <c r="X12" s="282">
        <v>325494.94796999998</v>
      </c>
      <c r="Y12" s="282">
        <v>35561.228289999999</v>
      </c>
      <c r="Z12" s="282">
        <v>289933.71967999998</v>
      </c>
      <c r="AA12" s="282">
        <v>98.914455019124432</v>
      </c>
      <c r="AB12" s="282">
        <v>89.637887844581741</v>
      </c>
      <c r="AC12" s="282">
        <v>99.851430214318384</v>
      </c>
      <c r="AD12" s="376">
        <v>99.023210976576365</v>
      </c>
      <c r="AE12" s="283">
        <v>99.953968576668672</v>
      </c>
    </row>
    <row r="13" spans="1:31" x14ac:dyDescent="0.25">
      <c r="A13" s="281" t="s">
        <v>166</v>
      </c>
      <c r="B13" s="282">
        <v>1524.6218799999999</v>
      </c>
      <c r="C13" s="282">
        <v>1489.06954</v>
      </c>
      <c r="D13" s="282">
        <v>35.552340000000001</v>
      </c>
      <c r="E13" s="282">
        <v>1.3342799999999999</v>
      </c>
      <c r="F13" s="282">
        <v>34.218060000000001</v>
      </c>
      <c r="G13" s="282">
        <v>-3021.2012700000005</v>
      </c>
      <c r="H13" s="282">
        <v>148.69569000000001</v>
      </c>
      <c r="I13" s="282">
        <v>-3169.89696</v>
      </c>
      <c r="J13" s="282">
        <v>1.3342799999999999</v>
      </c>
      <c r="K13" s="282">
        <v>-3171.2312400000001</v>
      </c>
      <c r="L13" s="282">
        <v>445989.29813999997</v>
      </c>
      <c r="M13" s="282">
        <v>29164.043310000001</v>
      </c>
      <c r="N13" s="282">
        <v>416825.25482999999</v>
      </c>
      <c r="O13" s="282">
        <v>38659.892619999999</v>
      </c>
      <c r="P13" s="282">
        <v>378165.36220999999</v>
      </c>
      <c r="Q13" s="282">
        <v>98.134921131403985</v>
      </c>
      <c r="R13" s="282">
        <v>94.660675021395349</v>
      </c>
      <c r="S13" s="282">
        <v>98.387574414991903</v>
      </c>
      <c r="T13" s="282">
        <v>98.888518156811131</v>
      </c>
      <c r="U13" s="282">
        <v>98.336648670616498</v>
      </c>
      <c r="V13" s="282">
        <v>449010.49940999999</v>
      </c>
      <c r="W13" s="282">
        <v>29015.34762</v>
      </c>
      <c r="X13" s="282">
        <v>419995.15178999997</v>
      </c>
      <c r="Y13" s="282">
        <v>38658.558340000003</v>
      </c>
      <c r="Z13" s="282">
        <v>381336.59344999999</v>
      </c>
      <c r="AA13" s="282">
        <v>97.849646157057094</v>
      </c>
      <c r="AB13" s="282">
        <v>90.627217734126802</v>
      </c>
      <c r="AC13" s="282">
        <v>98.391353891816053</v>
      </c>
      <c r="AD13" s="376">
        <v>98.885105188924683</v>
      </c>
      <c r="AE13" s="283">
        <v>98.341574258004783</v>
      </c>
    </row>
    <row r="14" spans="1:31" x14ac:dyDescent="0.25">
      <c r="A14" s="281" t="s">
        <v>167</v>
      </c>
      <c r="B14" s="282">
        <v>2031.07438</v>
      </c>
      <c r="C14" s="282">
        <v>1801.75593</v>
      </c>
      <c r="D14" s="282">
        <v>229.31845000000001</v>
      </c>
      <c r="E14" s="282">
        <v>0</v>
      </c>
      <c r="F14" s="282">
        <v>229.31845000000001</v>
      </c>
      <c r="G14" s="282">
        <v>672.7480300000002</v>
      </c>
      <c r="H14" s="282">
        <v>544.91719000000012</v>
      </c>
      <c r="I14" s="282">
        <v>127.83084000000001</v>
      </c>
      <c r="J14" s="282">
        <v>0</v>
      </c>
      <c r="K14" s="282">
        <v>127.83084000000001</v>
      </c>
      <c r="L14" s="282">
        <v>469110.28431000002</v>
      </c>
      <c r="M14" s="282">
        <v>36212.106549999997</v>
      </c>
      <c r="N14" s="282">
        <v>432898.17775999999</v>
      </c>
      <c r="O14" s="282">
        <v>26975.987710000001</v>
      </c>
      <c r="P14" s="282">
        <v>405922.19004999998</v>
      </c>
      <c r="Q14" s="282">
        <v>99.627231446220065</v>
      </c>
      <c r="R14" s="282">
        <v>96.228235550454372</v>
      </c>
      <c r="S14" s="282">
        <v>99.922474255347865</v>
      </c>
      <c r="T14" s="282">
        <v>98.770248625541683</v>
      </c>
      <c r="U14" s="282">
        <v>100</v>
      </c>
      <c r="V14" s="282">
        <v>468437.53628000006</v>
      </c>
      <c r="W14" s="282">
        <v>35667.189359999997</v>
      </c>
      <c r="X14" s="282">
        <v>432770.34692000004</v>
      </c>
      <c r="Y14" s="282">
        <v>26975.987710000001</v>
      </c>
      <c r="Z14" s="282">
        <v>405794.35921000002</v>
      </c>
      <c r="AA14" s="282">
        <v>99.198195308023244</v>
      </c>
      <c r="AB14" s="282">
        <v>91.716980975764258</v>
      </c>
      <c r="AC14" s="282">
        <v>99.869573038308474</v>
      </c>
      <c r="AD14" s="376">
        <v>98.770248625541683</v>
      </c>
      <c r="AE14" s="283">
        <v>99.943520916976681</v>
      </c>
    </row>
    <row r="15" spans="1:31" x14ac:dyDescent="0.25">
      <c r="A15" s="281" t="s">
        <v>168</v>
      </c>
      <c r="B15" s="282">
        <v>1636.1084900000001</v>
      </c>
      <c r="C15" s="282">
        <v>1437.73849</v>
      </c>
      <c r="D15" s="282">
        <v>198.37</v>
      </c>
      <c r="E15" s="282">
        <v>198.37</v>
      </c>
      <c r="F15" s="282">
        <v>0</v>
      </c>
      <c r="G15" s="282">
        <v>804.3119200000001</v>
      </c>
      <c r="H15" s="282">
        <v>905.39991999999995</v>
      </c>
      <c r="I15" s="282">
        <v>-101.08800000000002</v>
      </c>
      <c r="J15" s="282">
        <v>-101.08800000000002</v>
      </c>
      <c r="K15" s="282">
        <v>0</v>
      </c>
      <c r="L15" s="282">
        <v>608399.31030999997</v>
      </c>
      <c r="M15" s="282">
        <v>46527.91545</v>
      </c>
      <c r="N15" s="282">
        <v>561871.39486</v>
      </c>
      <c r="O15" s="282">
        <v>46840.402370000003</v>
      </c>
      <c r="P15" s="282">
        <v>515030.99248999998</v>
      </c>
      <c r="Q15" s="282">
        <v>99.696179582692224</v>
      </c>
      <c r="R15" s="282">
        <v>98.551553595181346</v>
      </c>
      <c r="S15" s="282">
        <v>99.792157918198896</v>
      </c>
      <c r="T15" s="282">
        <v>100</v>
      </c>
      <c r="U15" s="282">
        <v>99.773298205791548</v>
      </c>
      <c r="V15" s="282">
        <v>607530.14139</v>
      </c>
      <c r="W15" s="282">
        <v>45622.515529999997</v>
      </c>
      <c r="X15" s="282">
        <v>561907.62586000003</v>
      </c>
      <c r="Y15" s="282">
        <v>46876.633370000003</v>
      </c>
      <c r="Z15" s="282">
        <v>515030.99248999998</v>
      </c>
      <c r="AA15" s="282">
        <v>99.504923883953694</v>
      </c>
      <c r="AB15" s="282">
        <v>96.633810926549643</v>
      </c>
      <c r="AC15" s="282">
        <v>99.745542358855602</v>
      </c>
      <c r="AD15" s="376">
        <v>99.441604200916302</v>
      </c>
      <c r="AE15" s="283">
        <v>99.773298205791548</v>
      </c>
    </row>
    <row r="16" spans="1:31" x14ac:dyDescent="0.25">
      <c r="A16" s="281" t="s">
        <v>169</v>
      </c>
      <c r="B16" s="282">
        <v>4642.2596300000005</v>
      </c>
      <c r="C16" s="282">
        <v>4558.8390300000001</v>
      </c>
      <c r="D16" s="282">
        <v>83.420599999999993</v>
      </c>
      <c r="E16" s="282">
        <v>0</v>
      </c>
      <c r="F16" s="282">
        <v>83.420599999999993</v>
      </c>
      <c r="G16" s="282">
        <v>3395.4958000000006</v>
      </c>
      <c r="H16" s="282">
        <v>3365.9319800000003</v>
      </c>
      <c r="I16" s="282">
        <v>29.563819999999993</v>
      </c>
      <c r="J16" s="282">
        <v>0</v>
      </c>
      <c r="K16" s="282">
        <v>29.563819999999993</v>
      </c>
      <c r="L16" s="282">
        <v>472371.32352999999</v>
      </c>
      <c r="M16" s="282">
        <v>45777.144789999998</v>
      </c>
      <c r="N16" s="282">
        <v>426594.17874</v>
      </c>
      <c r="O16" s="282">
        <v>29151.948339999999</v>
      </c>
      <c r="P16" s="282">
        <v>397442.2304</v>
      </c>
      <c r="Q16" s="282">
        <v>99.365035532986596</v>
      </c>
      <c r="R16" s="282">
        <v>95.545192313081245</v>
      </c>
      <c r="S16" s="282">
        <v>99.793161190778804</v>
      </c>
      <c r="T16" s="282">
        <v>98.704664651253921</v>
      </c>
      <c r="U16" s="282">
        <v>99.873947015547614</v>
      </c>
      <c r="V16" s="282">
        <v>469220.72989000002</v>
      </c>
      <c r="W16" s="282">
        <v>42543.196360000002</v>
      </c>
      <c r="X16" s="282">
        <v>426677.53353000002</v>
      </c>
      <c r="Y16" s="282">
        <v>29151.948339999999</v>
      </c>
      <c r="Z16" s="282">
        <v>397525.58519000001</v>
      </c>
      <c r="AA16" s="282">
        <v>98.39355988739851</v>
      </c>
      <c r="AB16" s="282">
        <v>86.405983096606946</v>
      </c>
      <c r="AC16" s="282">
        <v>99.773734887292775</v>
      </c>
      <c r="AD16" s="376">
        <v>98.704664651253921</v>
      </c>
      <c r="AE16" s="283">
        <v>99.853045695855982</v>
      </c>
    </row>
    <row r="17" spans="1:31" x14ac:dyDescent="0.25">
      <c r="A17" s="281" t="s">
        <v>170</v>
      </c>
      <c r="B17" s="282">
        <v>1359.3459499999999</v>
      </c>
      <c r="C17" s="282">
        <v>1359.3459499999999</v>
      </c>
      <c r="D17" s="282">
        <v>0</v>
      </c>
      <c r="E17" s="282">
        <v>0</v>
      </c>
      <c r="F17" s="282">
        <v>0</v>
      </c>
      <c r="G17" s="282">
        <v>-195.33794000000012</v>
      </c>
      <c r="H17" s="282">
        <v>-195.33794000000012</v>
      </c>
      <c r="I17" s="282">
        <v>0</v>
      </c>
      <c r="J17" s="282">
        <v>0</v>
      </c>
      <c r="K17" s="282">
        <v>0</v>
      </c>
      <c r="L17" s="282">
        <v>436592.11882000003</v>
      </c>
      <c r="M17" s="282">
        <v>37922.537060000002</v>
      </c>
      <c r="N17" s="282">
        <v>398669.58176000003</v>
      </c>
      <c r="O17" s="282">
        <v>33493.891199999998</v>
      </c>
      <c r="P17" s="282">
        <v>365175.69056000002</v>
      </c>
      <c r="Q17" s="282">
        <v>98.918567206037395</v>
      </c>
      <c r="R17" s="282">
        <v>99.88698285890635</v>
      </c>
      <c r="S17" s="282">
        <v>98.827426020513769</v>
      </c>
      <c r="T17" s="282">
        <v>96.906211692868382</v>
      </c>
      <c r="U17" s="282">
        <v>99.007460574893955</v>
      </c>
      <c r="V17" s="282">
        <v>436787.45676000003</v>
      </c>
      <c r="W17" s="282">
        <v>38117.875</v>
      </c>
      <c r="X17" s="282">
        <v>398669.58176000003</v>
      </c>
      <c r="Y17" s="282">
        <v>33493.891199999998</v>
      </c>
      <c r="Z17" s="282">
        <v>365175.69056000002</v>
      </c>
      <c r="AA17" s="282">
        <v>98.615457506575723</v>
      </c>
      <c r="AB17" s="282">
        <v>96.451799459120238</v>
      </c>
      <c r="AC17" s="282">
        <v>98.827426020513769</v>
      </c>
      <c r="AD17" s="376">
        <v>96.906211692868382</v>
      </c>
      <c r="AE17" s="283">
        <v>99.007460574893955</v>
      </c>
    </row>
    <row r="18" spans="1:31" x14ac:dyDescent="0.25">
      <c r="A18" s="281" t="s">
        <v>171</v>
      </c>
      <c r="B18" s="282">
        <v>1297.10969</v>
      </c>
      <c r="C18" s="282">
        <v>1296.8846900000001</v>
      </c>
      <c r="D18" s="282">
        <v>0.22500000000000001</v>
      </c>
      <c r="E18" s="282">
        <v>0</v>
      </c>
      <c r="F18" s="282">
        <v>0.22500000000000001</v>
      </c>
      <c r="G18" s="282">
        <v>617.51851999999997</v>
      </c>
      <c r="H18" s="282">
        <v>765.81203000000005</v>
      </c>
      <c r="I18" s="282">
        <v>-148.29351</v>
      </c>
      <c r="J18" s="282">
        <v>0</v>
      </c>
      <c r="K18" s="282">
        <v>-148.29351</v>
      </c>
      <c r="L18" s="282">
        <v>442924.41740999999</v>
      </c>
      <c r="M18" s="282">
        <v>21400.808000000001</v>
      </c>
      <c r="N18" s="282">
        <v>421523.60940999998</v>
      </c>
      <c r="O18" s="282">
        <v>41326.640639999998</v>
      </c>
      <c r="P18" s="282">
        <v>380196.96876999998</v>
      </c>
      <c r="Q18" s="282">
        <v>99.627236291501248</v>
      </c>
      <c r="R18" s="282">
        <v>95.974599184294874</v>
      </c>
      <c r="S18" s="282">
        <v>99.82011155704329</v>
      </c>
      <c r="T18" s="282">
        <v>99.434563793854892</v>
      </c>
      <c r="U18" s="282">
        <v>99.862200052230108</v>
      </c>
      <c r="V18" s="282">
        <v>442306.89889000001</v>
      </c>
      <c r="W18" s="282">
        <v>20634.99597</v>
      </c>
      <c r="X18" s="282">
        <v>421671.90292000002</v>
      </c>
      <c r="Y18" s="282">
        <v>41326.640639999998</v>
      </c>
      <c r="Z18" s="282">
        <v>380345.26228000002</v>
      </c>
      <c r="AA18" s="282">
        <v>99.338627827469253</v>
      </c>
      <c r="AB18" s="282">
        <v>90.424541464608836</v>
      </c>
      <c r="AC18" s="282">
        <v>99.820174706420147</v>
      </c>
      <c r="AD18" s="376">
        <v>99.434563793854892</v>
      </c>
      <c r="AE18" s="283">
        <v>99.862253705296752</v>
      </c>
    </row>
    <row r="19" spans="1:31" x14ac:dyDescent="0.25">
      <c r="A19" s="281" t="s">
        <v>172</v>
      </c>
      <c r="B19" s="282">
        <v>3744.4973199999999</v>
      </c>
      <c r="C19" s="282">
        <v>67.997960000000006</v>
      </c>
      <c r="D19" s="282">
        <v>3676.4993599999998</v>
      </c>
      <c r="E19" s="282">
        <v>0</v>
      </c>
      <c r="F19" s="282">
        <v>3676.4993599999998</v>
      </c>
      <c r="G19" s="282">
        <v>-1292.8330000000001</v>
      </c>
      <c r="H19" s="282">
        <v>-37.43441</v>
      </c>
      <c r="I19" s="282">
        <v>-1255.3985899999998</v>
      </c>
      <c r="J19" s="282">
        <v>0</v>
      </c>
      <c r="K19" s="282">
        <v>-1255.3985899999998</v>
      </c>
      <c r="L19" s="282">
        <v>273122.46575999999</v>
      </c>
      <c r="M19" s="282">
        <v>12787.18453</v>
      </c>
      <c r="N19" s="282">
        <v>260335.28122999999</v>
      </c>
      <c r="O19" s="282">
        <v>23736.81798</v>
      </c>
      <c r="P19" s="282">
        <v>236598.46325</v>
      </c>
      <c r="Q19" s="282">
        <v>99.128408406078762</v>
      </c>
      <c r="R19" s="282">
        <v>91.08169114667318</v>
      </c>
      <c r="S19" s="282">
        <v>99.560440858832692</v>
      </c>
      <c r="T19" s="282">
        <v>98.302295366217564</v>
      </c>
      <c r="U19" s="282">
        <v>99.688444583562259</v>
      </c>
      <c r="V19" s="282">
        <v>274415.29875999998</v>
      </c>
      <c r="W19" s="282">
        <v>12824.61894</v>
      </c>
      <c r="X19" s="282">
        <v>261590.67981999999</v>
      </c>
      <c r="Y19" s="282">
        <v>23736.81798</v>
      </c>
      <c r="Z19" s="282">
        <v>237853.86184</v>
      </c>
      <c r="AA19" s="282">
        <v>97.810143501139549</v>
      </c>
      <c r="AB19" s="282">
        <v>90.680885152400776</v>
      </c>
      <c r="AC19" s="282">
        <v>98.188596418426727</v>
      </c>
      <c r="AD19" s="376">
        <v>98.302295366217564</v>
      </c>
      <c r="AE19" s="283">
        <v>98.177264172127906</v>
      </c>
    </row>
    <row r="20" spans="1:31" x14ac:dyDescent="0.25">
      <c r="A20" s="281" t="s">
        <v>173</v>
      </c>
      <c r="B20" s="282">
        <v>402.72125</v>
      </c>
      <c r="C20" s="282">
        <v>394.77940000000001</v>
      </c>
      <c r="D20" s="282">
        <v>7.9418499999999996</v>
      </c>
      <c r="E20" s="282">
        <v>7.9418499999999996</v>
      </c>
      <c r="F20" s="282">
        <v>0</v>
      </c>
      <c r="G20" s="282">
        <v>34.359320000000025</v>
      </c>
      <c r="H20" s="282">
        <v>248.71379000000002</v>
      </c>
      <c r="I20" s="282">
        <v>-214.35446999999999</v>
      </c>
      <c r="J20" s="282">
        <v>-34.024519999999995</v>
      </c>
      <c r="K20" s="282">
        <v>-180.32995</v>
      </c>
      <c r="L20" s="282">
        <v>380154.51603999996</v>
      </c>
      <c r="M20" s="282">
        <v>22490.65595</v>
      </c>
      <c r="N20" s="282">
        <v>357663.86008999997</v>
      </c>
      <c r="O20" s="282">
        <v>39351.53961</v>
      </c>
      <c r="P20" s="282">
        <v>318312.32047999999</v>
      </c>
      <c r="Q20" s="282">
        <v>99.582677393906607</v>
      </c>
      <c r="R20" s="282">
        <v>98.892785921477454</v>
      </c>
      <c r="S20" s="282">
        <v>99.626381031126002</v>
      </c>
      <c r="T20" s="282">
        <v>97.801807285958176</v>
      </c>
      <c r="U20" s="282">
        <v>99.856684225664566</v>
      </c>
      <c r="V20" s="282">
        <v>379939.82676999999</v>
      </c>
      <c r="W20" s="282">
        <v>22241.942159999999</v>
      </c>
      <c r="X20" s="282">
        <v>357697.88461000001</v>
      </c>
      <c r="Y20" s="282">
        <v>39385.564129999999</v>
      </c>
      <c r="Z20" s="282">
        <v>318312.32047999999</v>
      </c>
      <c r="AA20" s="282">
        <v>99.485220063751001</v>
      </c>
      <c r="AB20" s="282">
        <v>97.302024352444931</v>
      </c>
      <c r="AC20" s="282">
        <v>99.624212776638004</v>
      </c>
      <c r="AD20" s="376">
        <v>97.784380021983665</v>
      </c>
      <c r="AE20" s="283">
        <v>99.856684225664566</v>
      </c>
    </row>
    <row r="21" spans="1:31" x14ac:dyDescent="0.25">
      <c r="A21" s="281" t="s">
        <v>174</v>
      </c>
      <c r="B21" s="282">
        <v>1252.45146</v>
      </c>
      <c r="C21" s="282">
        <v>1202.45146</v>
      </c>
      <c r="D21" s="282">
        <v>50</v>
      </c>
      <c r="E21" s="282">
        <v>50</v>
      </c>
      <c r="F21" s="282">
        <v>0</v>
      </c>
      <c r="G21" s="282">
        <v>514.54012</v>
      </c>
      <c r="H21" s="282">
        <v>464.54012</v>
      </c>
      <c r="I21" s="282">
        <v>50</v>
      </c>
      <c r="J21" s="282">
        <v>50</v>
      </c>
      <c r="K21" s="282">
        <v>0</v>
      </c>
      <c r="L21" s="282">
        <v>592667.98850000009</v>
      </c>
      <c r="M21" s="282">
        <v>51088.349549999999</v>
      </c>
      <c r="N21" s="282">
        <v>541579.63895000005</v>
      </c>
      <c r="O21" s="282">
        <v>37859.836949999997</v>
      </c>
      <c r="P21" s="282">
        <v>503719.80200000003</v>
      </c>
      <c r="Q21" s="282">
        <v>99.848904917215748</v>
      </c>
      <c r="R21" s="282">
        <v>98.278793749028324</v>
      </c>
      <c r="S21" s="282">
        <v>99.999610186273898</v>
      </c>
      <c r="T21" s="282">
        <v>99.994424058704354</v>
      </c>
      <c r="U21" s="282">
        <v>100.00000000000001</v>
      </c>
      <c r="V21" s="282">
        <v>592153.44838000007</v>
      </c>
      <c r="W21" s="282">
        <v>50623.809430000001</v>
      </c>
      <c r="X21" s="282">
        <v>541529.63895000005</v>
      </c>
      <c r="Y21" s="282">
        <v>37809.836949999997</v>
      </c>
      <c r="Z21" s="282">
        <v>503719.80200000003</v>
      </c>
      <c r="AA21" s="282">
        <v>99.640104505189356</v>
      </c>
      <c r="AB21" s="282">
        <v>96.041170514967135</v>
      </c>
      <c r="AC21" s="282">
        <v>99.990377969717514</v>
      </c>
      <c r="AD21" s="376">
        <v>99.862365349377683</v>
      </c>
      <c r="AE21" s="283">
        <v>100.00000000000001</v>
      </c>
    </row>
    <row r="22" spans="1:31" x14ac:dyDescent="0.25">
      <c r="A22" s="281" t="s">
        <v>175</v>
      </c>
      <c r="B22" s="282">
        <v>7364.4783900000002</v>
      </c>
      <c r="C22" s="282">
        <v>286.91487999999998</v>
      </c>
      <c r="D22" s="282">
        <v>7077.56351</v>
      </c>
      <c r="E22" s="282">
        <v>374.58438999999998</v>
      </c>
      <c r="F22" s="282">
        <v>6702.97912</v>
      </c>
      <c r="G22" s="282">
        <v>-4410.3887299999988</v>
      </c>
      <c r="H22" s="282">
        <v>-249.07101000000006</v>
      </c>
      <c r="I22" s="282">
        <v>-4161.3177199999991</v>
      </c>
      <c r="J22" s="282">
        <v>12.619069999999965</v>
      </c>
      <c r="K22" s="282">
        <v>-4173.9367899999997</v>
      </c>
      <c r="L22" s="282">
        <v>667102.64214999997</v>
      </c>
      <c r="M22" s="282">
        <v>56910.850480000001</v>
      </c>
      <c r="N22" s="282">
        <v>610191.79166999995</v>
      </c>
      <c r="O22" s="282">
        <v>62481.080690000003</v>
      </c>
      <c r="P22" s="282">
        <v>547710.71097999997</v>
      </c>
      <c r="Q22" s="282">
        <v>99.895231437281069</v>
      </c>
      <c r="R22" s="282">
        <v>99.930230952945394</v>
      </c>
      <c r="S22" s="282">
        <v>99.891968382018646</v>
      </c>
      <c r="T22" s="282">
        <v>99.227708475522022</v>
      </c>
      <c r="U22" s="282">
        <v>99.968310592259968</v>
      </c>
      <c r="V22" s="282">
        <v>671043.01423999993</v>
      </c>
      <c r="W22" s="282">
        <v>57159.921490000001</v>
      </c>
      <c r="X22" s="282">
        <v>613883.09274999995</v>
      </c>
      <c r="Y22" s="282">
        <v>62468.461620000002</v>
      </c>
      <c r="Z22" s="282">
        <v>551414.63112999999</v>
      </c>
      <c r="AA22" s="282">
        <v>98.744198239593644</v>
      </c>
      <c r="AB22" s="282">
        <v>99.431782486623476</v>
      </c>
      <c r="AC22" s="282">
        <v>98.680659486529649</v>
      </c>
      <c r="AD22" s="376">
        <v>98.640636233693101</v>
      </c>
      <c r="AE22" s="283">
        <v>98.685195674575155</v>
      </c>
    </row>
    <row r="23" spans="1:31" x14ac:dyDescent="0.25">
      <c r="A23" s="281" t="s">
        <v>176</v>
      </c>
      <c r="B23" s="282">
        <v>3537.72703</v>
      </c>
      <c r="C23" s="282">
        <v>1896.9963</v>
      </c>
      <c r="D23" s="282">
        <v>1640.7307300000002</v>
      </c>
      <c r="E23" s="282">
        <v>817.71999000000005</v>
      </c>
      <c r="F23" s="282">
        <v>823.01074000000006</v>
      </c>
      <c r="G23" s="282">
        <v>-6332.2372199999991</v>
      </c>
      <c r="H23" s="282">
        <v>-1878.6182000000001</v>
      </c>
      <c r="I23" s="282">
        <v>-4453.6190199999992</v>
      </c>
      <c r="J23" s="282">
        <v>-1094.5561599999999</v>
      </c>
      <c r="K23" s="282">
        <v>-3359.0628599999995</v>
      </c>
      <c r="L23" s="282">
        <v>894764.53668999998</v>
      </c>
      <c r="M23" s="282">
        <v>45821.970809999999</v>
      </c>
      <c r="N23" s="282">
        <v>848942.56588000001</v>
      </c>
      <c r="O23" s="282">
        <v>71918.112250000006</v>
      </c>
      <c r="P23" s="282">
        <v>777024.45363</v>
      </c>
      <c r="Q23" s="282">
        <v>99.689238573954</v>
      </c>
      <c r="R23" s="186">
        <v>100.12417194802126</v>
      </c>
      <c r="S23" s="282">
        <v>99.66587034952326</v>
      </c>
      <c r="T23" s="282">
        <v>98.177182181790286</v>
      </c>
      <c r="U23" s="282">
        <v>99.805942942481934</v>
      </c>
      <c r="V23" s="282">
        <v>901096.77390999999</v>
      </c>
      <c r="W23" s="282">
        <v>47700.589010000003</v>
      </c>
      <c r="X23" s="282">
        <v>853396.18489999999</v>
      </c>
      <c r="Y23" s="282">
        <v>73012.668409999998</v>
      </c>
      <c r="Z23" s="282">
        <v>780383.51648999995</v>
      </c>
      <c r="AA23" s="282">
        <v>99.318596351505363</v>
      </c>
      <c r="AB23" s="282">
        <v>96.56769235495274</v>
      </c>
      <c r="AC23" s="282">
        <v>99.476990547531656</v>
      </c>
      <c r="AD23" s="376">
        <v>97.135665835420681</v>
      </c>
      <c r="AE23" s="283">
        <v>99.701831905206816</v>
      </c>
    </row>
    <row r="24" spans="1:31" x14ac:dyDescent="0.25">
      <c r="A24" s="281" t="s">
        <v>177</v>
      </c>
      <c r="B24" s="282">
        <v>26244.512980000003</v>
      </c>
      <c r="C24" s="282">
        <v>1901.1691499999999</v>
      </c>
      <c r="D24" s="282">
        <v>24343.343830000002</v>
      </c>
      <c r="E24" s="282">
        <v>0</v>
      </c>
      <c r="F24" s="282">
        <v>24343.343830000002</v>
      </c>
      <c r="G24" s="282">
        <v>-11593.120800000001</v>
      </c>
      <c r="H24" s="282">
        <v>696.99557000000004</v>
      </c>
      <c r="I24" s="282">
        <v>-12290.11637</v>
      </c>
      <c r="J24" s="282">
        <v>0</v>
      </c>
      <c r="K24" s="282">
        <v>-12290.11637</v>
      </c>
      <c r="L24" s="282">
        <v>868124.84189000004</v>
      </c>
      <c r="M24" s="282">
        <v>79516.152889999998</v>
      </c>
      <c r="N24" s="282">
        <v>788608.68900000001</v>
      </c>
      <c r="O24" s="282">
        <v>67051.424530000004</v>
      </c>
      <c r="P24" s="282">
        <v>721557.26447000005</v>
      </c>
      <c r="Q24" s="282">
        <v>95.792209869455689</v>
      </c>
      <c r="R24" s="282">
        <v>98.505794166915109</v>
      </c>
      <c r="S24" s="282">
        <v>95.526870987093844</v>
      </c>
      <c r="T24" s="282">
        <v>100</v>
      </c>
      <c r="U24" s="282">
        <v>95.131438185058087</v>
      </c>
      <c r="V24" s="282">
        <v>879717.96268999996</v>
      </c>
      <c r="W24" s="282">
        <v>78819.157319999998</v>
      </c>
      <c r="X24" s="282">
        <v>800898.80536999996</v>
      </c>
      <c r="Y24" s="282">
        <v>67051.424530000004</v>
      </c>
      <c r="Z24" s="282">
        <v>733847.38084</v>
      </c>
      <c r="AA24" s="282">
        <v>97.071439085265013</v>
      </c>
      <c r="AB24" s="282">
        <v>97.642345676786931</v>
      </c>
      <c r="AC24" s="282">
        <v>97.01561486890688</v>
      </c>
      <c r="AD24" s="376">
        <v>100</v>
      </c>
      <c r="AE24" s="283">
        <v>96.751789754241727</v>
      </c>
    </row>
    <row r="25" spans="1:31" x14ac:dyDescent="0.25">
      <c r="A25" s="281" t="s">
        <v>178</v>
      </c>
      <c r="B25" s="282">
        <v>9028.4368200000008</v>
      </c>
      <c r="C25" s="282">
        <v>1032.14644</v>
      </c>
      <c r="D25" s="282">
        <v>7996.2903800000004</v>
      </c>
      <c r="E25" s="282">
        <v>6292.5611900000004</v>
      </c>
      <c r="F25" s="282">
        <v>1351.8191899999999</v>
      </c>
      <c r="G25" s="282">
        <v>101.12562000000071</v>
      </c>
      <c r="H25" s="282">
        <v>-1092.4792200000002</v>
      </c>
      <c r="I25" s="282">
        <v>1193.60484</v>
      </c>
      <c r="J25" s="282">
        <v>2014.3202300000003</v>
      </c>
      <c r="K25" s="282">
        <v>-1172.6253899999999</v>
      </c>
      <c r="L25" s="282">
        <v>737292.88291999989</v>
      </c>
      <c r="M25" s="282">
        <v>49640.81985</v>
      </c>
      <c r="N25" s="282">
        <v>687652.06306999992</v>
      </c>
      <c r="O25" s="282">
        <v>84213.163990000001</v>
      </c>
      <c r="P25" s="282">
        <v>602058.47485999996</v>
      </c>
      <c r="Q25" s="282">
        <v>99.945631067603173</v>
      </c>
      <c r="R25" s="282">
        <v>99.253737132103964</v>
      </c>
      <c r="S25" s="282">
        <v>99.995951604827212</v>
      </c>
      <c r="T25" s="282">
        <v>99.992038695760982</v>
      </c>
      <c r="U25" s="282">
        <v>99.996489666872307</v>
      </c>
      <c r="V25" s="282">
        <v>737768.90397999994</v>
      </c>
      <c r="W25" s="282">
        <v>51055.780650000001</v>
      </c>
      <c r="X25" s="282">
        <v>686713.12332999997</v>
      </c>
      <c r="Y25" s="282">
        <v>82194.421759999997</v>
      </c>
      <c r="Z25" s="282">
        <v>603490.18735000002</v>
      </c>
      <c r="AA25" s="282">
        <v>98.813714790742793</v>
      </c>
      <c r="AB25" s="282">
        <v>97.94108848220182</v>
      </c>
      <c r="AC25" s="282">
        <v>98.879214286516827</v>
      </c>
      <c r="AD25" s="376">
        <v>92.877036364322933</v>
      </c>
      <c r="AE25" s="283">
        <v>99.813398940861035</v>
      </c>
    </row>
    <row r="26" spans="1:31" x14ac:dyDescent="0.25">
      <c r="A26" s="281" t="s">
        <v>179</v>
      </c>
      <c r="B26" s="282">
        <v>2872.2296100000003</v>
      </c>
      <c r="C26" s="282">
        <v>1162.6793600000001</v>
      </c>
      <c r="D26" s="282">
        <v>1709.55025</v>
      </c>
      <c r="E26" s="282">
        <v>1709.55025</v>
      </c>
      <c r="F26" s="282">
        <v>0</v>
      </c>
      <c r="G26" s="282">
        <v>-460.68083999999953</v>
      </c>
      <c r="H26" s="282">
        <v>159.86639000000014</v>
      </c>
      <c r="I26" s="282">
        <v>-620.5472299999999</v>
      </c>
      <c r="J26" s="282">
        <v>-273.31195000000002</v>
      </c>
      <c r="K26" s="282">
        <v>-347.23527999999999</v>
      </c>
      <c r="L26" s="282">
        <v>918004.27772000001</v>
      </c>
      <c r="M26" s="282">
        <v>72960.510399999999</v>
      </c>
      <c r="N26" s="282">
        <v>845043.76731999998</v>
      </c>
      <c r="O26" s="282">
        <v>77269.832349999997</v>
      </c>
      <c r="P26" s="282">
        <v>767773.93496999994</v>
      </c>
      <c r="Q26" s="282">
        <v>99.491910619070836</v>
      </c>
      <c r="R26" s="282">
        <v>93.962413679912714</v>
      </c>
      <c r="S26" s="282">
        <v>100</v>
      </c>
      <c r="T26" s="282">
        <v>100</v>
      </c>
      <c r="U26" s="282">
        <v>100</v>
      </c>
      <c r="V26" s="282">
        <v>918464.95856000006</v>
      </c>
      <c r="W26" s="282">
        <v>72800.644010000004</v>
      </c>
      <c r="X26" s="282">
        <v>845664.31455000001</v>
      </c>
      <c r="Y26" s="282">
        <v>77543.1443</v>
      </c>
      <c r="Z26" s="282">
        <v>768121.17024999997</v>
      </c>
      <c r="AA26" s="282">
        <v>99.257218743327968</v>
      </c>
      <c r="AB26" s="282">
        <v>93.376858009639761</v>
      </c>
      <c r="AC26" s="282">
        <v>99.798253129932974</v>
      </c>
      <c r="AD26" s="376">
        <v>97.84291214360988</v>
      </c>
      <c r="AE26" s="283">
        <v>100</v>
      </c>
    </row>
    <row r="27" spans="1:31" x14ac:dyDescent="0.25">
      <c r="A27" s="281" t="s">
        <v>180</v>
      </c>
      <c r="B27" s="282">
        <v>5898.3862499999996</v>
      </c>
      <c r="C27" s="282">
        <v>3898.38625</v>
      </c>
      <c r="D27" s="282">
        <v>2000</v>
      </c>
      <c r="E27" s="282">
        <v>2000</v>
      </c>
      <c r="F27" s="282">
        <v>0</v>
      </c>
      <c r="G27" s="282">
        <v>2053.1493299999997</v>
      </c>
      <c r="H27" s="282">
        <v>53.149330000000191</v>
      </c>
      <c r="I27" s="282">
        <v>2000</v>
      </c>
      <c r="J27" s="282">
        <v>2000</v>
      </c>
      <c r="K27" s="282">
        <v>0</v>
      </c>
      <c r="L27" s="282">
        <v>623417.97143999999</v>
      </c>
      <c r="M27" s="282">
        <v>33975.794840000002</v>
      </c>
      <c r="N27" s="282">
        <v>589442.17660000001</v>
      </c>
      <c r="O27" s="282">
        <v>49893.688750000001</v>
      </c>
      <c r="P27" s="282">
        <v>539548.48785000003</v>
      </c>
      <c r="Q27" s="282">
        <v>99.83573599551336</v>
      </c>
      <c r="R27" s="282">
        <v>97.069453225758721</v>
      </c>
      <c r="S27" s="282">
        <v>100</v>
      </c>
      <c r="T27" s="282">
        <v>100</v>
      </c>
      <c r="U27" s="282">
        <v>100</v>
      </c>
      <c r="V27" s="282">
        <v>621364.82211000007</v>
      </c>
      <c r="W27" s="282">
        <v>33922.645510000002</v>
      </c>
      <c r="X27" s="282">
        <v>587442.17660000001</v>
      </c>
      <c r="Y27" s="282">
        <v>47893.688750000001</v>
      </c>
      <c r="Z27" s="282">
        <v>539548.48785000003</v>
      </c>
      <c r="AA27" s="282">
        <v>99.506939451525753</v>
      </c>
      <c r="AB27" s="282">
        <v>96.91760463982537</v>
      </c>
      <c r="AC27" s="282">
        <v>99.66069614978413</v>
      </c>
      <c r="AD27" s="376">
        <v>95.99147697813784</v>
      </c>
      <c r="AE27" s="283">
        <v>100</v>
      </c>
    </row>
    <row r="28" spans="1:31" x14ac:dyDescent="0.25">
      <c r="A28" s="281" t="s">
        <v>181</v>
      </c>
      <c r="B28" s="282">
        <v>7644.2429599999996</v>
      </c>
      <c r="C28" s="282">
        <v>183.10617999999999</v>
      </c>
      <c r="D28" s="282">
        <v>7461.1367799999998</v>
      </c>
      <c r="E28" s="282">
        <v>656.51311999999996</v>
      </c>
      <c r="F28" s="282">
        <v>6804.6236600000002</v>
      </c>
      <c r="G28" s="282">
        <v>-5829.8290100000013</v>
      </c>
      <c r="H28" s="282">
        <v>151.26411999999999</v>
      </c>
      <c r="I28" s="282">
        <v>-5981.0931300000002</v>
      </c>
      <c r="J28" s="282">
        <v>-367.95150999999998</v>
      </c>
      <c r="K28" s="282">
        <v>-5613.1416199999994</v>
      </c>
      <c r="L28" s="282">
        <v>330483.19915999996</v>
      </c>
      <c r="M28" s="282">
        <v>21242.487229999999</v>
      </c>
      <c r="N28" s="282">
        <v>309240.71192999999</v>
      </c>
      <c r="O28" s="282">
        <v>15307.04213</v>
      </c>
      <c r="P28" s="282">
        <v>293933.66979999997</v>
      </c>
      <c r="Q28" s="282">
        <v>99.947997721684473</v>
      </c>
      <c r="R28" s="282">
        <v>99.876145793950229</v>
      </c>
      <c r="S28" s="282">
        <v>99.95293719805214</v>
      </c>
      <c r="T28" s="282">
        <v>99.057728681841454</v>
      </c>
      <c r="U28" s="282">
        <v>100</v>
      </c>
      <c r="V28" s="282">
        <v>336303.41767</v>
      </c>
      <c r="W28" s="282">
        <v>21091.223109999999</v>
      </c>
      <c r="X28" s="282">
        <v>315212.19455999997</v>
      </c>
      <c r="Y28" s="282">
        <v>15665.38314</v>
      </c>
      <c r="Z28" s="282">
        <v>299546.81141999998</v>
      </c>
      <c r="AA28" s="282">
        <v>97.725911887107699</v>
      </c>
      <c r="AB28" s="282">
        <v>99.016704620219528</v>
      </c>
      <c r="AC28" s="282">
        <v>97.640743607085867</v>
      </c>
      <c r="AD28" s="376">
        <v>95.073593849676811</v>
      </c>
      <c r="AE28" s="283">
        <v>97.778817762605527</v>
      </c>
    </row>
    <row r="29" spans="1:31" x14ac:dyDescent="0.25">
      <c r="A29" s="281" t="s">
        <v>182</v>
      </c>
      <c r="B29" s="282">
        <v>118789.31233000002</v>
      </c>
      <c r="C29" s="282">
        <v>52685.518080000002</v>
      </c>
      <c r="D29" s="282">
        <v>66103.794250000006</v>
      </c>
      <c r="E29" s="282">
        <v>23929.411789999998</v>
      </c>
      <c r="F29" s="282">
        <v>42174.382460000001</v>
      </c>
      <c r="G29" s="282">
        <v>-8552.2459999999846</v>
      </c>
      <c r="H29" s="282">
        <v>-3923.4965899999952</v>
      </c>
      <c r="I29" s="282">
        <v>-4628.7494099999894</v>
      </c>
      <c r="J29" s="282">
        <v>12765.836369999999</v>
      </c>
      <c r="K29" s="282">
        <v>-17394.585780000001</v>
      </c>
      <c r="L29" s="282">
        <v>5406572.7686099997</v>
      </c>
      <c r="M29" s="282">
        <v>656648.68698</v>
      </c>
      <c r="N29" s="282">
        <v>4749924.0816299999</v>
      </c>
      <c r="O29" s="282">
        <v>251383.66094</v>
      </c>
      <c r="P29" s="282">
        <v>4498540.4206900001</v>
      </c>
      <c r="Q29" s="282">
        <v>99.501426170300562</v>
      </c>
      <c r="R29" s="282">
        <v>96.037844183102891</v>
      </c>
      <c r="S29" s="282">
        <v>100.000000003579</v>
      </c>
      <c r="T29" s="282">
        <v>100.00000006762572</v>
      </c>
      <c r="U29" s="282">
        <v>100</v>
      </c>
      <c r="V29" s="282">
        <v>5408790.7698799996</v>
      </c>
      <c r="W29" s="282">
        <v>659549.69204999995</v>
      </c>
      <c r="X29" s="282">
        <v>4749241.0778299998</v>
      </c>
      <c r="Y29" s="282">
        <v>235748.08048</v>
      </c>
      <c r="Z29" s="282">
        <v>4513492.9973499998</v>
      </c>
      <c r="AA29" s="282">
        <v>97.498584325719619</v>
      </c>
      <c r="AB29" s="282">
        <v>90.384577561385171</v>
      </c>
      <c r="AC29" s="282">
        <v>98.576078134253578</v>
      </c>
      <c r="AD29" s="376">
        <v>90.765193331036684</v>
      </c>
      <c r="AE29" s="283">
        <v>99.021164527372733</v>
      </c>
    </row>
    <row r="30" spans="1:31" x14ac:dyDescent="0.25">
      <c r="A30" s="281" t="s">
        <v>183</v>
      </c>
      <c r="B30" s="282">
        <v>18183.348300000001</v>
      </c>
      <c r="C30" s="282">
        <v>17683.348300000001</v>
      </c>
      <c r="D30" s="282">
        <v>500</v>
      </c>
      <c r="E30" s="282">
        <v>500</v>
      </c>
      <c r="F30" s="282">
        <v>0</v>
      </c>
      <c r="G30" s="282">
        <v>317.76328000000285</v>
      </c>
      <c r="H30" s="282">
        <v>96.164050000003044</v>
      </c>
      <c r="I30" s="282">
        <v>221.59923000000003</v>
      </c>
      <c r="J30" s="282">
        <v>321.58348000000001</v>
      </c>
      <c r="K30" s="282">
        <v>-99.984250000000003</v>
      </c>
      <c r="L30" s="282">
        <v>4006741.2977999998</v>
      </c>
      <c r="M30" s="282">
        <v>435435.65489000001</v>
      </c>
      <c r="N30" s="282">
        <v>3571305.6429099999</v>
      </c>
      <c r="O30" s="282">
        <v>383482.41269999999</v>
      </c>
      <c r="P30" s="282">
        <v>3187823.2302100002</v>
      </c>
      <c r="Q30" s="282">
        <v>99.94029201467994</v>
      </c>
      <c r="R30" s="282">
        <v>99.742176382830507</v>
      </c>
      <c r="S30" s="282">
        <v>99.964501339366748</v>
      </c>
      <c r="T30" s="282">
        <v>99.670379779569544</v>
      </c>
      <c r="U30" s="282">
        <v>100</v>
      </c>
      <c r="V30" s="282">
        <v>4005502.9366699997</v>
      </c>
      <c r="W30" s="282">
        <v>434437.56375999999</v>
      </c>
      <c r="X30" s="282">
        <v>3571065.3729099999</v>
      </c>
      <c r="Y30" s="282">
        <v>383142.15844999999</v>
      </c>
      <c r="Z30" s="282">
        <v>3187923.2144599999</v>
      </c>
      <c r="AA30" s="282">
        <v>99.724394362633944</v>
      </c>
      <c r="AB30" s="282">
        <v>97.90791435326831</v>
      </c>
      <c r="AC30" s="282">
        <v>99.949987110851737</v>
      </c>
      <c r="AD30" s="376">
        <v>99.535788046448332</v>
      </c>
      <c r="AE30" s="283">
        <v>100</v>
      </c>
    </row>
    <row r="31" spans="1:31" x14ac:dyDescent="0.25">
      <c r="A31" s="281" t="s">
        <v>184</v>
      </c>
      <c r="B31" s="282">
        <v>12887.26821</v>
      </c>
      <c r="C31" s="282">
        <v>12535.153179999999</v>
      </c>
      <c r="D31" s="282">
        <v>352.11502999999999</v>
      </c>
      <c r="E31" s="282">
        <v>0</v>
      </c>
      <c r="F31" s="282">
        <v>352.11502999999999</v>
      </c>
      <c r="G31" s="282">
        <v>2438.8773000000001</v>
      </c>
      <c r="H31" s="282">
        <v>2807.4842799999988</v>
      </c>
      <c r="I31" s="282">
        <v>-368.60697999999996</v>
      </c>
      <c r="J31" s="282">
        <v>0</v>
      </c>
      <c r="K31" s="282">
        <v>-368.60697999999996</v>
      </c>
      <c r="L31" s="282">
        <v>1556791.8759299999</v>
      </c>
      <c r="M31" s="282">
        <v>239709.35021999999</v>
      </c>
      <c r="N31" s="282">
        <v>1317082.52571</v>
      </c>
      <c r="O31" s="282">
        <v>95597.397870000001</v>
      </c>
      <c r="P31" s="282">
        <v>1209501.04421</v>
      </c>
      <c r="Q31" s="282">
        <v>97.844159572414085</v>
      </c>
      <c r="R31" s="282">
        <v>90.19575092585832</v>
      </c>
      <c r="S31" s="282">
        <v>99.377881857476552</v>
      </c>
      <c r="T31" s="282">
        <v>92.28741820537644</v>
      </c>
      <c r="U31" s="282">
        <v>99.992227683190649</v>
      </c>
      <c r="V31" s="282">
        <v>1554352.9986299998</v>
      </c>
      <c r="W31" s="282">
        <v>236901.86593999999</v>
      </c>
      <c r="X31" s="282">
        <v>1317451.1326899999</v>
      </c>
      <c r="Y31" s="282">
        <v>95597.397870000001</v>
      </c>
      <c r="Z31" s="282">
        <v>1209869.6511899999</v>
      </c>
      <c r="AA31" s="282">
        <v>97.648692705630154</v>
      </c>
      <c r="AB31" s="282">
        <v>89.114794315210347</v>
      </c>
      <c r="AC31" s="282">
        <v>99.359660054259038</v>
      </c>
      <c r="AD31" s="376">
        <v>92.28741820537644</v>
      </c>
      <c r="AE31" s="283">
        <v>99.971951617177012</v>
      </c>
    </row>
    <row r="32" spans="1:31" x14ac:dyDescent="0.25">
      <c r="A32" s="281" t="s">
        <v>185</v>
      </c>
      <c r="B32" s="282">
        <v>4498.6036899999999</v>
      </c>
      <c r="C32" s="282">
        <v>3632.5739100000001</v>
      </c>
      <c r="D32" s="282">
        <v>866.02977999999996</v>
      </c>
      <c r="E32" s="282">
        <v>160</v>
      </c>
      <c r="F32" s="282">
        <v>706.02977999999996</v>
      </c>
      <c r="G32" s="282">
        <v>-1154.3912</v>
      </c>
      <c r="H32" s="282">
        <v>713.96397999999999</v>
      </c>
      <c r="I32" s="282">
        <v>-1868.35518</v>
      </c>
      <c r="J32" s="282">
        <v>160</v>
      </c>
      <c r="K32" s="282">
        <v>-2028.35518</v>
      </c>
      <c r="L32" s="282">
        <v>759345.31849999994</v>
      </c>
      <c r="M32" s="282">
        <v>69060.184699999998</v>
      </c>
      <c r="N32" s="282">
        <v>690285.13379999995</v>
      </c>
      <c r="O32" s="282">
        <v>64704.3698</v>
      </c>
      <c r="P32" s="282">
        <v>625580.76399999997</v>
      </c>
      <c r="Q32" s="282">
        <v>99.965633489823574</v>
      </c>
      <c r="R32" s="282">
        <v>100</v>
      </c>
      <c r="S32" s="282">
        <v>99.962196561787096</v>
      </c>
      <c r="T32" s="282">
        <v>99.598170534416624</v>
      </c>
      <c r="U32" s="282">
        <v>100</v>
      </c>
      <c r="V32" s="282">
        <v>760499.70970000001</v>
      </c>
      <c r="W32" s="282">
        <v>68346.220719999998</v>
      </c>
      <c r="X32" s="282">
        <v>692153.48898000002</v>
      </c>
      <c r="Y32" s="282">
        <v>64544.3698</v>
      </c>
      <c r="Z32" s="282">
        <v>627609.11918000004</v>
      </c>
      <c r="AA32" s="282">
        <v>99.378033890670551</v>
      </c>
      <c r="AB32" s="282">
        <v>94.953272100939031</v>
      </c>
      <c r="AC32" s="282">
        <v>99.837428015371785</v>
      </c>
      <c r="AD32" s="376">
        <v>99.3518856647121</v>
      </c>
      <c r="AE32" s="283">
        <v>99.887631265747999</v>
      </c>
    </row>
    <row r="33" spans="1:31" x14ac:dyDescent="0.25">
      <c r="A33" s="281" t="s">
        <v>186</v>
      </c>
      <c r="B33" s="282">
        <v>5086.7982400000001</v>
      </c>
      <c r="C33" s="282">
        <v>5031.4056799999998</v>
      </c>
      <c r="D33" s="282">
        <v>55.392560000000003</v>
      </c>
      <c r="E33" s="282">
        <v>0</v>
      </c>
      <c r="F33" s="282">
        <v>55.392560000000003</v>
      </c>
      <c r="G33" s="282">
        <v>-2486.2966799999995</v>
      </c>
      <c r="H33" s="282">
        <v>-2443.5849399999997</v>
      </c>
      <c r="I33" s="282">
        <v>-42.711739999999992</v>
      </c>
      <c r="J33" s="282">
        <v>0</v>
      </c>
      <c r="K33" s="282">
        <v>-42.711739999999992</v>
      </c>
      <c r="L33" s="282">
        <v>814874.21287999989</v>
      </c>
      <c r="M33" s="282">
        <v>142998.35459</v>
      </c>
      <c r="N33" s="282">
        <v>671875.85828999989</v>
      </c>
      <c r="O33" s="282">
        <v>22658.259669999999</v>
      </c>
      <c r="P33" s="282">
        <v>649217.59861999995</v>
      </c>
      <c r="Q33" s="282">
        <v>99.827747675191901</v>
      </c>
      <c r="R33" s="282">
        <v>99.0481666839447</v>
      </c>
      <c r="S33" s="282">
        <v>99.995255924529161</v>
      </c>
      <c r="T33" s="282">
        <v>99.85951714518238</v>
      </c>
      <c r="U33" s="282">
        <v>99.999999990758084</v>
      </c>
      <c r="V33" s="282">
        <v>817381.59734999994</v>
      </c>
      <c r="W33" s="282">
        <v>145434.80853000001</v>
      </c>
      <c r="X33" s="282">
        <v>671946.7888199999</v>
      </c>
      <c r="Y33" s="282">
        <v>22658.259669999999</v>
      </c>
      <c r="Z33" s="282">
        <v>649288.52914999996</v>
      </c>
      <c r="AA33" s="282">
        <v>99.211911483338966</v>
      </c>
      <c r="AB33" s="282">
        <v>95.781365424701164</v>
      </c>
      <c r="AC33" s="282">
        <v>99.987014293536717</v>
      </c>
      <c r="AD33" s="376">
        <v>99.85951714518238</v>
      </c>
      <c r="AE33" s="283">
        <v>99.991469448139426</v>
      </c>
    </row>
    <row r="34" spans="1:31" x14ac:dyDescent="0.25">
      <c r="A34" s="281" t="s">
        <v>187</v>
      </c>
      <c r="B34" s="282">
        <v>648.26630999999998</v>
      </c>
      <c r="C34" s="282">
        <v>429.08085999999997</v>
      </c>
      <c r="D34" s="282">
        <v>219.18545</v>
      </c>
      <c r="E34" s="282">
        <v>0</v>
      </c>
      <c r="F34" s="282">
        <v>219.18545</v>
      </c>
      <c r="G34" s="282">
        <v>-1531.5384400000003</v>
      </c>
      <c r="H34" s="282">
        <v>-590.0779</v>
      </c>
      <c r="I34" s="282">
        <v>-941.46054000000004</v>
      </c>
      <c r="J34" s="282">
        <v>0</v>
      </c>
      <c r="K34" s="282">
        <v>-941.46054000000004</v>
      </c>
      <c r="L34" s="282">
        <v>116664.39846</v>
      </c>
      <c r="M34" s="282">
        <v>12451.45003</v>
      </c>
      <c r="N34" s="282">
        <v>104212.94843</v>
      </c>
      <c r="O34" s="282">
        <v>6674.0342499999997</v>
      </c>
      <c r="P34" s="282">
        <v>97538.914180000007</v>
      </c>
      <c r="Q34" s="282">
        <v>98.725375571150209</v>
      </c>
      <c r="R34" s="282">
        <v>92.753067422509929</v>
      </c>
      <c r="S34" s="282">
        <v>99.490787172129657</v>
      </c>
      <c r="T34" s="282">
        <v>92.599542610000583</v>
      </c>
      <c r="U34" s="282">
        <v>100</v>
      </c>
      <c r="V34" s="282">
        <v>118195.9369</v>
      </c>
      <c r="W34" s="282">
        <v>13041.52793</v>
      </c>
      <c r="X34" s="282">
        <v>105154.40897</v>
      </c>
      <c r="Y34" s="282">
        <v>6674.0342499999997</v>
      </c>
      <c r="Z34" s="282">
        <v>98480.374720000007</v>
      </c>
      <c r="AA34" s="282">
        <v>98.209812842593294</v>
      </c>
      <c r="AB34" s="282">
        <v>90.293662665603804</v>
      </c>
      <c r="AC34" s="282">
        <v>99.289407339142628</v>
      </c>
      <c r="AD34" s="376">
        <v>92.599542610000583</v>
      </c>
      <c r="AE34" s="283">
        <v>99.777926619305632</v>
      </c>
    </row>
    <row r="35" spans="1:31" x14ac:dyDescent="0.25">
      <c r="A35" s="281" t="s">
        <v>188</v>
      </c>
      <c r="B35" s="282">
        <v>12801.331489999999</v>
      </c>
      <c r="C35" s="282">
        <v>1747.38445</v>
      </c>
      <c r="D35" s="282">
        <v>11053.947039999999</v>
      </c>
      <c r="E35" s="282">
        <v>0</v>
      </c>
      <c r="F35" s="282">
        <v>11053.947039999999</v>
      </c>
      <c r="G35" s="282">
        <v>1761.3590999999997</v>
      </c>
      <c r="H35" s="282">
        <v>-1222.2456200000001</v>
      </c>
      <c r="I35" s="282">
        <v>2983.6047199999994</v>
      </c>
      <c r="J35" s="282">
        <v>0</v>
      </c>
      <c r="K35" s="282">
        <v>2983.6047199999994</v>
      </c>
      <c r="L35" s="282">
        <v>57535.886290000002</v>
      </c>
      <c r="M35" s="282">
        <v>5005.4741299999996</v>
      </c>
      <c r="N35" s="282">
        <v>52530.41216</v>
      </c>
      <c r="O35" s="282">
        <v>0</v>
      </c>
      <c r="P35" s="282">
        <v>52530.41216</v>
      </c>
      <c r="Q35" s="186">
        <v>83.895543408701982</v>
      </c>
      <c r="R35" s="186">
        <v>62.728147622011249</v>
      </c>
      <c r="S35" s="186">
        <v>86.682769234063827</v>
      </c>
      <c r="T35" s="282"/>
      <c r="U35" s="186">
        <v>86.682769234063827</v>
      </c>
      <c r="V35" s="282">
        <v>55774.527189999993</v>
      </c>
      <c r="W35" s="282">
        <v>6227.7197500000002</v>
      </c>
      <c r="X35" s="282">
        <v>49546.807439999997</v>
      </c>
      <c r="Y35" s="282">
        <v>0</v>
      </c>
      <c r="Z35" s="282">
        <v>49546.807439999997</v>
      </c>
      <c r="AA35" s="186">
        <v>81.3272301635118</v>
      </c>
      <c r="AB35" s="186">
        <v>78.045218830551633</v>
      </c>
      <c r="AC35" s="186">
        <v>81.759390398929568</v>
      </c>
      <c r="AD35" s="377"/>
      <c r="AE35" s="361">
        <v>81.759390398929568</v>
      </c>
    </row>
    <row r="36" spans="1:31" s="245" customFormat="1" x14ac:dyDescent="0.25">
      <c r="A36" s="284" t="s">
        <v>189</v>
      </c>
      <c r="B36" s="285">
        <v>259735.85032000006</v>
      </c>
      <c r="C36" s="285">
        <v>122879.84200999999</v>
      </c>
      <c r="D36" s="285">
        <v>136856.00831</v>
      </c>
      <c r="E36" s="285">
        <v>37004.729119999996</v>
      </c>
      <c r="F36" s="285">
        <v>99499.369189999998</v>
      </c>
      <c r="G36" s="285">
        <v>-33680.46911999998</v>
      </c>
      <c r="H36" s="285">
        <v>1428.1480600000073</v>
      </c>
      <c r="I36" s="285">
        <v>-35108.617180000001</v>
      </c>
      <c r="J36" s="285">
        <v>15308.84958</v>
      </c>
      <c r="K36" s="285">
        <v>-50769.376759999999</v>
      </c>
      <c r="L36" s="285">
        <v>23875844.829700004</v>
      </c>
      <c r="M36" s="285">
        <v>2412875.7662800001</v>
      </c>
      <c r="N36" s="285">
        <v>21462969.063420005</v>
      </c>
      <c r="O36" s="285">
        <v>1765459.1219300001</v>
      </c>
      <c r="P36" s="285">
        <v>19684145.433640003</v>
      </c>
      <c r="Q36" s="285">
        <v>99.303344157310718</v>
      </c>
      <c r="R36" s="285">
        <v>96.381867530370855</v>
      </c>
      <c r="S36" s="285">
        <v>99.642890108844043</v>
      </c>
      <c r="T36" s="285">
        <v>99.073399946927083</v>
      </c>
      <c r="U36" s="285">
        <v>99.694863008773538</v>
      </c>
      <c r="V36" s="285">
        <v>23902088.678780001</v>
      </c>
      <c r="W36" s="285">
        <v>2409670.5337500004</v>
      </c>
      <c r="X36" s="285">
        <v>21492418.145029999</v>
      </c>
      <c r="Y36" s="285">
        <v>1747182.8679900002</v>
      </c>
      <c r="Z36" s="285">
        <v>19732222.679190002</v>
      </c>
      <c r="AA36" s="285">
        <v>98.573197367187888</v>
      </c>
      <c r="AB36" s="285">
        <v>93.258749495553204</v>
      </c>
      <c r="AC36" s="285">
        <v>99.20704292964146</v>
      </c>
      <c r="AD36" s="378">
        <v>97.019710144700738</v>
      </c>
      <c r="AE36" s="286">
        <v>99.407534358265806</v>
      </c>
    </row>
    <row r="37" spans="1:31" x14ac:dyDescent="0.25">
      <c r="A37" s="281" t="s">
        <v>332</v>
      </c>
      <c r="B37" s="282">
        <v>2577017.2580600004</v>
      </c>
      <c r="C37" s="282">
        <v>1848313.6740600001</v>
      </c>
      <c r="D37" s="282">
        <v>728703.5839999998</v>
      </c>
      <c r="E37" s="282">
        <v>458912.61367999995</v>
      </c>
      <c r="F37" s="282">
        <v>269790.97028999997</v>
      </c>
      <c r="G37" s="282">
        <v>498740.09929999983</v>
      </c>
      <c r="H37" s="282">
        <v>410476.62363000005</v>
      </c>
      <c r="I37" s="282">
        <v>88263.47567</v>
      </c>
      <c r="J37" s="282">
        <v>282961.33278999996</v>
      </c>
      <c r="K37" s="282">
        <v>-192191.41795</v>
      </c>
      <c r="L37" s="282">
        <v>31095188.180969995</v>
      </c>
      <c r="M37" s="282">
        <v>18996339.815710001</v>
      </c>
      <c r="N37" s="282">
        <v>12098848.365259999</v>
      </c>
      <c r="O37" s="282">
        <v>1912377.0136099998</v>
      </c>
      <c r="P37" s="282">
        <v>10185787.540510003</v>
      </c>
      <c r="Q37" s="282">
        <v>99.204582872808459</v>
      </c>
      <c r="R37" s="282">
        <v>98.844360191747327</v>
      </c>
      <c r="S37" s="282">
        <v>99.775494574938918</v>
      </c>
      <c r="T37" s="282">
        <v>99.115864752150927</v>
      </c>
      <c r="U37" s="282">
        <v>99.90030487694105</v>
      </c>
      <c r="V37" s="282">
        <v>30585090.117640004</v>
      </c>
      <c r="W37" s="282">
        <v>18593252.661059998</v>
      </c>
      <c r="X37" s="282">
        <v>11991837.45658</v>
      </c>
      <c r="Y37" s="282">
        <v>1626521.7675199998</v>
      </c>
      <c r="Z37" s="282">
        <v>10362125.438750001</v>
      </c>
      <c r="AA37" s="282">
        <v>93.21040463572011</v>
      </c>
      <c r="AB37" s="282">
        <v>92.117426038350047</v>
      </c>
      <c r="AC37" s="282">
        <v>94.957303959130357</v>
      </c>
      <c r="AD37" s="377">
        <v>80.219196933040337</v>
      </c>
      <c r="AE37" s="283">
        <v>97.775496060241636</v>
      </c>
    </row>
    <row r="38" spans="1:31" s="245" customFormat="1" ht="13.8" thickBot="1" x14ac:dyDescent="0.3">
      <c r="A38" s="241" t="s">
        <v>333</v>
      </c>
      <c r="B38" s="235">
        <v>2836753.1083800006</v>
      </c>
      <c r="C38" s="235">
        <v>1971193.5160700001</v>
      </c>
      <c r="D38" s="235">
        <v>865559.59230999975</v>
      </c>
      <c r="E38" s="235">
        <v>495917.34279999993</v>
      </c>
      <c r="F38" s="235">
        <v>369290.33947999997</v>
      </c>
      <c r="G38" s="235">
        <v>465059.63017999986</v>
      </c>
      <c r="H38" s="235">
        <v>411904.77169000008</v>
      </c>
      <c r="I38" s="235">
        <v>53154.858490000013</v>
      </c>
      <c r="J38" s="235">
        <v>298270.18236999994</v>
      </c>
      <c r="K38" s="235">
        <v>-242960.79470999999</v>
      </c>
      <c r="L38" s="235">
        <v>54971033.010669999</v>
      </c>
      <c r="M38" s="235">
        <v>21409215.58199</v>
      </c>
      <c r="N38" s="235">
        <v>33561817.428680003</v>
      </c>
      <c r="O38" s="235">
        <v>3677836.1355400002</v>
      </c>
      <c r="P38" s="235">
        <v>29869932.974150006</v>
      </c>
      <c r="Q38" s="235">
        <v>99.247454215029862</v>
      </c>
      <c r="R38" s="235">
        <v>98.560557203387859</v>
      </c>
      <c r="S38" s="235">
        <v>99.690652632347067</v>
      </c>
      <c r="T38" s="235">
        <v>99.09547597458149</v>
      </c>
      <c r="U38" s="235">
        <v>99.764824643827211</v>
      </c>
      <c r="V38" s="235">
        <v>54487178.796420008</v>
      </c>
      <c r="W38" s="235">
        <v>21002923.194809999</v>
      </c>
      <c r="X38" s="235">
        <v>33484255.601609997</v>
      </c>
      <c r="Y38" s="235">
        <v>3373704.6355099999</v>
      </c>
      <c r="Z38" s="235">
        <v>30094348.117940001</v>
      </c>
      <c r="AA38" s="235">
        <v>95.489321634488107</v>
      </c>
      <c r="AB38" s="235">
        <v>92.246949693798896</v>
      </c>
      <c r="AC38" s="235">
        <v>97.642037679865936</v>
      </c>
      <c r="AD38" s="379">
        <v>88.121941349447027</v>
      </c>
      <c r="AE38" s="236">
        <v>98.839473785472592</v>
      </c>
    </row>
    <row r="39" spans="1:31" ht="13.8" thickTop="1" x14ac:dyDescent="0.25"/>
    <row r="40" spans="1:31" x14ac:dyDescent="0.25">
      <c r="B40" s="280">
        <f t="shared" ref="B40:B42" si="0">B36/1000</f>
        <v>259.73585032000005</v>
      </c>
      <c r="C40" s="280">
        <f t="shared" ref="C40:Z40" si="1">C36/1000</f>
        <v>122.87984200999999</v>
      </c>
      <c r="D40" s="280">
        <f t="shared" si="1"/>
        <v>136.85600830999999</v>
      </c>
      <c r="E40" s="280">
        <f t="shared" si="1"/>
        <v>37.004729119999993</v>
      </c>
      <c r="F40" s="280">
        <f t="shared" si="1"/>
        <v>99.499369189999996</v>
      </c>
      <c r="G40" s="280">
        <f t="shared" si="1"/>
        <v>-33.680469119999977</v>
      </c>
      <c r="H40" s="280">
        <f t="shared" si="1"/>
        <v>1.4281480600000072</v>
      </c>
      <c r="I40" s="280">
        <f t="shared" si="1"/>
        <v>-35.108617180000003</v>
      </c>
      <c r="J40" s="280">
        <f t="shared" si="1"/>
        <v>15.30884958</v>
      </c>
      <c r="K40" s="280">
        <f t="shared" si="1"/>
        <v>-50.76937676</v>
      </c>
      <c r="L40" s="280">
        <f t="shared" si="1"/>
        <v>23875.844829700003</v>
      </c>
      <c r="M40" s="280">
        <f t="shared" si="1"/>
        <v>2412.8757662799999</v>
      </c>
      <c r="N40" s="280">
        <f t="shared" si="1"/>
        <v>21462.969063420005</v>
      </c>
      <c r="O40" s="280">
        <f t="shared" si="1"/>
        <v>1765.45912193</v>
      </c>
      <c r="P40" s="280">
        <f t="shared" si="1"/>
        <v>19684.145433640002</v>
      </c>
      <c r="V40" s="280">
        <f t="shared" si="1"/>
        <v>23902.088678780001</v>
      </c>
      <c r="W40" s="280">
        <f t="shared" si="1"/>
        <v>2409.6705337500002</v>
      </c>
      <c r="X40" s="280">
        <f t="shared" si="1"/>
        <v>21492.418145029998</v>
      </c>
      <c r="Y40" s="280">
        <f t="shared" si="1"/>
        <v>1747.1828679900002</v>
      </c>
      <c r="Z40" s="280">
        <f t="shared" si="1"/>
        <v>19732.222679190003</v>
      </c>
      <c r="AA40" s="280">
        <f>+V36/(L36+B36)*100</f>
        <v>99.032581795584079</v>
      </c>
      <c r="AB40" s="280">
        <f t="shared" ref="AB40:AE42" si="2">+W36/(M36+C36)*100</f>
        <v>95.027711892747206</v>
      </c>
      <c r="AC40" s="280">
        <f t="shared" si="2"/>
        <v>99.502741682660272</v>
      </c>
      <c r="AD40" s="280">
        <f t="shared" si="2"/>
        <v>96.933032358579794</v>
      </c>
      <c r="AE40" s="280">
        <f t="shared" si="2"/>
        <v>99.740077603735358</v>
      </c>
    </row>
    <row r="41" spans="1:31" x14ac:dyDescent="0.25">
      <c r="B41" s="280">
        <f t="shared" ref="B41" si="3">B37/1000</f>
        <v>2577.0172580600006</v>
      </c>
      <c r="C41" s="280">
        <f t="shared" ref="C41:Z41" si="4">C37/1000</f>
        <v>1848.31367406</v>
      </c>
      <c r="D41" s="280">
        <f t="shared" si="4"/>
        <v>728.70358399999975</v>
      </c>
      <c r="E41" s="280">
        <f t="shared" si="4"/>
        <v>458.91261367999994</v>
      </c>
      <c r="F41" s="280">
        <f t="shared" si="4"/>
        <v>269.79097028999996</v>
      </c>
      <c r="G41" s="280">
        <f t="shared" si="4"/>
        <v>498.74009929999983</v>
      </c>
      <c r="H41" s="280">
        <f t="shared" si="4"/>
        <v>410.47662363000006</v>
      </c>
      <c r="I41" s="280">
        <f t="shared" si="4"/>
        <v>88.263475670000005</v>
      </c>
      <c r="J41" s="280">
        <f t="shared" si="4"/>
        <v>282.96133278999997</v>
      </c>
      <c r="K41" s="280">
        <f t="shared" si="4"/>
        <v>-192.19141795000002</v>
      </c>
      <c r="L41" s="280">
        <f t="shared" si="4"/>
        <v>31095.188180969995</v>
      </c>
      <c r="M41" s="280">
        <f t="shared" si="4"/>
        <v>18996.339815710002</v>
      </c>
      <c r="N41" s="280">
        <f t="shared" si="4"/>
        <v>12098.848365259999</v>
      </c>
      <c r="O41" s="280">
        <f t="shared" si="4"/>
        <v>1912.3770136099997</v>
      </c>
      <c r="P41" s="280">
        <f t="shared" si="4"/>
        <v>10185.787540510002</v>
      </c>
      <c r="V41" s="280">
        <f t="shared" si="4"/>
        <v>30585.090117640004</v>
      </c>
      <c r="W41" s="280">
        <f t="shared" si="4"/>
        <v>18593.252661059996</v>
      </c>
      <c r="X41" s="280">
        <f t="shared" si="4"/>
        <v>11991.83745658</v>
      </c>
      <c r="Y41" s="280">
        <f t="shared" si="4"/>
        <v>1626.5217675199997</v>
      </c>
      <c r="Z41" s="280">
        <f t="shared" si="4"/>
        <v>10362.125438750001</v>
      </c>
      <c r="AA41" s="280">
        <f t="shared" ref="AA41" si="5">+V37/(L37+B37)*100</f>
        <v>90.831858854687127</v>
      </c>
      <c r="AB41" s="280">
        <f t="shared" si="2"/>
        <v>89.199144855946244</v>
      </c>
      <c r="AC41" s="280">
        <f t="shared" si="2"/>
        <v>93.485004028939358</v>
      </c>
      <c r="AD41" s="280">
        <f t="shared" si="2"/>
        <v>68.592286188965062</v>
      </c>
      <c r="AE41" s="280">
        <f t="shared" si="2"/>
        <v>99.106189371028393</v>
      </c>
    </row>
    <row r="42" spans="1:31" x14ac:dyDescent="0.25">
      <c r="B42" s="280">
        <f t="shared" si="0"/>
        <v>2836.7531083800004</v>
      </c>
      <c r="C42" s="280">
        <f t="shared" ref="C42:Z42" si="6">C38/1000</f>
        <v>1971.1935160700002</v>
      </c>
      <c r="D42" s="280">
        <f t="shared" si="6"/>
        <v>865.55959230999974</v>
      </c>
      <c r="E42" s="280">
        <f t="shared" si="6"/>
        <v>495.91734279999991</v>
      </c>
      <c r="F42" s="280">
        <f t="shared" si="6"/>
        <v>369.29033947999994</v>
      </c>
      <c r="G42" s="280">
        <f t="shared" si="6"/>
        <v>465.05963017999989</v>
      </c>
      <c r="H42" s="280">
        <f t="shared" si="6"/>
        <v>411.90477169000008</v>
      </c>
      <c r="I42" s="280">
        <f t="shared" si="6"/>
        <v>53.154858490000017</v>
      </c>
      <c r="J42" s="280">
        <f t="shared" si="6"/>
        <v>298.27018236999993</v>
      </c>
      <c r="K42" s="280">
        <f t="shared" si="6"/>
        <v>-242.96079470999999</v>
      </c>
      <c r="L42" s="280">
        <f t="shared" si="6"/>
        <v>54971.033010669998</v>
      </c>
      <c r="M42" s="280">
        <f t="shared" si="6"/>
        <v>21409.21558199</v>
      </c>
      <c r="N42" s="280">
        <f t="shared" si="6"/>
        <v>33561.817428680006</v>
      </c>
      <c r="O42" s="280">
        <f t="shared" si="6"/>
        <v>3677.8361355400002</v>
      </c>
      <c r="P42" s="280">
        <f t="shared" si="6"/>
        <v>29869.932974150004</v>
      </c>
      <c r="V42" s="280">
        <f t="shared" si="6"/>
        <v>54487.178796420005</v>
      </c>
      <c r="W42" s="280">
        <f t="shared" si="6"/>
        <v>21002.923194809999</v>
      </c>
      <c r="X42" s="280">
        <f t="shared" si="6"/>
        <v>33484.255601609999</v>
      </c>
      <c r="Y42" s="280">
        <f t="shared" si="6"/>
        <v>3373.7046355100001</v>
      </c>
      <c r="Z42" s="280">
        <f t="shared" si="6"/>
        <v>30094.348117940001</v>
      </c>
      <c r="AA42" s="280">
        <f>+V38/(L38+B38)*100</f>
        <v>94.255778424395132</v>
      </c>
      <c r="AB42" s="280">
        <f t="shared" si="2"/>
        <v>89.831290405233872</v>
      </c>
      <c r="AC42" s="280">
        <f>+X38/(N38+D38)*100</f>
        <v>97.26054814223869</v>
      </c>
      <c r="AD42" s="280">
        <f t="shared" si="2"/>
        <v>80.831430342450446</v>
      </c>
      <c r="AE42" s="280">
        <f t="shared" si="2"/>
        <v>99.520903053006975</v>
      </c>
    </row>
  </sheetData>
  <autoFilter ref="A9:AE38"/>
  <mergeCells count="45">
    <mergeCell ref="J1:K1"/>
    <mergeCell ref="T1:U1"/>
    <mergeCell ref="AD1:AE1"/>
    <mergeCell ref="V4:AE4"/>
    <mergeCell ref="AA5:AE5"/>
    <mergeCell ref="B2:K2"/>
    <mergeCell ref="L4:U4"/>
    <mergeCell ref="B4:K4"/>
    <mergeCell ref="E6:F6"/>
    <mergeCell ref="W7:W8"/>
    <mergeCell ref="X7:X8"/>
    <mergeCell ref="V5:Z5"/>
    <mergeCell ref="AB6:AE6"/>
    <mergeCell ref="AB7:AB8"/>
    <mergeCell ref="AC7:AC8"/>
    <mergeCell ref="Y7:Z7"/>
    <mergeCell ref="AD7:AE7"/>
    <mergeCell ref="L5:P5"/>
    <mergeCell ref="M6:P6"/>
    <mergeCell ref="M7:M8"/>
    <mergeCell ref="N7:N8"/>
    <mergeCell ref="R6:U6"/>
    <mergeCell ref="R7:R8"/>
    <mergeCell ref="S7:S8"/>
    <mergeCell ref="H7:H8"/>
    <mergeCell ref="I7:I8"/>
    <mergeCell ref="G5:K5"/>
    <mergeCell ref="H6:K6"/>
    <mergeCell ref="Q5:U5"/>
    <mergeCell ref="A4:A8"/>
    <mergeCell ref="L6:L8"/>
    <mergeCell ref="Q6:Q8"/>
    <mergeCell ref="W6:Z6"/>
    <mergeCell ref="AA6:AA8"/>
    <mergeCell ref="V6:V8"/>
    <mergeCell ref="D6:D8"/>
    <mergeCell ref="G6:G8"/>
    <mergeCell ref="E7:E8"/>
    <mergeCell ref="J7:K7"/>
    <mergeCell ref="O7:P7"/>
    <mergeCell ref="T7:U7"/>
    <mergeCell ref="B5:B8"/>
    <mergeCell ref="C6:C8"/>
    <mergeCell ref="C5:F5"/>
    <mergeCell ref="F7:F8"/>
  </mergeCells>
  <conditionalFormatting sqref="B10:AE38">
    <cfRule type="cellIs" dxfId="3" priority="1" operator="equal">
      <formula>0</formula>
    </cfRule>
  </conditionalFormatting>
  <printOptions horizontalCentered="1"/>
  <pageMargins left="0" right="0" top="0.55118110236220474" bottom="0.35433070866141736" header="0.31496062992125984" footer="0.11811023622047245"/>
  <pageSetup paperSize="9" scale="96" fitToWidth="100" orientation="landscape" r:id="rId1"/>
  <headerFooter>
    <oddFooter>&amp;C&amp;9Страница  &amp;P из &amp;N</oddFooter>
  </headerFooter>
  <colBreaks count="2" manualBreakCount="2">
    <brk id="11" max="37" man="1"/>
    <brk id="21" max="3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30"/>
  <sheetViews>
    <sheetView zoomScaleNormal="100" workbookViewId="0">
      <pane xSplit="1" ySplit="10" topLeftCell="B18" activePane="bottomRight" state="frozen"/>
      <selection pane="topRight" activeCell="B1" sqref="B1"/>
      <selection pane="bottomLeft" activeCell="A10" sqref="A10"/>
      <selection pane="bottomRight" activeCell="A25" sqref="A25"/>
    </sheetView>
  </sheetViews>
  <sheetFormatPr defaultColWidth="9.109375" defaultRowHeight="13.2" x14ac:dyDescent="0.25"/>
  <cols>
    <col min="1" max="1" width="21.33203125" style="293" customWidth="1"/>
    <col min="2" max="3" width="11.109375" style="294" customWidth="1"/>
    <col min="4" max="4" width="9.5546875" style="294" customWidth="1"/>
    <col min="5" max="6" width="10" style="294" customWidth="1"/>
    <col min="7" max="7" width="9.6640625" style="294" bestFit="1" customWidth="1"/>
    <col min="8" max="8" width="9.44140625" style="294" customWidth="1"/>
    <col min="9" max="9" width="9.77734375" style="294" customWidth="1"/>
    <col min="10" max="10" width="9.88671875" style="294" customWidth="1"/>
    <col min="11" max="11" width="10.33203125" style="294" customWidth="1"/>
    <col min="12" max="12" width="12.33203125" style="294" bestFit="1" customWidth="1"/>
    <col min="13" max="13" width="12.33203125" style="294" customWidth="1"/>
    <col min="14" max="14" width="12.33203125" style="292" bestFit="1" customWidth="1"/>
    <col min="15" max="15" width="11.109375" style="292" customWidth="1"/>
    <col min="16" max="16" width="12.33203125" style="292" bestFit="1" customWidth="1"/>
    <col min="17" max="17" width="6.33203125" style="292" bestFit="1" customWidth="1"/>
    <col min="18" max="18" width="7.109375" style="292" customWidth="1"/>
    <col min="19" max="19" width="7.33203125" style="292" customWidth="1"/>
    <col min="20" max="20" width="7.21875" style="292" customWidth="1"/>
    <col min="21" max="21" width="8" style="292" bestFit="1" customWidth="1"/>
    <col min="22" max="22" width="12.33203125" style="292" bestFit="1" customWidth="1"/>
    <col min="23" max="23" width="12.88671875" style="292" customWidth="1"/>
    <col min="24" max="24" width="12.33203125" style="292" bestFit="1" customWidth="1"/>
    <col min="25" max="25" width="11.33203125" style="292" bestFit="1" customWidth="1"/>
    <col min="26" max="26" width="12.33203125" style="292" bestFit="1" customWidth="1"/>
    <col min="27" max="27" width="7.33203125" style="292" bestFit="1" customWidth="1"/>
    <col min="28" max="28" width="6.6640625" style="292" customWidth="1"/>
    <col min="29" max="29" width="8" style="292" customWidth="1"/>
    <col min="30" max="30" width="7.33203125" style="292" bestFit="1" customWidth="1"/>
    <col min="31" max="31" width="7.6640625" style="292" customWidth="1"/>
    <col min="32" max="16384" width="9.109375" style="292"/>
  </cols>
  <sheetData>
    <row r="1" spans="1:31" s="288" customFormat="1" ht="12.75" customHeight="1" x14ac:dyDescent="0.25">
      <c r="A1" s="279"/>
      <c r="B1" s="280"/>
      <c r="C1" s="280"/>
      <c r="D1" s="280"/>
      <c r="E1" s="280"/>
      <c r="F1" s="280"/>
      <c r="G1" s="280"/>
      <c r="H1" s="280"/>
      <c r="I1" s="280"/>
      <c r="J1" s="512" t="s">
        <v>388</v>
      </c>
      <c r="K1" s="512"/>
      <c r="L1" s="280"/>
      <c r="M1" s="280"/>
      <c r="S1" s="512" t="s">
        <v>388</v>
      </c>
      <c r="T1" s="512"/>
      <c r="U1" s="512"/>
      <c r="AD1" s="512" t="s">
        <v>388</v>
      </c>
      <c r="AE1" s="512"/>
    </row>
    <row r="2" spans="1:31" s="288" customFormat="1" x14ac:dyDescent="0.25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</row>
    <row r="3" spans="1:31" s="289" customFormat="1" ht="42.75" customHeight="1" x14ac:dyDescent="0.25">
      <c r="A3" s="374"/>
      <c r="B3" s="510" t="s">
        <v>470</v>
      </c>
      <c r="C3" s="510"/>
      <c r="D3" s="510"/>
      <c r="E3" s="510"/>
      <c r="F3" s="510"/>
      <c r="G3" s="510"/>
      <c r="H3" s="510"/>
      <c r="I3" s="510"/>
      <c r="J3" s="510"/>
      <c r="K3" s="510"/>
      <c r="L3" s="374"/>
      <c r="M3" s="374"/>
    </row>
    <row r="4" spans="1:31" s="289" customFormat="1" ht="24" customHeight="1" thickBot="1" x14ac:dyDescent="0.3">
      <c r="A4" s="279"/>
      <c r="B4" s="279"/>
      <c r="C4" s="279"/>
      <c r="D4" s="279"/>
      <c r="E4" s="279"/>
      <c r="F4" s="279"/>
      <c r="G4" s="279"/>
      <c r="H4" s="279"/>
      <c r="I4" s="279"/>
      <c r="J4" s="279"/>
      <c r="K4" s="395" t="s">
        <v>192</v>
      </c>
      <c r="L4" s="380"/>
      <c r="M4" s="380"/>
      <c r="U4" s="396" t="s">
        <v>192</v>
      </c>
      <c r="AE4" s="396" t="s">
        <v>192</v>
      </c>
    </row>
    <row r="5" spans="1:31" s="222" customFormat="1" ht="13.5" customHeight="1" thickTop="1" x14ac:dyDescent="0.25">
      <c r="A5" s="498" t="s">
        <v>328</v>
      </c>
      <c r="B5" s="478" t="s">
        <v>443</v>
      </c>
      <c r="C5" s="478"/>
      <c r="D5" s="478"/>
      <c r="E5" s="478"/>
      <c r="F5" s="478"/>
      <c r="G5" s="478"/>
      <c r="H5" s="478"/>
      <c r="I5" s="478"/>
      <c r="J5" s="478"/>
      <c r="K5" s="478"/>
      <c r="L5" s="478" t="s">
        <v>329</v>
      </c>
      <c r="M5" s="478"/>
      <c r="N5" s="478"/>
      <c r="O5" s="478"/>
      <c r="P5" s="478"/>
      <c r="Q5" s="478"/>
      <c r="R5" s="478"/>
      <c r="S5" s="478"/>
      <c r="T5" s="478"/>
      <c r="U5" s="478"/>
      <c r="V5" s="478" t="s">
        <v>330</v>
      </c>
      <c r="W5" s="478"/>
      <c r="X5" s="478"/>
      <c r="Y5" s="478"/>
      <c r="Z5" s="478"/>
      <c r="AA5" s="478"/>
      <c r="AB5" s="478"/>
      <c r="AC5" s="478"/>
      <c r="AD5" s="478"/>
      <c r="AE5" s="479"/>
    </row>
    <row r="6" spans="1:31" s="222" customFormat="1" x14ac:dyDescent="0.25">
      <c r="A6" s="499"/>
      <c r="B6" s="474" t="s">
        <v>422</v>
      </c>
      <c r="C6" s="474" t="s">
        <v>8</v>
      </c>
      <c r="D6" s="474"/>
      <c r="E6" s="474"/>
      <c r="F6" s="474"/>
      <c r="G6" s="474" t="s">
        <v>438</v>
      </c>
      <c r="H6" s="474"/>
      <c r="I6" s="474"/>
      <c r="J6" s="474"/>
      <c r="K6" s="474"/>
      <c r="L6" s="474" t="s">
        <v>150</v>
      </c>
      <c r="M6" s="474"/>
      <c r="N6" s="474"/>
      <c r="O6" s="474"/>
      <c r="P6" s="474"/>
      <c r="Q6" s="474" t="s">
        <v>393</v>
      </c>
      <c r="R6" s="474"/>
      <c r="S6" s="474"/>
      <c r="T6" s="474"/>
      <c r="U6" s="474"/>
      <c r="V6" s="474" t="s">
        <v>150</v>
      </c>
      <c r="W6" s="474"/>
      <c r="X6" s="474"/>
      <c r="Y6" s="474"/>
      <c r="Z6" s="474"/>
      <c r="AA6" s="474" t="s">
        <v>393</v>
      </c>
      <c r="AB6" s="474"/>
      <c r="AC6" s="474"/>
      <c r="AD6" s="474"/>
      <c r="AE6" s="475"/>
    </row>
    <row r="7" spans="1:31" s="222" customFormat="1" ht="12.75" customHeight="1" x14ac:dyDescent="0.25">
      <c r="A7" s="499"/>
      <c r="B7" s="474"/>
      <c r="C7" s="474" t="s">
        <v>439</v>
      </c>
      <c r="D7" s="474" t="s">
        <v>331</v>
      </c>
      <c r="E7" s="474" t="s">
        <v>445</v>
      </c>
      <c r="F7" s="474"/>
      <c r="G7" s="474" t="s">
        <v>199</v>
      </c>
      <c r="H7" s="474" t="s">
        <v>8</v>
      </c>
      <c r="I7" s="474"/>
      <c r="J7" s="474"/>
      <c r="K7" s="474"/>
      <c r="L7" s="474" t="s">
        <v>199</v>
      </c>
      <c r="M7" s="474" t="s">
        <v>8</v>
      </c>
      <c r="N7" s="474"/>
      <c r="O7" s="474"/>
      <c r="P7" s="474"/>
      <c r="Q7" s="474" t="s">
        <v>199</v>
      </c>
      <c r="R7" s="474" t="s">
        <v>8</v>
      </c>
      <c r="S7" s="474"/>
      <c r="T7" s="474"/>
      <c r="U7" s="474"/>
      <c r="V7" s="474" t="s">
        <v>199</v>
      </c>
      <c r="W7" s="474" t="s">
        <v>8</v>
      </c>
      <c r="X7" s="474"/>
      <c r="Y7" s="474"/>
      <c r="Z7" s="474"/>
      <c r="AA7" s="474" t="s">
        <v>199</v>
      </c>
      <c r="AB7" s="474" t="s">
        <v>8</v>
      </c>
      <c r="AC7" s="474"/>
      <c r="AD7" s="474"/>
      <c r="AE7" s="475"/>
    </row>
    <row r="8" spans="1:31" s="222" customFormat="1" x14ac:dyDescent="0.25">
      <c r="A8" s="499"/>
      <c r="B8" s="474"/>
      <c r="C8" s="474"/>
      <c r="D8" s="474"/>
      <c r="E8" s="474" t="s">
        <v>442</v>
      </c>
      <c r="F8" s="474" t="s">
        <v>440</v>
      </c>
      <c r="G8" s="474"/>
      <c r="H8" s="474" t="s">
        <v>439</v>
      </c>
      <c r="I8" s="474" t="s">
        <v>331</v>
      </c>
      <c r="J8" s="474" t="s">
        <v>445</v>
      </c>
      <c r="K8" s="474"/>
      <c r="L8" s="474"/>
      <c r="M8" s="474" t="s">
        <v>439</v>
      </c>
      <c r="N8" s="474" t="s">
        <v>334</v>
      </c>
      <c r="O8" s="474" t="s">
        <v>445</v>
      </c>
      <c r="P8" s="474"/>
      <c r="Q8" s="474"/>
      <c r="R8" s="506" t="s">
        <v>444</v>
      </c>
      <c r="S8" s="506" t="s">
        <v>331</v>
      </c>
      <c r="T8" s="506" t="s">
        <v>445</v>
      </c>
      <c r="U8" s="506"/>
      <c r="V8" s="474"/>
      <c r="W8" s="474" t="s">
        <v>439</v>
      </c>
      <c r="X8" s="474" t="s">
        <v>334</v>
      </c>
      <c r="Y8" s="474" t="s">
        <v>445</v>
      </c>
      <c r="Z8" s="474"/>
      <c r="AA8" s="474"/>
      <c r="AB8" s="506" t="s">
        <v>444</v>
      </c>
      <c r="AC8" s="506" t="s">
        <v>331</v>
      </c>
      <c r="AD8" s="506" t="s">
        <v>445</v>
      </c>
      <c r="AE8" s="511"/>
    </row>
    <row r="9" spans="1:31" s="369" customFormat="1" ht="38.25" customHeight="1" x14ac:dyDescent="0.25">
      <c r="A9" s="499"/>
      <c r="B9" s="474"/>
      <c r="C9" s="474"/>
      <c r="D9" s="474"/>
      <c r="E9" s="474"/>
      <c r="F9" s="474"/>
      <c r="G9" s="474"/>
      <c r="H9" s="474"/>
      <c r="I9" s="474"/>
      <c r="J9" s="367" t="s">
        <v>442</v>
      </c>
      <c r="K9" s="367" t="s">
        <v>440</v>
      </c>
      <c r="L9" s="474"/>
      <c r="M9" s="474"/>
      <c r="N9" s="474"/>
      <c r="O9" s="367" t="s">
        <v>442</v>
      </c>
      <c r="P9" s="367" t="s">
        <v>440</v>
      </c>
      <c r="Q9" s="474"/>
      <c r="R9" s="506"/>
      <c r="S9" s="506"/>
      <c r="T9" s="371" t="s">
        <v>442</v>
      </c>
      <c r="U9" s="371" t="s">
        <v>440</v>
      </c>
      <c r="V9" s="474"/>
      <c r="W9" s="474"/>
      <c r="X9" s="474"/>
      <c r="Y9" s="367" t="s">
        <v>442</v>
      </c>
      <c r="Z9" s="367" t="s">
        <v>440</v>
      </c>
      <c r="AA9" s="474"/>
      <c r="AB9" s="506"/>
      <c r="AC9" s="506"/>
      <c r="AD9" s="371" t="s">
        <v>442</v>
      </c>
      <c r="AE9" s="372" t="s">
        <v>440</v>
      </c>
    </row>
    <row r="10" spans="1:31" s="295" customFormat="1" ht="10.199999999999999" x14ac:dyDescent="0.25">
      <c r="A10" s="248">
        <v>1</v>
      </c>
      <c r="B10" s="385">
        <v>2</v>
      </c>
      <c r="C10" s="385">
        <v>3</v>
      </c>
      <c r="D10" s="385">
        <v>4</v>
      </c>
      <c r="E10" s="385">
        <v>5</v>
      </c>
      <c r="F10" s="385">
        <v>6</v>
      </c>
      <c r="G10" s="385">
        <v>7</v>
      </c>
      <c r="H10" s="385">
        <v>8</v>
      </c>
      <c r="I10" s="385">
        <v>9</v>
      </c>
      <c r="J10" s="385">
        <v>10</v>
      </c>
      <c r="K10" s="385">
        <v>11</v>
      </c>
      <c r="L10" s="385">
        <v>12</v>
      </c>
      <c r="M10" s="385">
        <v>13</v>
      </c>
      <c r="N10" s="385">
        <v>14</v>
      </c>
      <c r="O10" s="385">
        <v>15</v>
      </c>
      <c r="P10" s="385">
        <v>16</v>
      </c>
      <c r="Q10" s="385">
        <v>17</v>
      </c>
      <c r="R10" s="385">
        <v>18</v>
      </c>
      <c r="S10" s="385">
        <v>19</v>
      </c>
      <c r="T10" s="385">
        <v>20</v>
      </c>
      <c r="U10" s="385">
        <v>21</v>
      </c>
      <c r="V10" s="385">
        <v>22</v>
      </c>
      <c r="W10" s="385">
        <v>23</v>
      </c>
      <c r="X10" s="385">
        <v>24</v>
      </c>
      <c r="Y10" s="385">
        <v>25</v>
      </c>
      <c r="Z10" s="385">
        <v>26</v>
      </c>
      <c r="AA10" s="385">
        <v>27</v>
      </c>
      <c r="AB10" s="385">
        <v>28</v>
      </c>
      <c r="AC10" s="385">
        <v>29</v>
      </c>
      <c r="AD10" s="385">
        <v>30</v>
      </c>
      <c r="AE10" s="386">
        <v>31</v>
      </c>
    </row>
    <row r="11" spans="1:31" s="288" customFormat="1" x14ac:dyDescent="0.25">
      <c r="A11" s="281" t="s">
        <v>446</v>
      </c>
      <c r="B11" s="229">
        <v>20977.850170000002</v>
      </c>
      <c r="C11" s="229">
        <v>20977.850170000002</v>
      </c>
      <c r="D11" s="229">
        <v>0</v>
      </c>
      <c r="E11" s="229">
        <v>0</v>
      </c>
      <c r="F11" s="229">
        <v>0</v>
      </c>
      <c r="G11" s="229">
        <v>2876.0149400000009</v>
      </c>
      <c r="H11" s="229">
        <v>2876.0149400000009</v>
      </c>
      <c r="I11" s="229">
        <v>0</v>
      </c>
      <c r="J11" s="229">
        <v>0</v>
      </c>
      <c r="K11" s="229">
        <v>0</v>
      </c>
      <c r="L11" s="229">
        <v>78235.053260000001</v>
      </c>
      <c r="M11" s="229">
        <v>66696.278250000003</v>
      </c>
      <c r="N11" s="229">
        <v>11538.775009999999</v>
      </c>
      <c r="O11" s="229">
        <v>2062.50101</v>
      </c>
      <c r="P11" s="229">
        <v>9476.2739999999994</v>
      </c>
      <c r="Q11" s="229">
        <v>99.486791551804927</v>
      </c>
      <c r="R11" s="229">
        <v>99.398538059745619</v>
      </c>
      <c r="S11" s="229">
        <v>100</v>
      </c>
      <c r="T11" s="229">
        <v>100</v>
      </c>
      <c r="U11" s="229">
        <v>100</v>
      </c>
      <c r="V11" s="229">
        <v>75528.088319999995</v>
      </c>
      <c r="W11" s="229">
        <v>63989.313309999998</v>
      </c>
      <c r="X11" s="229">
        <v>11538.775009999999</v>
      </c>
      <c r="Y11" s="229">
        <v>2062.50101</v>
      </c>
      <c r="Z11" s="229">
        <v>9476.2739999999994</v>
      </c>
      <c r="AA11" s="229">
        <v>90.342731786609093</v>
      </c>
      <c r="AB11" s="229">
        <v>88.796402714021426</v>
      </c>
      <c r="AC11" s="229">
        <v>100</v>
      </c>
      <c r="AD11" s="229">
        <v>100</v>
      </c>
      <c r="AE11" s="230">
        <v>100</v>
      </c>
    </row>
    <row r="12" spans="1:31" s="288" customFormat="1" ht="26.4" x14ac:dyDescent="0.25">
      <c r="A12" s="290" t="s">
        <v>447</v>
      </c>
      <c r="B12" s="229">
        <v>0</v>
      </c>
      <c r="C12" s="229">
        <v>0</v>
      </c>
      <c r="D12" s="229">
        <v>0</v>
      </c>
      <c r="E12" s="229">
        <v>0</v>
      </c>
      <c r="F12" s="229">
        <v>0</v>
      </c>
      <c r="G12" s="229">
        <v>-934.30578000000003</v>
      </c>
      <c r="H12" s="229">
        <v>-934.30578000000003</v>
      </c>
      <c r="I12" s="229">
        <v>0</v>
      </c>
      <c r="J12" s="229">
        <v>0</v>
      </c>
      <c r="K12" s="229">
        <v>0</v>
      </c>
      <c r="L12" s="229">
        <v>5653.9072500000002</v>
      </c>
      <c r="M12" s="229">
        <v>5653.9072500000002</v>
      </c>
      <c r="N12" s="229">
        <v>0</v>
      </c>
      <c r="O12" s="229">
        <v>0</v>
      </c>
      <c r="P12" s="229">
        <v>0</v>
      </c>
      <c r="Q12" s="229">
        <v>100</v>
      </c>
      <c r="R12" s="229">
        <v>100</v>
      </c>
      <c r="S12" s="229"/>
      <c r="T12" s="229"/>
      <c r="U12" s="229"/>
      <c r="V12" s="229">
        <v>6588.2130299999999</v>
      </c>
      <c r="W12" s="229">
        <v>6588.2130299999999</v>
      </c>
      <c r="X12" s="229">
        <v>0</v>
      </c>
      <c r="Y12" s="229">
        <v>0</v>
      </c>
      <c r="Z12" s="229">
        <v>0</v>
      </c>
      <c r="AA12" s="229">
        <v>100</v>
      </c>
      <c r="AB12" s="229">
        <v>100</v>
      </c>
      <c r="AC12" s="229"/>
      <c r="AD12" s="229"/>
      <c r="AE12" s="230"/>
    </row>
    <row r="13" spans="1:31" s="288" customFormat="1" x14ac:dyDescent="0.25">
      <c r="A13" s="290" t="s">
        <v>448</v>
      </c>
      <c r="B13" s="229">
        <v>28071.20378</v>
      </c>
      <c r="C13" s="229">
        <v>21516.111939999999</v>
      </c>
      <c r="D13" s="229">
        <v>6555.09184</v>
      </c>
      <c r="E13" s="229">
        <v>3795.3998099999999</v>
      </c>
      <c r="F13" s="229">
        <v>2759.6920300000002</v>
      </c>
      <c r="G13" s="229">
        <v>10029.37527</v>
      </c>
      <c r="H13" s="229">
        <v>15980.880549999998</v>
      </c>
      <c r="I13" s="229">
        <v>-5951.5052799999985</v>
      </c>
      <c r="J13" s="229">
        <v>2191.3702599999997</v>
      </c>
      <c r="K13" s="229">
        <v>-8142.8755399999991</v>
      </c>
      <c r="L13" s="229">
        <v>396042.30929999996</v>
      </c>
      <c r="M13" s="229">
        <v>74868.522729999997</v>
      </c>
      <c r="N13" s="229">
        <v>321173.78657</v>
      </c>
      <c r="O13" s="229">
        <v>8102.1580000000004</v>
      </c>
      <c r="P13" s="229">
        <v>313071.62857</v>
      </c>
      <c r="Q13" s="229">
        <v>99.161451840873255</v>
      </c>
      <c r="R13" s="229">
        <v>95.71824153600997</v>
      </c>
      <c r="S13" s="229">
        <v>100</v>
      </c>
      <c r="T13" s="229">
        <v>100</v>
      </c>
      <c r="U13" s="229">
        <v>100</v>
      </c>
      <c r="V13" s="229">
        <v>386012.71120999998</v>
      </c>
      <c r="W13" s="229">
        <v>58887.642180000003</v>
      </c>
      <c r="X13" s="229">
        <v>327125.06902999996</v>
      </c>
      <c r="Y13" s="229">
        <v>5910.5649199999998</v>
      </c>
      <c r="Z13" s="229">
        <v>321214.50410999998</v>
      </c>
      <c r="AA13" s="229">
        <v>92.201503067924151</v>
      </c>
      <c r="AB13" s="240">
        <v>70.507094232483269</v>
      </c>
      <c r="AC13" s="229">
        <v>97.607931408253009</v>
      </c>
      <c r="AD13" s="240">
        <v>60.896212632332535</v>
      </c>
      <c r="AE13" s="230">
        <v>98.702840165014777</v>
      </c>
    </row>
    <row r="14" spans="1:31" s="288" customFormat="1" x14ac:dyDescent="0.25">
      <c r="A14" s="290" t="s">
        <v>449</v>
      </c>
      <c r="B14" s="229">
        <v>2017984.99566</v>
      </c>
      <c r="C14" s="229">
        <v>1669708.8584100001</v>
      </c>
      <c r="D14" s="229">
        <v>348276.13724999997</v>
      </c>
      <c r="E14" s="229">
        <v>114993.53421</v>
      </c>
      <c r="F14" s="229">
        <v>233282.60303999999</v>
      </c>
      <c r="G14" s="229">
        <v>366521.25847999984</v>
      </c>
      <c r="H14" s="229">
        <v>384219.39007000008</v>
      </c>
      <c r="I14" s="229">
        <v>-17698.131590000005</v>
      </c>
      <c r="J14" s="229">
        <v>89058.859729999996</v>
      </c>
      <c r="K14" s="229">
        <v>-106756.99132</v>
      </c>
      <c r="L14" s="229">
        <v>20759959.569630001</v>
      </c>
      <c r="M14" s="229">
        <v>17315135.28771</v>
      </c>
      <c r="N14" s="229">
        <v>3444824.28192</v>
      </c>
      <c r="O14" s="229">
        <v>548168.62268000003</v>
      </c>
      <c r="P14" s="229">
        <v>2896655.6592399999</v>
      </c>
      <c r="Q14" s="229">
        <v>99.070979836666126</v>
      </c>
      <c r="R14" s="229">
        <v>98.88820734661833</v>
      </c>
      <c r="S14" s="229">
        <v>100</v>
      </c>
      <c r="T14" s="229">
        <v>100</v>
      </c>
      <c r="U14" s="229">
        <v>100</v>
      </c>
      <c r="V14" s="229">
        <v>20385305.949639998</v>
      </c>
      <c r="W14" s="229">
        <v>16937997.754159998</v>
      </c>
      <c r="X14" s="229">
        <v>3447308.1954799998</v>
      </c>
      <c r="Y14" s="229">
        <v>459776.44764999999</v>
      </c>
      <c r="Z14" s="229">
        <v>2987531.7478299998</v>
      </c>
      <c r="AA14" s="229">
        <v>92.022876578438527</v>
      </c>
      <c r="AB14" s="229">
        <v>92.019332840361002</v>
      </c>
      <c r="AC14" s="229">
        <v>92.040292340531295</v>
      </c>
      <c r="AD14" s="229">
        <v>80.931879725267621</v>
      </c>
      <c r="AE14" s="230">
        <v>94.026463487759401</v>
      </c>
    </row>
    <row r="15" spans="1:31" s="288" customFormat="1" ht="26.4" x14ac:dyDescent="0.25">
      <c r="A15" s="290" t="s">
        <v>450</v>
      </c>
      <c r="B15" s="229">
        <v>491.14757000000003</v>
      </c>
      <c r="C15" s="229">
        <v>484.47237000000001</v>
      </c>
      <c r="D15" s="229">
        <v>6.6752000000000002</v>
      </c>
      <c r="E15" s="229">
        <v>6.6752000000000002</v>
      </c>
      <c r="F15" s="229">
        <v>0</v>
      </c>
      <c r="G15" s="229">
        <v>238.00437000000002</v>
      </c>
      <c r="H15" s="229">
        <v>303.86589000000004</v>
      </c>
      <c r="I15" s="229">
        <v>-65.861519999999999</v>
      </c>
      <c r="J15" s="229">
        <v>-65.861519999999999</v>
      </c>
      <c r="K15" s="229">
        <v>0</v>
      </c>
      <c r="L15" s="229">
        <v>4856.3195400000004</v>
      </c>
      <c r="M15" s="229">
        <v>934.99728000000005</v>
      </c>
      <c r="N15" s="229">
        <v>3921.3222599999999</v>
      </c>
      <c r="O15" s="229">
        <v>578.60126000000002</v>
      </c>
      <c r="P15" s="229">
        <v>3342.721</v>
      </c>
      <c r="Q15" s="229">
        <v>100</v>
      </c>
      <c r="R15" s="229">
        <v>100.00000000000001</v>
      </c>
      <c r="S15" s="229">
        <v>100</v>
      </c>
      <c r="T15" s="229">
        <v>100</v>
      </c>
      <c r="U15" s="229">
        <v>100</v>
      </c>
      <c r="V15" s="229">
        <v>4618.3151699999999</v>
      </c>
      <c r="W15" s="229">
        <v>631.13139000000001</v>
      </c>
      <c r="X15" s="229">
        <v>3987.1837799999998</v>
      </c>
      <c r="Y15" s="229">
        <v>644.46277999999995</v>
      </c>
      <c r="Z15" s="229">
        <v>3342.721</v>
      </c>
      <c r="AA15" s="229">
        <v>100</v>
      </c>
      <c r="AB15" s="229">
        <v>100</v>
      </c>
      <c r="AC15" s="229">
        <v>99.999999999999986</v>
      </c>
      <c r="AD15" s="229">
        <v>100</v>
      </c>
      <c r="AE15" s="230">
        <v>100</v>
      </c>
    </row>
    <row r="16" spans="1:31" s="288" customFormat="1" x14ac:dyDescent="0.25">
      <c r="A16" s="290" t="s">
        <v>451</v>
      </c>
      <c r="B16" s="229">
        <v>44865.107190000002</v>
      </c>
      <c r="C16" s="229">
        <v>8980.3436600000005</v>
      </c>
      <c r="D16" s="229">
        <v>35884.763530000004</v>
      </c>
      <c r="E16" s="229">
        <v>34202.850700000003</v>
      </c>
      <c r="F16" s="229">
        <v>1681.9128000000001</v>
      </c>
      <c r="G16" s="229">
        <v>22435.330200000004</v>
      </c>
      <c r="H16" s="229">
        <v>-6463.6979699999993</v>
      </c>
      <c r="I16" s="229">
        <v>28899.028170000005</v>
      </c>
      <c r="J16" s="229">
        <v>32043.062270000002</v>
      </c>
      <c r="K16" s="229">
        <v>-637.59492999999975</v>
      </c>
      <c r="L16" s="229">
        <v>1052015.8716</v>
      </c>
      <c r="M16" s="229">
        <v>170129.99132</v>
      </c>
      <c r="N16" s="229">
        <v>881885.88028000004</v>
      </c>
      <c r="O16" s="229">
        <v>79689.749670000005</v>
      </c>
      <c r="P16" s="229">
        <v>801512.31946999999</v>
      </c>
      <c r="Q16" s="229">
        <v>99.854199709370931</v>
      </c>
      <c r="R16" s="229">
        <v>99.105191968341501</v>
      </c>
      <c r="S16" s="229">
        <v>99.999999999999986</v>
      </c>
      <c r="T16" s="229">
        <v>100</v>
      </c>
      <c r="U16" s="229">
        <v>100</v>
      </c>
      <c r="V16" s="229">
        <v>1028196.03509</v>
      </c>
      <c r="W16" s="229">
        <v>176593.68929000001</v>
      </c>
      <c r="X16" s="229">
        <v>851602.34580000001</v>
      </c>
      <c r="Y16" s="229">
        <v>46254.181089999998</v>
      </c>
      <c r="Z16" s="229">
        <v>802157.91440000001</v>
      </c>
      <c r="AA16" s="229">
        <v>95.561423783318347</v>
      </c>
      <c r="AB16" s="229">
        <v>94.383840308658591</v>
      </c>
      <c r="AC16" s="229">
        <v>95.80930297408824</v>
      </c>
      <c r="AD16" s="240">
        <v>56.525180533019615</v>
      </c>
      <c r="AE16" s="230">
        <v>99.791758332606605</v>
      </c>
    </row>
    <row r="17" spans="1:31" s="288" customFormat="1" x14ac:dyDescent="0.25">
      <c r="A17" s="290" t="s">
        <v>452</v>
      </c>
      <c r="B17" s="229">
        <v>111467.48821</v>
      </c>
      <c r="C17" s="229">
        <v>34979.915970000002</v>
      </c>
      <c r="D17" s="229">
        <v>76487.572239999994</v>
      </c>
      <c r="E17" s="229">
        <v>68235.13854</v>
      </c>
      <c r="F17" s="229">
        <v>8252.4336999999996</v>
      </c>
      <c r="G17" s="229">
        <v>28112.585659999997</v>
      </c>
      <c r="H17" s="229">
        <v>13732.594990000001</v>
      </c>
      <c r="I17" s="229">
        <v>14379.990669999999</v>
      </c>
      <c r="J17" s="229">
        <v>53943.261400000003</v>
      </c>
      <c r="K17" s="229">
        <v>-39563.270729999997</v>
      </c>
      <c r="L17" s="229">
        <v>472833.18828999996</v>
      </c>
      <c r="M17" s="229">
        <v>75402.575819999998</v>
      </c>
      <c r="N17" s="229">
        <v>397430.61246999999</v>
      </c>
      <c r="O17" s="229">
        <v>88771.179000000004</v>
      </c>
      <c r="P17" s="229">
        <v>308659.43346999999</v>
      </c>
      <c r="Q17" s="229">
        <v>99.268884737755741</v>
      </c>
      <c r="R17" s="229">
        <v>100.01251164182464</v>
      </c>
      <c r="S17" s="240">
        <v>99.129046303068947</v>
      </c>
      <c r="T17" s="240">
        <v>96.215332321414806</v>
      </c>
      <c r="U17" s="229">
        <v>100</v>
      </c>
      <c r="V17" s="229">
        <v>444033.97450999997</v>
      </c>
      <c r="W17" s="229">
        <v>61266.943780000001</v>
      </c>
      <c r="X17" s="229">
        <v>382767.03073</v>
      </c>
      <c r="Y17" s="229">
        <v>34525.133009999998</v>
      </c>
      <c r="Z17" s="229">
        <v>348241.89772000001</v>
      </c>
      <c r="AA17" s="240">
        <v>82.990289869530699</v>
      </c>
      <c r="AB17" s="240">
        <v>81.86026129391287</v>
      </c>
      <c r="AC17" s="240">
        <v>83.174068893442168</v>
      </c>
      <c r="AD17" s="240">
        <v>33.123314413850323</v>
      </c>
      <c r="AE17" s="230">
        <v>97.829595923810345</v>
      </c>
    </row>
    <row r="18" spans="1:31" s="288" customFormat="1" x14ac:dyDescent="0.25">
      <c r="A18" s="290" t="s">
        <v>453</v>
      </c>
      <c r="B18" s="229">
        <v>55201.652399999999</v>
      </c>
      <c r="C18" s="229">
        <v>19786.676520000001</v>
      </c>
      <c r="D18" s="229">
        <v>35414.975879999998</v>
      </c>
      <c r="E18" s="229">
        <v>25407.524829999998</v>
      </c>
      <c r="F18" s="229">
        <v>10007.45105</v>
      </c>
      <c r="G18" s="229">
        <v>-10933.506719999998</v>
      </c>
      <c r="H18" s="229">
        <v>2794.6842099999994</v>
      </c>
      <c r="I18" s="229">
        <v>-13728.190930000004</v>
      </c>
      <c r="J18" s="229">
        <v>-11263.834420000003</v>
      </c>
      <c r="K18" s="229">
        <v>-2464.3565099999996</v>
      </c>
      <c r="L18" s="229">
        <v>4281742.15778</v>
      </c>
      <c r="M18" s="229">
        <v>299349.06673999998</v>
      </c>
      <c r="N18" s="229">
        <v>3982393.0910400003</v>
      </c>
      <c r="O18" s="229">
        <v>617617.25742000004</v>
      </c>
      <c r="P18" s="229">
        <v>3364775.8336200002</v>
      </c>
      <c r="Q18" s="229">
        <v>99.68884689464447</v>
      </c>
      <c r="R18" s="229">
        <v>100.57430958896769</v>
      </c>
      <c r="S18" s="229">
        <v>99.622917930965713</v>
      </c>
      <c r="T18" s="229">
        <v>97.85055255824058</v>
      </c>
      <c r="U18" s="229">
        <v>99.955239726335989</v>
      </c>
      <c r="V18" s="229">
        <v>4292206.7465500003</v>
      </c>
      <c r="W18" s="229">
        <v>297126.93612999999</v>
      </c>
      <c r="X18" s="229">
        <v>3995079.81042</v>
      </c>
      <c r="Y18" s="229">
        <v>627839.62028999999</v>
      </c>
      <c r="Z18" s="229">
        <v>3367240.19013</v>
      </c>
      <c r="AA18" s="229">
        <v>99.023021055856219</v>
      </c>
      <c r="AB18" s="229">
        <v>96.244869247877489</v>
      </c>
      <c r="AC18" s="229">
        <v>99.236062685884249</v>
      </c>
      <c r="AD18" s="229">
        <v>96.779892877282293</v>
      </c>
      <c r="AE18" s="230">
        <v>99.707883801194285</v>
      </c>
    </row>
    <row r="19" spans="1:31" s="288" customFormat="1" x14ac:dyDescent="0.25">
      <c r="A19" s="290" t="s">
        <v>454</v>
      </c>
      <c r="B19" s="229">
        <v>558.93317999999999</v>
      </c>
      <c r="C19" s="229">
        <v>558.93317999999999</v>
      </c>
      <c r="D19" s="229">
        <v>0</v>
      </c>
      <c r="E19" s="229">
        <v>0</v>
      </c>
      <c r="F19" s="229">
        <v>0</v>
      </c>
      <c r="G19" s="229">
        <v>40.778149999999982</v>
      </c>
      <c r="H19" s="229">
        <v>40.778149999999982</v>
      </c>
      <c r="I19" s="229">
        <v>0</v>
      </c>
      <c r="J19" s="229">
        <v>0</v>
      </c>
      <c r="K19" s="229">
        <v>0</v>
      </c>
      <c r="L19" s="229">
        <v>10185.23264</v>
      </c>
      <c r="M19" s="229">
        <v>8570.6326399999998</v>
      </c>
      <c r="N19" s="229">
        <v>1614.6</v>
      </c>
      <c r="O19" s="229">
        <v>1000</v>
      </c>
      <c r="P19" s="229">
        <v>614.6</v>
      </c>
      <c r="Q19" s="229">
        <v>100</v>
      </c>
      <c r="R19" s="229">
        <v>100</v>
      </c>
      <c r="S19" s="229">
        <v>99.999999999999986</v>
      </c>
      <c r="T19" s="229">
        <v>100</v>
      </c>
      <c r="U19" s="229">
        <v>100</v>
      </c>
      <c r="V19" s="229">
        <v>10144.45449</v>
      </c>
      <c r="W19" s="229">
        <v>8529.8544899999997</v>
      </c>
      <c r="X19" s="229">
        <v>1614.6</v>
      </c>
      <c r="Y19" s="229">
        <v>1000</v>
      </c>
      <c r="Z19" s="229">
        <v>614.6</v>
      </c>
      <c r="AA19" s="229">
        <v>100</v>
      </c>
      <c r="AB19" s="229">
        <v>100</v>
      </c>
      <c r="AC19" s="229">
        <v>99.999999999999986</v>
      </c>
      <c r="AD19" s="229">
        <v>100</v>
      </c>
      <c r="AE19" s="230">
        <v>100</v>
      </c>
    </row>
    <row r="20" spans="1:31" s="288" customFormat="1" x14ac:dyDescent="0.25">
      <c r="A20" s="290" t="s">
        <v>455</v>
      </c>
      <c r="B20" s="229">
        <v>5299.4476700000005</v>
      </c>
      <c r="C20" s="229">
        <v>15.655559999999999</v>
      </c>
      <c r="D20" s="229">
        <v>5283.7921100000003</v>
      </c>
      <c r="E20" s="229">
        <v>633.12449000000004</v>
      </c>
      <c r="F20" s="229">
        <v>4650.6676200000002</v>
      </c>
      <c r="G20" s="229">
        <v>2276.8515800000005</v>
      </c>
      <c r="H20" s="229">
        <v>-50.531219999999998</v>
      </c>
      <c r="I20" s="229">
        <v>2327.3828000000003</v>
      </c>
      <c r="J20" s="229">
        <v>-2211.4953499999997</v>
      </c>
      <c r="K20" s="229">
        <v>4538.8781500000005</v>
      </c>
      <c r="L20" s="229">
        <v>112286.90194000001</v>
      </c>
      <c r="M20" s="229">
        <v>4465.2019399999999</v>
      </c>
      <c r="N20" s="229">
        <v>107821.70000000001</v>
      </c>
      <c r="O20" s="229">
        <v>58915.9</v>
      </c>
      <c r="P20" s="229">
        <v>48905.8</v>
      </c>
      <c r="Q20" s="229">
        <v>99.488298232041686</v>
      </c>
      <c r="R20" s="240">
        <v>88.547291861121053</v>
      </c>
      <c r="S20" s="229">
        <v>100</v>
      </c>
      <c r="T20" s="229">
        <v>100</v>
      </c>
      <c r="U20" s="229">
        <v>100</v>
      </c>
      <c r="V20" s="229">
        <v>110010.05035999999</v>
      </c>
      <c r="W20" s="229">
        <v>4515.7331599999998</v>
      </c>
      <c r="X20" s="229">
        <v>105494.31719999999</v>
      </c>
      <c r="Y20" s="229">
        <v>61127.395349999999</v>
      </c>
      <c r="Z20" s="229">
        <v>44366.921849999999</v>
      </c>
      <c r="AA20" s="229">
        <v>94.928701601973231</v>
      </c>
      <c r="AB20" s="229">
        <v>88.389227448181344</v>
      </c>
      <c r="AC20" s="229">
        <v>95.230292209434708</v>
      </c>
      <c r="AD20" s="229">
        <v>98.974871824848279</v>
      </c>
      <c r="AE20" s="242">
        <v>90.512247398770342</v>
      </c>
    </row>
    <row r="21" spans="1:31" s="288" customFormat="1" x14ac:dyDescent="0.25">
      <c r="A21" s="290" t="s">
        <v>456</v>
      </c>
      <c r="B21" s="229">
        <v>66383.017760000002</v>
      </c>
      <c r="C21" s="229">
        <v>110.59699000000001</v>
      </c>
      <c r="D21" s="229">
        <v>66272.420769999997</v>
      </c>
      <c r="E21" s="229">
        <v>65911.587339999998</v>
      </c>
      <c r="F21" s="229">
        <v>360.83343000000002</v>
      </c>
      <c r="G21" s="229">
        <v>1561.9372000000076</v>
      </c>
      <c r="H21" s="229">
        <v>46.229070000000007</v>
      </c>
      <c r="I21" s="229">
        <v>1515.7081299999991</v>
      </c>
      <c r="J21" s="229">
        <v>1659.8477399999974</v>
      </c>
      <c r="K21" s="229">
        <v>-144.13961</v>
      </c>
      <c r="L21" s="229">
        <v>24735.0275</v>
      </c>
      <c r="M21" s="229">
        <v>1854.5585100000001</v>
      </c>
      <c r="N21" s="229">
        <v>22880.468990000001</v>
      </c>
      <c r="O21" s="229">
        <v>17248.268410000001</v>
      </c>
      <c r="P21" s="229">
        <v>5632.2005799999997</v>
      </c>
      <c r="Q21" s="229">
        <v>99.999999959571497</v>
      </c>
      <c r="R21" s="229">
        <v>100</v>
      </c>
      <c r="S21" s="229">
        <v>99.999999956294602</v>
      </c>
      <c r="T21" s="229">
        <v>99.999999942023166</v>
      </c>
      <c r="U21" s="229">
        <v>100</v>
      </c>
      <c r="V21" s="229">
        <v>23173.0903</v>
      </c>
      <c r="W21" s="229">
        <v>1808.32944</v>
      </c>
      <c r="X21" s="229">
        <v>21364.760859999999</v>
      </c>
      <c r="Y21" s="229">
        <v>15588.42067</v>
      </c>
      <c r="Z21" s="229">
        <v>5776.3401899999999</v>
      </c>
      <c r="AA21" s="240">
        <v>25.875499504609053</v>
      </c>
      <c r="AB21" s="229">
        <v>94.236517446893458</v>
      </c>
      <c r="AC21" s="240">
        <v>24.378648948072218</v>
      </c>
      <c r="AD21" s="240">
        <v>19.126894645427054</v>
      </c>
      <c r="AE21" s="230">
        <v>94.120527585791208</v>
      </c>
    </row>
    <row r="22" spans="1:31" s="288" customFormat="1" x14ac:dyDescent="0.25">
      <c r="A22" s="290" t="s">
        <v>457</v>
      </c>
      <c r="B22" s="229">
        <v>101082.53889</v>
      </c>
      <c r="C22" s="229">
        <v>25214.38391</v>
      </c>
      <c r="D22" s="229">
        <v>75868.154979999992</v>
      </c>
      <c r="E22" s="229">
        <v>67167.737099999998</v>
      </c>
      <c r="F22" s="229">
        <v>8700.4178800000009</v>
      </c>
      <c r="G22" s="229">
        <v>6597.8172499999928</v>
      </c>
      <c r="H22" s="229">
        <v>-6091.0613899999989</v>
      </c>
      <c r="I22" s="229">
        <v>12688.878639999995</v>
      </c>
      <c r="J22" s="229">
        <v>51804.204839999999</v>
      </c>
      <c r="K22" s="229">
        <v>-39115.326199999996</v>
      </c>
      <c r="L22" s="229">
        <v>2448329.5995699996</v>
      </c>
      <c r="M22" s="229">
        <v>492185.65844999999</v>
      </c>
      <c r="N22" s="229">
        <v>1956143.9411199999</v>
      </c>
      <c r="O22" s="229">
        <v>209662.8738</v>
      </c>
      <c r="P22" s="229">
        <v>1746481.0673199999</v>
      </c>
      <c r="Q22" s="229">
        <v>99.200441805506216</v>
      </c>
      <c r="R22" s="229">
        <v>97.79925560127981</v>
      </c>
      <c r="S22" s="229">
        <v>99.559339324026823</v>
      </c>
      <c r="T22" s="229">
        <v>100</v>
      </c>
      <c r="U22" s="240">
        <v>99.506699519224412</v>
      </c>
      <c r="V22" s="229">
        <v>2441697.41444</v>
      </c>
      <c r="W22" s="229">
        <v>498276.71983999998</v>
      </c>
      <c r="X22" s="229">
        <v>1943420.6946</v>
      </c>
      <c r="Y22" s="229">
        <v>157824.30108</v>
      </c>
      <c r="Z22" s="229">
        <v>1785596.3935199999</v>
      </c>
      <c r="AA22" s="229">
        <v>95.283970798528728</v>
      </c>
      <c r="AB22" s="229">
        <v>93.211346201257442</v>
      </c>
      <c r="AC22" s="229">
        <v>95.830305155427126</v>
      </c>
      <c r="AD22" s="240">
        <v>70.135902645095996</v>
      </c>
      <c r="AE22" s="230">
        <v>99.037217865296299</v>
      </c>
    </row>
    <row r="23" spans="1:31" s="288" customFormat="1" x14ac:dyDescent="0.25">
      <c r="A23" s="290" t="s">
        <v>458</v>
      </c>
      <c r="B23" s="229">
        <v>22178.885399999999</v>
      </c>
      <c r="C23" s="229">
        <v>22178.885399999999</v>
      </c>
      <c r="D23" s="229">
        <v>0</v>
      </c>
      <c r="E23" s="229">
        <v>0</v>
      </c>
      <c r="F23" s="229">
        <v>0</v>
      </c>
      <c r="G23" s="229">
        <v>22178.885399999999</v>
      </c>
      <c r="H23" s="229">
        <v>22178.885399999999</v>
      </c>
      <c r="I23" s="229">
        <v>0</v>
      </c>
      <c r="J23" s="229">
        <v>0</v>
      </c>
      <c r="K23" s="229">
        <v>0</v>
      </c>
      <c r="L23" s="229">
        <v>82869.196320000003</v>
      </c>
      <c r="M23" s="229">
        <v>62189.496319999998</v>
      </c>
      <c r="N23" s="229">
        <v>20679.7</v>
      </c>
      <c r="O23" s="229">
        <v>257.8</v>
      </c>
      <c r="P23" s="229">
        <v>20421.900000000001</v>
      </c>
      <c r="Q23" s="229">
        <v>99.086832080798473</v>
      </c>
      <c r="R23" s="229">
        <v>98.786862626269226</v>
      </c>
      <c r="S23" s="229">
        <v>100</v>
      </c>
      <c r="T23" s="229">
        <v>100</v>
      </c>
      <c r="U23" s="229">
        <v>100</v>
      </c>
      <c r="V23" s="229">
        <v>60737.961150000003</v>
      </c>
      <c r="W23" s="229">
        <v>40058.261149999998</v>
      </c>
      <c r="X23" s="229">
        <v>20679.7</v>
      </c>
      <c r="Y23" s="229">
        <v>257.8</v>
      </c>
      <c r="Z23" s="229">
        <v>20421.900000000001</v>
      </c>
      <c r="AA23" s="229">
        <v>99.98620466711364</v>
      </c>
      <c r="AB23" s="229">
        <v>99.979084445997941</v>
      </c>
      <c r="AC23" s="229">
        <v>100</v>
      </c>
      <c r="AD23" s="229">
        <v>100</v>
      </c>
      <c r="AE23" s="230">
        <v>100</v>
      </c>
    </row>
    <row r="24" spans="1:31" s="288" customFormat="1" x14ac:dyDescent="0.25">
      <c r="A24" s="290" t="s">
        <v>459</v>
      </c>
      <c r="B24" s="229">
        <v>33001.777950000003</v>
      </c>
      <c r="C24" s="229">
        <v>791.11839999999995</v>
      </c>
      <c r="D24" s="229">
        <v>32210.65955</v>
      </c>
      <c r="E24" s="229">
        <v>32115.890309999999</v>
      </c>
      <c r="F24" s="229">
        <v>94.769239999999996</v>
      </c>
      <c r="G24" s="229">
        <v>32624.893400000004</v>
      </c>
      <c r="H24" s="229">
        <v>414.23384999999996</v>
      </c>
      <c r="I24" s="229">
        <v>32210.65955</v>
      </c>
      <c r="J24" s="229">
        <v>32115.890309999999</v>
      </c>
      <c r="K24" s="229">
        <v>94.769239999999996</v>
      </c>
      <c r="L24" s="229">
        <v>228114.02265</v>
      </c>
      <c r="M24" s="229">
        <v>7547.7467500000002</v>
      </c>
      <c r="N24" s="229">
        <v>220566.27590000001</v>
      </c>
      <c r="O24" s="229">
        <v>74001.175900000002</v>
      </c>
      <c r="P24" s="229">
        <v>146565.1</v>
      </c>
      <c r="Q24" s="229">
        <v>99.999999999999986</v>
      </c>
      <c r="R24" s="229">
        <v>100</v>
      </c>
      <c r="S24" s="229">
        <v>99.999999999999986</v>
      </c>
      <c r="T24" s="229">
        <v>100</v>
      </c>
      <c r="U24" s="229">
        <v>100</v>
      </c>
      <c r="V24" s="229">
        <v>195489.12925000003</v>
      </c>
      <c r="W24" s="229">
        <v>7133.5128999999997</v>
      </c>
      <c r="X24" s="229">
        <v>188355.61635000003</v>
      </c>
      <c r="Y24" s="229">
        <v>41885.28559</v>
      </c>
      <c r="Z24" s="229">
        <v>146470.33076000001</v>
      </c>
      <c r="AA24" s="229">
        <v>99.84265901536088</v>
      </c>
      <c r="AB24" s="229">
        <v>100</v>
      </c>
      <c r="AC24" s="229">
        <v>99.836709836852506</v>
      </c>
      <c r="AD24" s="229">
        <v>99.493332146411419</v>
      </c>
      <c r="AE24" s="230">
        <v>99.935339831924523</v>
      </c>
    </row>
    <row r="25" spans="1:31" s="288" customFormat="1" x14ac:dyDescent="0.25">
      <c r="A25" s="290" t="s">
        <v>532</v>
      </c>
      <c r="B25" s="229">
        <v>6044.7674799999995</v>
      </c>
      <c r="C25" s="229">
        <v>4800.2510199999997</v>
      </c>
      <c r="D25" s="229">
        <v>1244.5164600000001</v>
      </c>
      <c r="E25" s="229">
        <v>1244.5164600000001</v>
      </c>
      <c r="F25" s="229">
        <v>0</v>
      </c>
      <c r="G25" s="229">
        <v>-20402.047300000002</v>
      </c>
      <c r="H25" s="229">
        <v>-19487.663759999999</v>
      </c>
      <c r="I25" s="229">
        <v>-914.38353999999958</v>
      </c>
      <c r="J25" s="229">
        <v>-913.68353999999977</v>
      </c>
      <c r="K25" s="229">
        <v>-0.7</v>
      </c>
      <c r="L25" s="229">
        <v>573536.11823000002</v>
      </c>
      <c r="M25" s="229">
        <v>207719.90327000001</v>
      </c>
      <c r="N25" s="229">
        <v>365816.21496000001</v>
      </c>
      <c r="O25" s="229">
        <v>84215.414959999995</v>
      </c>
      <c r="P25" s="229">
        <v>281600.8</v>
      </c>
      <c r="Q25" s="229">
        <v>100.01728401185871</v>
      </c>
      <c r="R25" s="229">
        <v>100.04773747360893</v>
      </c>
      <c r="S25" s="229">
        <v>100</v>
      </c>
      <c r="T25" s="229">
        <v>100</v>
      </c>
      <c r="U25" s="229">
        <v>100</v>
      </c>
      <c r="V25" s="229">
        <v>593828.98170999996</v>
      </c>
      <c r="W25" s="229">
        <v>227128.96270999999</v>
      </c>
      <c r="X25" s="229">
        <v>366700.01899999997</v>
      </c>
      <c r="Y25" s="229">
        <v>85098.519</v>
      </c>
      <c r="Z25" s="229">
        <v>281601.5</v>
      </c>
      <c r="AA25" s="229">
        <v>98.99066482921782</v>
      </c>
      <c r="AB25" s="229">
        <v>97.938955151631475</v>
      </c>
      <c r="AC25" s="229">
        <v>99.653483100307298</v>
      </c>
      <c r="AD25" s="229">
        <v>98.523743668028118</v>
      </c>
      <c r="AE25" s="230">
        <v>100</v>
      </c>
    </row>
    <row r="26" spans="1:31" ht="26.4" x14ac:dyDescent="0.25">
      <c r="A26" s="290" t="s">
        <v>460</v>
      </c>
      <c r="B26" s="387">
        <v>56374.899010000001</v>
      </c>
      <c r="C26" s="387">
        <v>11176.07482</v>
      </c>
      <c r="D26" s="387">
        <v>45198.824189999999</v>
      </c>
      <c r="E26" s="387">
        <v>45198.634689999999</v>
      </c>
      <c r="F26" s="387">
        <v>0.1895</v>
      </c>
      <c r="G26" s="387">
        <v>32749.934209999999</v>
      </c>
      <c r="H26" s="387">
        <v>-2513.7112099999995</v>
      </c>
      <c r="I26" s="387">
        <v>35263.645420000001</v>
      </c>
      <c r="J26" s="387">
        <v>35263.45592</v>
      </c>
      <c r="K26" s="387">
        <v>0.1895</v>
      </c>
      <c r="L26" s="387">
        <v>317183.37136999995</v>
      </c>
      <c r="M26" s="387">
        <v>117755.05729</v>
      </c>
      <c r="N26" s="387">
        <v>199428.31407999998</v>
      </c>
      <c r="O26" s="387">
        <v>114357.91408</v>
      </c>
      <c r="P26" s="387">
        <v>85070.399999999994</v>
      </c>
      <c r="Q26" s="240">
        <v>96.958587638718981</v>
      </c>
      <c r="R26" s="387">
        <v>92.20900038461842</v>
      </c>
      <c r="S26" s="387">
        <v>100</v>
      </c>
      <c r="T26" s="387">
        <v>100</v>
      </c>
      <c r="U26" s="387">
        <v>100</v>
      </c>
      <c r="V26" s="387">
        <v>283977.39834000001</v>
      </c>
      <c r="W26" s="387">
        <v>120268.76850000001</v>
      </c>
      <c r="X26" s="387">
        <v>163708.62984000001</v>
      </c>
      <c r="Y26" s="387">
        <v>78638.22984</v>
      </c>
      <c r="Z26" s="387">
        <v>85070.399999999994</v>
      </c>
      <c r="AA26" s="387">
        <v>89.19376152232465</v>
      </c>
      <c r="AB26" s="387">
        <v>94.604357249446181</v>
      </c>
      <c r="AC26" s="387">
        <v>85.597300923673089</v>
      </c>
      <c r="AD26" s="387">
        <v>74.058434171780348</v>
      </c>
      <c r="AE26" s="388">
        <v>100</v>
      </c>
    </row>
    <row r="27" spans="1:31" x14ac:dyDescent="0.25">
      <c r="A27" s="290" t="s">
        <v>461</v>
      </c>
      <c r="B27" s="387">
        <v>0</v>
      </c>
      <c r="C27" s="387">
        <v>0</v>
      </c>
      <c r="D27" s="387">
        <v>0</v>
      </c>
      <c r="E27" s="387">
        <v>0</v>
      </c>
      <c r="F27" s="387">
        <v>0</v>
      </c>
      <c r="G27" s="387">
        <v>0</v>
      </c>
      <c r="H27" s="387">
        <v>0</v>
      </c>
      <c r="I27" s="387">
        <v>0</v>
      </c>
      <c r="J27" s="387">
        <v>0</v>
      </c>
      <c r="K27" s="387">
        <v>0</v>
      </c>
      <c r="L27" s="387">
        <v>10511.194629999998</v>
      </c>
      <c r="M27" s="387">
        <v>442.73099999999999</v>
      </c>
      <c r="N27" s="387">
        <v>10068.463629999998</v>
      </c>
      <c r="O27" s="387">
        <v>1172.9723899999999</v>
      </c>
      <c r="P27" s="387">
        <v>8895.4912399999994</v>
      </c>
      <c r="Q27" s="387">
        <v>100</v>
      </c>
      <c r="R27" s="387">
        <v>99.999999999999986</v>
      </c>
      <c r="S27" s="387">
        <v>100</v>
      </c>
      <c r="T27" s="387">
        <v>100</v>
      </c>
      <c r="U27" s="387">
        <v>100</v>
      </c>
      <c r="V27" s="387">
        <v>10511.194629999998</v>
      </c>
      <c r="W27" s="387">
        <v>442.73099999999999</v>
      </c>
      <c r="X27" s="387">
        <v>10068.463629999998</v>
      </c>
      <c r="Y27" s="387">
        <v>1172.9723899999999</v>
      </c>
      <c r="Z27" s="387">
        <v>8895.4912399999994</v>
      </c>
      <c r="AA27" s="387">
        <v>100</v>
      </c>
      <c r="AB27" s="387">
        <v>99.999999999999986</v>
      </c>
      <c r="AC27" s="387">
        <v>100</v>
      </c>
      <c r="AD27" s="387">
        <v>100</v>
      </c>
      <c r="AE27" s="388">
        <v>100</v>
      </c>
    </row>
    <row r="28" spans="1:31" ht="26.4" x14ac:dyDescent="0.25">
      <c r="A28" s="290" t="s">
        <v>462</v>
      </c>
      <c r="B28" s="387">
        <v>7033.5457399999996</v>
      </c>
      <c r="C28" s="387">
        <v>7033.5457399999996</v>
      </c>
      <c r="D28" s="387">
        <v>0</v>
      </c>
      <c r="E28" s="387">
        <v>0</v>
      </c>
      <c r="F28" s="387">
        <v>0</v>
      </c>
      <c r="G28" s="387">
        <v>2766.2929899999999</v>
      </c>
      <c r="H28" s="387">
        <v>3430.0378399999995</v>
      </c>
      <c r="I28" s="387">
        <v>-663.74485000000004</v>
      </c>
      <c r="J28" s="387">
        <v>-663.74485000000004</v>
      </c>
      <c r="K28" s="387">
        <v>0</v>
      </c>
      <c r="L28" s="387">
        <v>236099.13946999999</v>
      </c>
      <c r="M28" s="387">
        <v>85438.202439999994</v>
      </c>
      <c r="N28" s="387">
        <v>150660.93703</v>
      </c>
      <c r="O28" s="387">
        <v>6554.6250300000002</v>
      </c>
      <c r="P28" s="387">
        <v>144106.31200000001</v>
      </c>
      <c r="Q28" s="387">
        <v>99.332683022396026</v>
      </c>
      <c r="R28" s="387">
        <v>98.177389821634193</v>
      </c>
      <c r="S28" s="387">
        <v>100</v>
      </c>
      <c r="T28" s="387">
        <v>100</v>
      </c>
      <c r="U28" s="387">
        <v>100</v>
      </c>
      <c r="V28" s="387">
        <v>233030.40945000004</v>
      </c>
      <c r="W28" s="387">
        <v>82008.164600000004</v>
      </c>
      <c r="X28" s="387">
        <v>151022.24485000002</v>
      </c>
      <c r="Y28" s="387">
        <v>6915.9328500000001</v>
      </c>
      <c r="Z28" s="387">
        <v>144106.31200000001</v>
      </c>
      <c r="AA28" s="387">
        <v>97.892785402249331</v>
      </c>
      <c r="AB28" s="387">
        <v>94.235919232325827</v>
      </c>
      <c r="AC28" s="387">
        <v>100</v>
      </c>
      <c r="AD28" s="387">
        <v>100</v>
      </c>
      <c r="AE28" s="388">
        <v>100</v>
      </c>
    </row>
    <row r="29" spans="1:31" s="219" customFormat="1" ht="13.8" thickBot="1" x14ac:dyDescent="0.3">
      <c r="A29" s="301" t="s">
        <v>335</v>
      </c>
      <c r="B29" s="302">
        <v>2577017.2580600004</v>
      </c>
      <c r="C29" s="302">
        <v>1848313.6740600003</v>
      </c>
      <c r="D29" s="302">
        <v>728703.5839999998</v>
      </c>
      <c r="E29" s="302">
        <v>458912.61367999995</v>
      </c>
      <c r="F29" s="302">
        <v>269790.97028999997</v>
      </c>
      <c r="G29" s="302">
        <v>498740.09929999983</v>
      </c>
      <c r="H29" s="302">
        <v>410476.6236300001</v>
      </c>
      <c r="I29" s="302">
        <v>88263.47567</v>
      </c>
      <c r="J29" s="302">
        <v>282961.33278999996</v>
      </c>
      <c r="K29" s="302">
        <v>-192191.41795</v>
      </c>
      <c r="L29" s="302">
        <v>31095188.180969995</v>
      </c>
      <c r="M29" s="302">
        <v>18996339.815710001</v>
      </c>
      <c r="N29" s="302">
        <v>12098848.365259999</v>
      </c>
      <c r="O29" s="302">
        <v>1912377.0136099998</v>
      </c>
      <c r="P29" s="302">
        <v>10185787.540510003</v>
      </c>
      <c r="Q29" s="302">
        <v>99.204582872808459</v>
      </c>
      <c r="R29" s="302">
        <v>98.844360191747313</v>
      </c>
      <c r="S29" s="302">
        <v>99.775494574938918</v>
      </c>
      <c r="T29" s="302">
        <v>99.115864752150927</v>
      </c>
      <c r="U29" s="302">
        <v>99.90030487694105</v>
      </c>
      <c r="V29" s="302">
        <v>30585090.117640004</v>
      </c>
      <c r="W29" s="302">
        <v>18593252.661059998</v>
      </c>
      <c r="X29" s="302">
        <v>11991837.45658</v>
      </c>
      <c r="Y29" s="302">
        <v>1626521.7675199998</v>
      </c>
      <c r="Z29" s="302">
        <v>10362125.438750001</v>
      </c>
      <c r="AA29" s="302">
        <v>93.21040463572011</v>
      </c>
      <c r="AB29" s="302">
        <v>92.117426038350047</v>
      </c>
      <c r="AC29" s="302">
        <v>94.957303959130357</v>
      </c>
      <c r="AD29" s="302">
        <v>80.219196933040337</v>
      </c>
      <c r="AE29" s="303">
        <v>97.775496060241636</v>
      </c>
    </row>
    <row r="30" spans="1:31" ht="13.8" thickTop="1" x14ac:dyDescent="0.25"/>
  </sheetData>
  <autoFilter ref="A10:AE29"/>
  <mergeCells count="45">
    <mergeCell ref="AC8:AC9"/>
    <mergeCell ref="AD8:AE8"/>
    <mergeCell ref="B3:K3"/>
    <mergeCell ref="J1:K1"/>
    <mergeCell ref="AD1:AE1"/>
    <mergeCell ref="S1:U1"/>
    <mergeCell ref="AB7:AE7"/>
    <mergeCell ref="E8:E9"/>
    <mergeCell ref="F8:F9"/>
    <mergeCell ref="H8:H9"/>
    <mergeCell ref="I8:I9"/>
    <mergeCell ref="J8:K8"/>
    <mergeCell ref="M8:M9"/>
    <mergeCell ref="N8:N9"/>
    <mergeCell ref="O8:P8"/>
    <mergeCell ref="R8:R9"/>
    <mergeCell ref="L7:L9"/>
    <mergeCell ref="M7:P7"/>
    <mergeCell ref="AB8:AB9"/>
    <mergeCell ref="Q7:Q9"/>
    <mergeCell ref="R7:U7"/>
    <mergeCell ref="V7:V9"/>
    <mergeCell ref="W7:Z7"/>
    <mergeCell ref="AA7:AA9"/>
    <mergeCell ref="S8:S9"/>
    <mergeCell ref="T8:U8"/>
    <mergeCell ref="W8:W9"/>
    <mergeCell ref="X8:X9"/>
    <mergeCell ref="Y8:Z8"/>
    <mergeCell ref="A5:A9"/>
    <mergeCell ref="B5:K5"/>
    <mergeCell ref="L5:U5"/>
    <mergeCell ref="V5:AE5"/>
    <mergeCell ref="B6:B9"/>
    <mergeCell ref="C6:F6"/>
    <mergeCell ref="G6:K6"/>
    <mergeCell ref="L6:P6"/>
    <mergeCell ref="Q6:U6"/>
    <mergeCell ref="V6:Z6"/>
    <mergeCell ref="AA6:AE6"/>
    <mergeCell ref="C7:C9"/>
    <mergeCell ref="D7:D9"/>
    <mergeCell ref="E7:F7"/>
    <mergeCell ref="G7:G9"/>
    <mergeCell ref="H7:K7"/>
  </mergeCells>
  <conditionalFormatting sqref="B11:AE29">
    <cfRule type="cellIs" dxfId="2" priority="1" operator="equal">
      <formula>0</formula>
    </cfRule>
  </conditionalFormatting>
  <printOptions horizontalCentered="1"/>
  <pageMargins left="0" right="0" top="0.55118110236220474" bottom="0.35433070866141736" header="0.31496062992125984" footer="0.11811023622047245"/>
  <pageSetup paperSize="9" fitToWidth="100" orientation="landscape" r:id="rId1"/>
  <headerFooter>
    <oddFooter>&amp;C&amp;9Страница  &amp;P из &amp;N</oddFooter>
  </headerFooter>
  <colBreaks count="2" manualBreakCount="2">
    <brk id="11" max="28" man="1"/>
    <brk id="2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18</vt:i4>
      </vt:variant>
    </vt:vector>
  </HeadingPairs>
  <TitlesOfParts>
    <vt:vector size="31" baseType="lpstr">
      <vt:lpstr>1.1_Конс.</vt:lpstr>
      <vt:lpstr>1.2_Конс_16 к 17</vt:lpstr>
      <vt:lpstr>2_Бюджеты МО</vt:lpstr>
      <vt:lpstr>3_Доходы МО</vt:lpstr>
      <vt:lpstr>4_Межбюд.</vt:lpstr>
      <vt:lpstr>5_Кредит_МО</vt:lpstr>
      <vt:lpstr>6_Программы</vt:lpstr>
      <vt:lpstr>7_ФХД БУ И АУ_конс.</vt:lpstr>
      <vt:lpstr>8_ФХД_БУ И АУ_обл</vt:lpstr>
      <vt:lpstr>9_Долги_БУ и АУ_конс.</vt:lpstr>
      <vt:lpstr>10_Долги_БУ И АУ_обл</vt:lpstr>
      <vt:lpstr>Черн_кон.рас.</vt:lpstr>
      <vt:lpstr>Черн.</vt:lpstr>
      <vt:lpstr>'1.2_Конс_16 к 17'!Заголовки_для_печати</vt:lpstr>
      <vt:lpstr>'10_Долги_БУ И АУ_обл'!Заголовки_для_печати</vt:lpstr>
      <vt:lpstr>'6_Программы'!Заголовки_для_печати</vt:lpstr>
      <vt:lpstr>'7_ФХД БУ И АУ_конс.'!Заголовки_для_печати</vt:lpstr>
      <vt:lpstr>'8_ФХД_БУ И АУ_обл'!Заголовки_для_печати</vt:lpstr>
      <vt:lpstr>'9_Долги_БУ и АУ_конс.'!Заголовки_для_печати</vt:lpstr>
      <vt:lpstr>'1.1_Конс.'!Область_печати</vt:lpstr>
      <vt:lpstr>'1.2_Конс_16 к 17'!Область_печати</vt:lpstr>
      <vt:lpstr>'10_Долги_БУ И АУ_обл'!Область_печати</vt:lpstr>
      <vt:lpstr>'2_Бюджеты МО'!Область_печати</vt:lpstr>
      <vt:lpstr>'3_Доходы МО'!Область_печати</vt:lpstr>
      <vt:lpstr>'4_Межбюд.'!Область_печати</vt:lpstr>
      <vt:lpstr>'5_Кредит_МО'!Область_печати</vt:lpstr>
      <vt:lpstr>'6_Программы'!Область_печати</vt:lpstr>
      <vt:lpstr>'7_ФХД БУ И АУ_конс.'!Область_печати</vt:lpstr>
      <vt:lpstr>'8_ФХД_БУ И АУ_обл'!Область_печати</vt:lpstr>
      <vt:lpstr>'9_Долги_БУ и АУ_конс.'!Область_печати</vt:lpstr>
      <vt:lpstr>Черн_кон.рас.!Область_печати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Кичёв</dc:creator>
  <cp:lastModifiedBy>Калинин С.Ф.</cp:lastModifiedBy>
  <cp:lastPrinted>2018-05-25T11:13:36Z</cp:lastPrinted>
  <dcterms:created xsi:type="dcterms:W3CDTF">2017-08-14T11:43:51Z</dcterms:created>
  <dcterms:modified xsi:type="dcterms:W3CDTF">2018-05-25T11:13:39Z</dcterms:modified>
</cp:coreProperties>
</file>