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Документы\2018 год\Бюджет 2018\2 кв._Исполнение бюджета\Заключение\"/>
    </mc:Choice>
  </mc:AlternateContent>
  <bookViews>
    <workbookView xWindow="480" yWindow="3012" windowWidth="27792" windowHeight="9192" tabRatio="809" firstSheet="3" activeTab="9"/>
  </bookViews>
  <sheets>
    <sheet name="1_Конс." sheetId="1" r:id="rId1"/>
    <sheet name="2_Конс_17 к 18" sheetId="6" r:id="rId2"/>
    <sheet name="3_Бюджеты МО" sheetId="2" r:id="rId3"/>
    <sheet name="4_Доходы МО" sheetId="4" r:id="rId4"/>
    <sheet name="5_Межбюд." sheetId="5" r:id="rId5"/>
    <sheet name="6_Дебитор_МО" sheetId="14" r:id="rId6"/>
    <sheet name="7_Кредит_МО" sheetId="11" r:id="rId7"/>
    <sheet name="8_Программы" sheetId="13" r:id="rId8"/>
    <sheet name="9_Мероприятия ГП" sheetId="15" r:id="rId9"/>
    <sheet name="10_ФХД БУ И АУ_конс." sheetId="7" r:id="rId10"/>
    <sheet name="11_ФХД_БУ И АУ_обл" sheetId="8" r:id="rId11"/>
    <sheet name="12_Долги_БУ и АУ_конс." sheetId="9" r:id="rId12"/>
    <sheet name="13_Долги_БУ И АУ_обл" sheetId="10" r:id="rId13"/>
    <sheet name="Черн_кон.рас." sheetId="12" state="hidden" r:id="rId14"/>
    <sheet name="Черн." sheetId="3" state="hidden" r:id="rId15"/>
  </sheets>
  <definedNames>
    <definedName name="_xlnm._FilterDatabase" localSheetId="9" hidden="1">'10_ФХД БУ И АУ_конс.'!$A$9:$AE$38</definedName>
    <definedName name="_xlnm._FilterDatabase" localSheetId="10" hidden="1">'11_ФХД_БУ И АУ_обл'!$A$10:$AE$29</definedName>
    <definedName name="_xlnm._FilterDatabase" localSheetId="1" hidden="1">'2_Конс_17 к 18'!$A$58:$S$58</definedName>
    <definedName name="_xlnm._FilterDatabase" localSheetId="2" hidden="1">'3_Бюджеты МО'!$A$8:$O$37</definedName>
    <definedName name="_xlnm._FilterDatabase" localSheetId="3" hidden="1">'4_Доходы МО'!$A$8:$S$35</definedName>
    <definedName name="_xlnm._FilterDatabase" localSheetId="4" hidden="1">'5_Межбюд.'!$A$9:$R$40</definedName>
    <definedName name="_xlnm._FilterDatabase" localSheetId="5" hidden="1">'6_Дебитор_МО'!$A$7:$J$36</definedName>
    <definedName name="_xlnm._FilterDatabase" localSheetId="6" hidden="1">'7_Кредит_МО'!$A$7:$J$39</definedName>
    <definedName name="_xlnm._FilterDatabase" localSheetId="14" hidden="1">Черн.!$A$7:$EA$64</definedName>
    <definedName name="_xlnm.Print_Titles" localSheetId="9">'10_ФХД БУ И АУ_конс.'!$A:$A</definedName>
    <definedName name="_xlnm.Print_Titles" localSheetId="10">'11_ФХД_БУ И АУ_обл'!$A:$A</definedName>
    <definedName name="_xlnm.Print_Titles" localSheetId="11">'12_Долги_БУ и АУ_конс.'!$A:$A</definedName>
    <definedName name="_xlnm.Print_Titles" localSheetId="12">'13_Долги_БУ И АУ_обл'!$A:$A</definedName>
    <definedName name="_xlnm.Print_Titles" localSheetId="1">'2_Конс_17 к 18'!$4:$8</definedName>
    <definedName name="_xlnm.Print_Titles" localSheetId="7">'8_Программы'!$6:$8</definedName>
    <definedName name="_xlnm.Print_Titles" localSheetId="8">'9_Мероприятия ГП'!$5:$7</definedName>
    <definedName name="_xlnm.Print_Area" localSheetId="0">'1_Конс.'!$A$1:$AG$168</definedName>
    <definedName name="_xlnm.Print_Area" localSheetId="9">'10_ФХД БУ И АУ_конс.'!$A$1:$AE$38</definedName>
    <definedName name="_xlnm.Print_Area" localSheetId="10">'11_ФХД_БУ И АУ_обл'!$A$1:$AE$28</definedName>
    <definedName name="_xlnm.Print_Area" localSheetId="11">'12_Долги_БУ и АУ_конс.'!$A$1:$Y$39</definedName>
    <definedName name="_xlnm.Print_Area" localSheetId="12">'13_Долги_БУ И АУ_обл'!$A$1:$Y$27</definedName>
    <definedName name="_xlnm.Print_Area" localSheetId="1">'2_Конс_17 к 18'!$A$1:$S$180</definedName>
    <definedName name="_xlnm.Print_Area" localSheetId="2">'3_Бюджеты МО'!$A$1:$O$35</definedName>
    <definedName name="_xlnm.Print_Area" localSheetId="3">'4_Доходы МО'!$A$1:$S$35</definedName>
    <definedName name="_xlnm.Print_Area" localSheetId="4">'5_Межбюд.'!$A$1:$P$36</definedName>
    <definedName name="_xlnm.Print_Area" localSheetId="5">'6_Дебитор_МО'!$A$1:$J$36</definedName>
    <definedName name="_xlnm.Print_Area" localSheetId="6">'7_Кредит_МО'!$A$1:$J$34</definedName>
    <definedName name="_xlnm.Print_Area" localSheetId="7">'8_Программы'!$A$1:$F$44</definedName>
    <definedName name="_xlnm.Print_Area" localSheetId="8">'9_Мероприятия ГП'!$A$1:$Y$204</definedName>
    <definedName name="_xlnm.Print_Area" localSheetId="13">Черн_кон.рас.!$A$1:$AE$34</definedName>
  </definedNames>
  <calcPr calcId="152511"/>
</workbook>
</file>

<file path=xl/calcChain.xml><?xml version="1.0" encoding="utf-8"?>
<calcChain xmlns="http://schemas.openxmlformats.org/spreadsheetml/2006/main">
  <c r="F43" i="13" l="1"/>
  <c r="E43" i="13"/>
  <c r="H42" i="13"/>
  <c r="G42" i="13"/>
  <c r="F42" i="13"/>
  <c r="E42" i="13"/>
  <c r="H41" i="13"/>
  <c r="G41" i="13"/>
  <c r="F41" i="13"/>
  <c r="E41" i="13"/>
  <c r="D39" i="13"/>
  <c r="E39" i="13" s="1"/>
  <c r="C39" i="13"/>
  <c r="B39" i="13"/>
  <c r="F37" i="13"/>
  <c r="E37" i="13"/>
  <c r="D35" i="13"/>
  <c r="E35" i="13" s="1"/>
  <c r="C35" i="13"/>
  <c r="B35" i="13"/>
  <c r="H33" i="13"/>
  <c r="G33" i="13"/>
  <c r="F33" i="13"/>
  <c r="E33" i="13"/>
  <c r="H32" i="13"/>
  <c r="G32" i="13"/>
  <c r="F32" i="13"/>
  <c r="E32" i="13"/>
  <c r="H31" i="13"/>
  <c r="G31" i="13"/>
  <c r="F31" i="13"/>
  <c r="E31" i="13"/>
  <c r="H30" i="13"/>
  <c r="G30" i="13"/>
  <c r="F30" i="13"/>
  <c r="E30" i="13"/>
  <c r="H29" i="13"/>
  <c r="G29" i="13"/>
  <c r="F29" i="13"/>
  <c r="E29" i="13"/>
  <c r="H28" i="13"/>
  <c r="G28" i="13"/>
  <c r="F28" i="13"/>
  <c r="E28" i="13"/>
  <c r="H27" i="13"/>
  <c r="G27" i="13"/>
  <c r="F27" i="13"/>
  <c r="E27" i="13"/>
  <c r="H26" i="13"/>
  <c r="G26" i="13"/>
  <c r="F26" i="13"/>
  <c r="E26" i="13"/>
  <c r="H25" i="13"/>
  <c r="G25" i="13"/>
  <c r="F25" i="13"/>
  <c r="E25" i="13"/>
  <c r="H24" i="13"/>
  <c r="G24" i="13"/>
  <c r="F24" i="13"/>
  <c r="E24" i="13"/>
  <c r="H23" i="13"/>
  <c r="G23" i="13"/>
  <c r="F23" i="13"/>
  <c r="E23" i="13"/>
  <c r="H22" i="13"/>
  <c r="G22" i="13"/>
  <c r="F22" i="13"/>
  <c r="E22" i="13"/>
  <c r="H21" i="13"/>
  <c r="G21" i="13"/>
  <c r="F21" i="13"/>
  <c r="E21" i="13"/>
  <c r="H20" i="13"/>
  <c r="G20" i="13"/>
  <c r="F20" i="13"/>
  <c r="E20" i="13"/>
  <c r="H19" i="13"/>
  <c r="G19" i="13"/>
  <c r="F19" i="13"/>
  <c r="E19" i="13"/>
  <c r="H18" i="13"/>
  <c r="G18" i="13"/>
  <c r="F18" i="13"/>
  <c r="E18" i="13"/>
  <c r="H17" i="13"/>
  <c r="G17" i="13"/>
  <c r="F17" i="13"/>
  <c r="E17" i="13"/>
  <c r="H16" i="13"/>
  <c r="G16" i="13"/>
  <c r="F16" i="13"/>
  <c r="E16" i="13"/>
  <c r="H15" i="13"/>
  <c r="G15" i="13"/>
  <c r="F15" i="13"/>
  <c r="E15" i="13"/>
  <c r="H14" i="13"/>
  <c r="G14" i="13"/>
  <c r="F14" i="13"/>
  <c r="E14" i="13"/>
  <c r="H13" i="13"/>
  <c r="G13" i="13"/>
  <c r="F13" i="13"/>
  <c r="E13" i="13"/>
  <c r="H12" i="13"/>
  <c r="G12" i="13"/>
  <c r="F12" i="13"/>
  <c r="E12" i="13"/>
  <c r="H11" i="13"/>
  <c r="G11" i="13"/>
  <c r="F11" i="13"/>
  <c r="E11" i="13"/>
  <c r="E9" i="13"/>
  <c r="D9" i="13"/>
  <c r="H9" i="13" s="1"/>
  <c r="C9" i="13"/>
  <c r="B9" i="13"/>
  <c r="B44" i="13" s="1"/>
  <c r="G9" i="13" l="1"/>
  <c r="F35" i="13"/>
  <c r="C44" i="13"/>
  <c r="F39" i="13"/>
  <c r="F9" i="13"/>
  <c r="D44" i="13"/>
  <c r="AC38" i="1"/>
  <c r="F44" i="13" l="1"/>
  <c r="E44" i="13"/>
  <c r="P43" i="7"/>
  <c r="EU36" i="3" l="1"/>
  <c r="D24" i="4"/>
  <c r="F45" i="11"/>
  <c r="H36" i="11"/>
  <c r="E47" i="11"/>
  <c r="E43" i="11"/>
  <c r="E41" i="11"/>
  <c r="J33" i="14"/>
  <c r="F47" i="14"/>
  <c r="E45" i="14"/>
  <c r="E44" i="14"/>
  <c r="F45" i="14"/>
  <c r="H36" i="14"/>
  <c r="Q80" i="6" l="1"/>
  <c r="U143" i="6"/>
  <c r="T143" i="6"/>
  <c r="I38" i="5"/>
  <c r="I37" i="5"/>
  <c r="O34" i="5"/>
  <c r="P10" i="5"/>
  <c r="P36" i="5"/>
  <c r="CE14" i="3" l="1"/>
  <c r="CD14" i="3"/>
  <c r="CD13" i="3"/>
  <c r="CD12" i="3"/>
  <c r="X45" i="1"/>
  <c r="X169" i="1"/>
  <c r="AD169" i="1"/>
  <c r="P134" i="1" l="1"/>
  <c r="P39" i="1"/>
  <c r="FP9" i="3" l="1"/>
  <c r="FP10" i="3"/>
  <c r="FP11" i="3"/>
  <c r="FP12" i="3"/>
  <c r="FP13" i="3"/>
  <c r="FP14" i="3"/>
  <c r="FP15" i="3"/>
  <c r="FP16" i="3"/>
  <c r="FP17" i="3"/>
  <c r="FP18" i="3"/>
  <c r="FP19" i="3"/>
  <c r="FP20" i="3"/>
  <c r="FP21" i="3"/>
  <c r="FP22" i="3"/>
  <c r="FP23" i="3"/>
  <c r="FP24" i="3"/>
  <c r="FP25" i="3"/>
  <c r="FP26" i="3"/>
  <c r="FP27" i="3"/>
  <c r="FP28" i="3"/>
  <c r="FP29" i="3"/>
  <c r="FP30" i="3"/>
  <c r="FP31" i="3"/>
  <c r="FP32" i="3"/>
  <c r="FP33" i="3"/>
  <c r="FP8" i="3"/>
  <c r="FO9" i="3"/>
  <c r="FO10" i="3"/>
  <c r="FO11" i="3"/>
  <c r="FO12" i="3"/>
  <c r="FO13" i="3"/>
  <c r="FO14" i="3"/>
  <c r="FO15" i="3"/>
  <c r="FO16" i="3"/>
  <c r="FO17" i="3"/>
  <c r="FO18" i="3"/>
  <c r="FO19" i="3"/>
  <c r="FO20" i="3"/>
  <c r="FO21" i="3"/>
  <c r="FO22" i="3"/>
  <c r="FO23" i="3"/>
  <c r="FO24" i="3"/>
  <c r="FO25" i="3"/>
  <c r="FO26" i="3"/>
  <c r="FO27" i="3"/>
  <c r="FO28" i="3"/>
  <c r="FO29" i="3"/>
  <c r="FO30" i="3"/>
  <c r="FO31" i="3"/>
  <c r="FO32" i="3"/>
  <c r="FO33" i="3"/>
  <c r="FO8" i="3"/>
  <c r="FN35" i="3"/>
  <c r="FO35" i="3" s="1"/>
  <c r="FM34" i="3"/>
  <c r="FM36" i="3" s="1"/>
  <c r="FN34" i="3"/>
  <c r="FL9" i="3"/>
  <c r="FL10" i="3"/>
  <c r="FL11" i="3"/>
  <c r="FL12" i="3"/>
  <c r="FL13" i="3"/>
  <c r="FL14" i="3"/>
  <c r="FL15" i="3"/>
  <c r="FL16" i="3"/>
  <c r="FL17" i="3"/>
  <c r="FL18" i="3"/>
  <c r="FL19" i="3"/>
  <c r="FL20" i="3"/>
  <c r="FL21" i="3"/>
  <c r="FL22" i="3"/>
  <c r="FL23" i="3"/>
  <c r="FL24" i="3"/>
  <c r="FL25" i="3"/>
  <c r="FL26" i="3"/>
  <c r="FL27" i="3"/>
  <c r="FL28" i="3"/>
  <c r="FL29" i="3"/>
  <c r="FL30" i="3"/>
  <c r="FL31" i="3"/>
  <c r="FL32" i="3"/>
  <c r="FL33" i="3"/>
  <c r="FL8" i="3"/>
  <c r="FJ34" i="3"/>
  <c r="FJ36" i="3" s="1"/>
  <c r="FK34" i="3"/>
  <c r="FK36" i="3" s="1"/>
  <c r="FH35" i="3"/>
  <c r="FI35" i="3"/>
  <c r="FF35" i="3"/>
  <c r="FI33" i="3"/>
  <c r="FI32" i="3"/>
  <c r="FI31" i="3"/>
  <c r="FI30" i="3"/>
  <c r="FI29" i="3"/>
  <c r="FI28" i="3"/>
  <c r="FI27" i="3"/>
  <c r="FI26" i="3"/>
  <c r="FI25" i="3"/>
  <c r="FI24" i="3"/>
  <c r="FI23" i="3"/>
  <c r="FI22" i="3"/>
  <c r="FI21" i="3"/>
  <c r="FI20" i="3"/>
  <c r="FI19" i="3"/>
  <c r="FI18" i="3"/>
  <c r="FI17" i="3"/>
  <c r="FI16" i="3"/>
  <c r="FI15" i="3"/>
  <c r="FI14" i="3"/>
  <c r="FI13" i="3"/>
  <c r="FI12" i="3"/>
  <c r="FI11" i="3"/>
  <c r="FI10" i="3"/>
  <c r="FI9" i="3"/>
  <c r="FI8" i="3"/>
  <c r="FG34" i="3"/>
  <c r="FG36" i="3" s="1"/>
  <c r="FH34" i="3"/>
  <c r="FH36" i="3" s="1"/>
  <c r="FD36" i="3"/>
  <c r="FF9" i="3"/>
  <c r="FF10" i="3"/>
  <c r="FF11" i="3"/>
  <c r="FF12" i="3"/>
  <c r="FF13" i="3"/>
  <c r="FF14" i="3"/>
  <c r="FF15" i="3"/>
  <c r="FF16" i="3"/>
  <c r="FF17" i="3"/>
  <c r="FF18" i="3"/>
  <c r="FF19" i="3"/>
  <c r="FF20" i="3"/>
  <c r="FF21" i="3"/>
  <c r="FF22" i="3"/>
  <c r="FF23" i="3"/>
  <c r="FF24" i="3"/>
  <c r="FF25" i="3"/>
  <c r="FF26" i="3"/>
  <c r="FF27" i="3"/>
  <c r="FF28" i="3"/>
  <c r="FF29" i="3"/>
  <c r="FF30" i="3"/>
  <c r="FF31" i="3"/>
  <c r="FF32" i="3"/>
  <c r="FF33" i="3"/>
  <c r="FF8" i="3"/>
  <c r="FD34" i="3"/>
  <c r="FE34" i="3"/>
  <c r="FE36" i="3" s="1"/>
  <c r="FO34" i="3" l="1"/>
  <c r="FP34" i="3"/>
  <c r="FN36" i="3"/>
  <c r="FO36" i="3" s="1"/>
  <c r="FL34" i="3"/>
  <c r="FL36" i="3" s="1"/>
  <c r="FI34" i="3"/>
  <c r="FI36" i="3" s="1"/>
  <c r="FF34" i="3"/>
  <c r="FF36" i="3" s="1"/>
  <c r="EI42" i="3" l="1"/>
  <c r="EH39" i="3"/>
  <c r="EI39" i="3"/>
  <c r="Q177" i="6" l="1"/>
  <c r="R177" i="6"/>
  <c r="Q178" i="6"/>
  <c r="R178" i="6"/>
  <c r="Q179" i="6"/>
  <c r="R179" i="6"/>
  <c r="S179" i="6"/>
  <c r="Q163" i="6"/>
  <c r="S163" i="6"/>
  <c r="J156" i="6"/>
  <c r="J154" i="6"/>
  <c r="J151" i="6"/>
  <c r="J144" i="6"/>
  <c r="J132" i="6"/>
  <c r="J130" i="6"/>
  <c r="J82" i="6"/>
  <c r="J80" i="6"/>
  <c r="J76" i="6" l="1"/>
  <c r="J73" i="6"/>
  <c r="J68" i="6"/>
  <c r="J66" i="6"/>
  <c r="J63" i="6"/>
  <c r="J61" i="6"/>
  <c r="Q137" i="6" l="1"/>
  <c r="R137" i="6"/>
  <c r="N14" i="6" l="1"/>
  <c r="O14" i="6"/>
  <c r="P14" i="6"/>
  <c r="Q14" i="6"/>
  <c r="R14" i="6"/>
  <c r="N15" i="6"/>
  <c r="O15" i="6"/>
  <c r="P15" i="6"/>
  <c r="Q15" i="6"/>
  <c r="R15" i="6"/>
  <c r="N16" i="6"/>
  <c r="O16" i="6"/>
  <c r="P16" i="6"/>
  <c r="Q16" i="6"/>
  <c r="R16" i="6"/>
  <c r="S16" i="6"/>
  <c r="N17" i="6"/>
  <c r="O17" i="6"/>
  <c r="P17" i="6"/>
  <c r="Q17" i="6"/>
  <c r="R17" i="6"/>
  <c r="S17" i="6"/>
  <c r="N18" i="6"/>
  <c r="O18" i="6"/>
  <c r="P18" i="6"/>
  <c r="Q18" i="6"/>
  <c r="R18" i="6"/>
  <c r="S18" i="6"/>
  <c r="N19" i="6"/>
  <c r="O19" i="6"/>
  <c r="P19" i="6"/>
  <c r="Q19" i="6"/>
  <c r="R19" i="6"/>
  <c r="S19" i="6"/>
  <c r="N20" i="6"/>
  <c r="O20" i="6"/>
  <c r="P20" i="6"/>
  <c r="Q20" i="6"/>
  <c r="R20" i="6"/>
  <c r="H55" i="6" l="1"/>
  <c r="I55" i="6"/>
  <c r="J55" i="6"/>
  <c r="Y8" i="12" l="1"/>
  <c r="AB8" i="12"/>
  <c r="AE8" i="12"/>
  <c r="Y9" i="12"/>
  <c r="AB9" i="12"/>
  <c r="AE9" i="12"/>
  <c r="D35" i="12" l="1"/>
  <c r="CI9" i="3" l="1"/>
  <c r="CI10" i="3"/>
  <c r="CI11" i="3"/>
  <c r="CI12" i="3"/>
  <c r="CI13" i="3"/>
  <c r="CI14" i="3"/>
  <c r="CI15" i="3"/>
  <c r="CI16" i="3"/>
  <c r="CI17" i="3"/>
  <c r="CI18" i="3"/>
  <c r="CI19" i="3"/>
  <c r="CI20" i="3"/>
  <c r="CI21" i="3"/>
  <c r="CI22" i="3"/>
  <c r="CI23" i="3"/>
  <c r="CI24" i="3"/>
  <c r="CI25" i="3"/>
  <c r="CI26" i="3"/>
  <c r="CI27" i="3"/>
  <c r="CI28" i="3"/>
  <c r="CI29" i="3"/>
  <c r="CI30" i="3"/>
  <c r="CI31" i="3"/>
  <c r="CI32" i="3"/>
  <c r="CI33" i="3"/>
  <c r="CI8" i="3"/>
  <c r="FC35" i="3"/>
  <c r="FB35" i="3"/>
  <c r="EJ8" i="3" l="1"/>
  <c r="EK8" i="3"/>
  <c r="EP8" i="3"/>
  <c r="EQ8" i="3"/>
  <c r="EV8" i="3"/>
  <c r="EW8" i="3"/>
  <c r="FB8" i="3"/>
  <c r="FC8" i="3"/>
  <c r="EC35" i="3"/>
  <c r="EB35" i="3"/>
  <c r="EA35" i="3"/>
  <c r="DZ35" i="3"/>
  <c r="ED35" i="3" l="1"/>
  <c r="EE35" i="3"/>
  <c r="DQ34" i="3"/>
  <c r="DN9" i="3"/>
  <c r="DN10" i="3"/>
  <c r="DN11" i="3"/>
  <c r="DN12" i="3"/>
  <c r="DN13" i="3"/>
  <c r="DN14" i="3"/>
  <c r="DN15" i="3"/>
  <c r="DN16" i="3"/>
  <c r="DN17" i="3"/>
  <c r="DN18" i="3"/>
  <c r="DN19" i="3"/>
  <c r="DN20" i="3"/>
  <c r="DN21" i="3"/>
  <c r="DN22" i="3"/>
  <c r="DN23" i="3"/>
  <c r="DN24" i="3"/>
  <c r="DN25" i="3"/>
  <c r="DN26" i="3"/>
  <c r="DN27" i="3"/>
  <c r="DN28" i="3"/>
  <c r="DN29" i="3"/>
  <c r="DN30" i="3"/>
  <c r="DN31" i="3"/>
  <c r="DN32" i="3"/>
  <c r="DN33" i="3"/>
  <c r="DN8" i="3"/>
  <c r="DP8" i="3"/>
  <c r="DS8" i="3" s="1"/>
  <c r="DX8" i="3"/>
  <c r="DY8" i="3"/>
  <c r="ED8" i="3"/>
  <c r="EE8" i="3"/>
  <c r="DL9" i="3"/>
  <c r="DL10" i="3"/>
  <c r="DL11" i="3"/>
  <c r="DL12" i="3"/>
  <c r="DL13" i="3"/>
  <c r="DL14" i="3"/>
  <c r="DL15" i="3"/>
  <c r="DL16" i="3"/>
  <c r="DL17" i="3"/>
  <c r="DL18" i="3"/>
  <c r="DL19" i="3"/>
  <c r="DL20" i="3"/>
  <c r="DL21" i="3"/>
  <c r="DL22" i="3"/>
  <c r="DL23" i="3"/>
  <c r="DL24" i="3"/>
  <c r="DL25" i="3"/>
  <c r="DL26" i="3"/>
  <c r="DL27" i="3"/>
  <c r="DL28" i="3"/>
  <c r="DL29" i="3"/>
  <c r="DL30" i="3"/>
  <c r="DL31" i="3"/>
  <c r="DL32" i="3"/>
  <c r="DL33" i="3"/>
  <c r="DL8" i="3"/>
  <c r="DG9" i="3" l="1"/>
  <c r="DG10" i="3"/>
  <c r="DG11" i="3"/>
  <c r="DG12" i="3"/>
  <c r="DG13" i="3"/>
  <c r="DG14" i="3"/>
  <c r="DG15" i="3"/>
  <c r="DG16" i="3"/>
  <c r="DG17" i="3"/>
  <c r="DG18" i="3"/>
  <c r="DG19" i="3"/>
  <c r="DG20" i="3"/>
  <c r="DG21" i="3"/>
  <c r="DG22" i="3"/>
  <c r="DG23" i="3"/>
  <c r="DG24" i="3"/>
  <c r="DG25" i="3"/>
  <c r="DG26" i="3"/>
  <c r="DG27" i="3"/>
  <c r="DG28" i="3"/>
  <c r="DG29" i="3"/>
  <c r="DG30" i="3"/>
  <c r="DG31" i="3"/>
  <c r="DG32" i="3"/>
  <c r="DG33" i="3"/>
  <c r="DG8" i="3"/>
  <c r="DB9" i="3"/>
  <c r="DB10" i="3"/>
  <c r="DB11" i="3"/>
  <c r="DB12" i="3"/>
  <c r="DB13" i="3"/>
  <c r="DB14" i="3"/>
  <c r="DB15" i="3"/>
  <c r="DB16" i="3"/>
  <c r="DB17" i="3"/>
  <c r="DB18" i="3"/>
  <c r="DB19" i="3"/>
  <c r="DB20" i="3"/>
  <c r="DB21" i="3"/>
  <c r="DB22" i="3"/>
  <c r="DB23" i="3"/>
  <c r="DB24" i="3"/>
  <c r="DB25" i="3"/>
  <c r="DB26" i="3"/>
  <c r="DB27" i="3"/>
  <c r="DB28" i="3"/>
  <c r="DB29" i="3"/>
  <c r="DB30" i="3"/>
  <c r="DB31" i="3"/>
  <c r="DB32" i="3"/>
  <c r="DB33" i="3"/>
  <c r="DB8" i="3"/>
  <c r="CG9" i="3"/>
  <c r="CG10" i="3"/>
  <c r="CG11" i="3"/>
  <c r="CG12" i="3"/>
  <c r="CG13" i="3"/>
  <c r="CG14" i="3"/>
  <c r="CG15" i="3"/>
  <c r="CG16" i="3"/>
  <c r="CG17" i="3"/>
  <c r="CG18" i="3"/>
  <c r="CG19" i="3"/>
  <c r="CG20" i="3"/>
  <c r="CG21" i="3"/>
  <c r="CG22" i="3"/>
  <c r="CG23" i="3"/>
  <c r="CG24" i="3"/>
  <c r="CG25" i="3"/>
  <c r="CG26" i="3"/>
  <c r="CG27" i="3"/>
  <c r="CG28" i="3"/>
  <c r="CG29" i="3"/>
  <c r="CG30" i="3"/>
  <c r="CG31" i="3"/>
  <c r="CG32" i="3"/>
  <c r="CG33" i="3"/>
  <c r="CG8" i="3"/>
  <c r="BZ9" i="3" l="1"/>
  <c r="BZ10" i="3"/>
  <c r="BZ11" i="3"/>
  <c r="BZ12" i="3"/>
  <c r="BZ13" i="3"/>
  <c r="BZ14" i="3"/>
  <c r="BZ15" i="3"/>
  <c r="BZ16" i="3"/>
  <c r="BZ17" i="3"/>
  <c r="BZ18" i="3"/>
  <c r="BZ19" i="3"/>
  <c r="BZ20" i="3"/>
  <c r="BZ21" i="3"/>
  <c r="BZ22" i="3"/>
  <c r="BZ23" i="3"/>
  <c r="BZ24" i="3"/>
  <c r="BZ25" i="3"/>
  <c r="BZ26" i="3"/>
  <c r="BZ27" i="3"/>
  <c r="BZ28" i="3"/>
  <c r="BZ29" i="3"/>
  <c r="BZ30" i="3"/>
  <c r="BZ31" i="3"/>
  <c r="BZ32" i="3"/>
  <c r="BZ33" i="3"/>
  <c r="BZ8" i="3"/>
  <c r="CB8" i="3"/>
  <c r="CJ8" i="3"/>
  <c r="CN8" i="3"/>
  <c r="CQ8" i="3" s="1"/>
  <c r="CP8" i="3"/>
  <c r="CR8" i="3" s="1"/>
  <c r="CW8" i="3"/>
  <c r="CD8" i="3" l="1"/>
  <c r="CE8" i="3"/>
  <c r="CB9" i="3" l="1"/>
  <c r="CB10" i="3"/>
  <c r="CB11" i="3"/>
  <c r="CB12" i="3"/>
  <c r="CB13" i="3"/>
  <c r="CB14" i="3"/>
  <c r="CB15" i="3"/>
  <c r="CB16" i="3"/>
  <c r="CB17" i="3"/>
  <c r="CB18" i="3"/>
  <c r="CB19" i="3"/>
  <c r="CB20" i="3"/>
  <c r="CB21" i="3"/>
  <c r="CB22" i="3"/>
  <c r="CB23" i="3"/>
  <c r="CB24" i="3"/>
  <c r="CB25" i="3"/>
  <c r="CB26" i="3"/>
  <c r="CB27" i="3"/>
  <c r="CB28" i="3"/>
  <c r="CB29" i="3"/>
  <c r="CB30" i="3"/>
  <c r="CB31" i="3"/>
  <c r="CB32" i="3"/>
  <c r="CB33" i="3"/>
  <c r="BX9" i="3"/>
  <c r="BX10" i="3"/>
  <c r="BX11" i="3"/>
  <c r="BX12" i="3"/>
  <c r="BX13" i="3"/>
  <c r="BX14" i="3"/>
  <c r="BX15" i="3"/>
  <c r="BX16" i="3"/>
  <c r="BX17" i="3"/>
  <c r="BX18" i="3"/>
  <c r="BX19" i="3"/>
  <c r="BX20" i="3"/>
  <c r="BX21" i="3"/>
  <c r="BX22" i="3"/>
  <c r="BX23" i="3"/>
  <c r="BX24" i="3"/>
  <c r="BX25" i="3"/>
  <c r="BX26" i="3"/>
  <c r="BX27" i="3"/>
  <c r="BX28" i="3"/>
  <c r="BX29" i="3"/>
  <c r="BX30" i="3"/>
  <c r="BX31" i="3"/>
  <c r="BX32" i="3"/>
  <c r="BX33" i="3"/>
  <c r="BX8" i="3"/>
  <c r="CC8" i="3" s="1"/>
  <c r="BU9" i="3"/>
  <c r="BU10" i="3"/>
  <c r="BU11" i="3"/>
  <c r="BU12" i="3"/>
  <c r="BU13" i="3"/>
  <c r="BU14" i="3"/>
  <c r="BU15" i="3"/>
  <c r="BU16" i="3"/>
  <c r="BU17" i="3"/>
  <c r="BU18" i="3"/>
  <c r="BU19" i="3"/>
  <c r="BU20" i="3"/>
  <c r="BU21" i="3"/>
  <c r="BU22" i="3"/>
  <c r="BU23" i="3"/>
  <c r="BU24" i="3"/>
  <c r="BU25" i="3"/>
  <c r="BU26" i="3"/>
  <c r="BU27" i="3"/>
  <c r="BU28" i="3"/>
  <c r="BU29" i="3"/>
  <c r="BU30" i="3"/>
  <c r="BU31" i="3"/>
  <c r="BU32" i="3"/>
  <c r="BU33" i="3"/>
  <c r="BU8" i="3"/>
  <c r="BS9" i="3"/>
  <c r="BS10" i="3"/>
  <c r="BS11" i="3"/>
  <c r="BS12" i="3"/>
  <c r="BS13" i="3"/>
  <c r="BS14" i="3"/>
  <c r="BS15" i="3"/>
  <c r="BS16" i="3"/>
  <c r="BS17" i="3"/>
  <c r="BS18" i="3"/>
  <c r="BS19" i="3"/>
  <c r="BS20" i="3"/>
  <c r="BS21" i="3"/>
  <c r="BS22" i="3"/>
  <c r="BS23" i="3"/>
  <c r="BS24" i="3"/>
  <c r="BS25" i="3"/>
  <c r="BS26" i="3"/>
  <c r="BS27" i="3"/>
  <c r="BS28" i="3"/>
  <c r="BS29" i="3"/>
  <c r="BS30" i="3"/>
  <c r="BS31" i="3"/>
  <c r="BS32" i="3"/>
  <c r="BS33" i="3"/>
  <c r="BS8" i="3"/>
  <c r="BP9" i="3"/>
  <c r="BP10" i="3"/>
  <c r="BP11" i="3"/>
  <c r="BP12" i="3"/>
  <c r="BP13" i="3"/>
  <c r="BP14" i="3"/>
  <c r="BP15" i="3"/>
  <c r="BP16" i="3"/>
  <c r="BP17" i="3"/>
  <c r="BP18" i="3"/>
  <c r="BP19" i="3"/>
  <c r="BP20" i="3"/>
  <c r="BP21" i="3"/>
  <c r="BP22" i="3"/>
  <c r="BP23" i="3"/>
  <c r="BP24" i="3"/>
  <c r="BP25" i="3"/>
  <c r="BP26" i="3"/>
  <c r="BP27" i="3"/>
  <c r="BP28" i="3"/>
  <c r="BP29" i="3"/>
  <c r="BP30" i="3"/>
  <c r="BP31" i="3"/>
  <c r="BP32" i="3"/>
  <c r="BP33" i="3"/>
  <c r="BP8" i="3"/>
  <c r="BN9" i="3"/>
  <c r="BN10" i="3"/>
  <c r="BN11" i="3"/>
  <c r="BN12" i="3"/>
  <c r="BN13" i="3"/>
  <c r="BN14" i="3"/>
  <c r="BN15" i="3"/>
  <c r="BN16" i="3"/>
  <c r="BN17" i="3"/>
  <c r="BN18" i="3"/>
  <c r="BN19" i="3"/>
  <c r="BN20" i="3"/>
  <c r="BN21" i="3"/>
  <c r="BN22" i="3"/>
  <c r="BN23" i="3"/>
  <c r="BN24" i="3"/>
  <c r="BN25" i="3"/>
  <c r="BN26" i="3"/>
  <c r="BN27" i="3"/>
  <c r="BN28" i="3"/>
  <c r="BN29" i="3"/>
  <c r="BN30" i="3"/>
  <c r="BN31" i="3"/>
  <c r="BN32" i="3"/>
  <c r="BN33" i="3"/>
  <c r="BN8" i="3"/>
  <c r="BL9" i="3"/>
  <c r="BL10" i="3"/>
  <c r="BL11" i="3"/>
  <c r="BL12" i="3"/>
  <c r="BL13" i="3"/>
  <c r="BL14" i="3"/>
  <c r="BL15" i="3"/>
  <c r="BL16" i="3"/>
  <c r="BL17" i="3"/>
  <c r="BL18" i="3"/>
  <c r="BL19" i="3"/>
  <c r="BL20" i="3"/>
  <c r="BL21" i="3"/>
  <c r="BL22" i="3"/>
  <c r="BL23" i="3"/>
  <c r="BL24" i="3"/>
  <c r="BL25" i="3"/>
  <c r="BL26" i="3"/>
  <c r="BL27" i="3"/>
  <c r="BL28" i="3"/>
  <c r="BL29" i="3"/>
  <c r="BL30" i="3"/>
  <c r="BL31" i="3"/>
  <c r="BL32" i="3"/>
  <c r="BL33" i="3"/>
  <c r="BL8" i="3"/>
  <c r="BG9" i="3"/>
  <c r="BG10" i="3"/>
  <c r="BG11" i="3"/>
  <c r="BG12" i="3"/>
  <c r="BG13" i="3"/>
  <c r="BG14" i="3"/>
  <c r="BG15" i="3"/>
  <c r="BG16" i="3"/>
  <c r="BG17" i="3"/>
  <c r="BG18" i="3"/>
  <c r="BG19" i="3"/>
  <c r="BG20" i="3"/>
  <c r="BG21" i="3"/>
  <c r="BG22" i="3"/>
  <c r="BG23" i="3"/>
  <c r="BG24" i="3"/>
  <c r="BG25" i="3"/>
  <c r="BG26" i="3"/>
  <c r="BG27" i="3"/>
  <c r="BG28" i="3"/>
  <c r="BG29" i="3"/>
  <c r="BG30" i="3"/>
  <c r="BG31" i="3"/>
  <c r="BG32" i="3"/>
  <c r="BG33" i="3"/>
  <c r="BG8" i="3"/>
  <c r="AY9" i="3"/>
  <c r="AY10" i="3"/>
  <c r="AY11" i="3"/>
  <c r="AY12" i="3"/>
  <c r="AY13" i="3"/>
  <c r="AY14" i="3"/>
  <c r="AY15" i="3"/>
  <c r="AY16" i="3"/>
  <c r="AY17" i="3"/>
  <c r="AY18" i="3"/>
  <c r="AY19" i="3"/>
  <c r="AY20" i="3"/>
  <c r="AY21" i="3"/>
  <c r="AY22" i="3"/>
  <c r="AY23" i="3"/>
  <c r="AY24" i="3"/>
  <c r="AY25" i="3"/>
  <c r="AY26" i="3"/>
  <c r="AY27" i="3"/>
  <c r="AY28" i="3"/>
  <c r="AY29" i="3"/>
  <c r="AY30" i="3"/>
  <c r="AY31" i="3"/>
  <c r="AY32" i="3"/>
  <c r="AY33" i="3"/>
  <c r="AY8" i="3"/>
  <c r="AS9" i="3"/>
  <c r="AS10" i="3"/>
  <c r="AS11" i="3"/>
  <c r="AS12" i="3"/>
  <c r="AS13" i="3"/>
  <c r="AS14" i="3"/>
  <c r="AS15" i="3"/>
  <c r="AS16" i="3"/>
  <c r="AS17" i="3"/>
  <c r="AS18" i="3"/>
  <c r="AS19" i="3"/>
  <c r="AS20" i="3"/>
  <c r="AS21" i="3"/>
  <c r="AS22" i="3"/>
  <c r="AS23" i="3"/>
  <c r="AS24" i="3"/>
  <c r="AS25" i="3"/>
  <c r="AS26" i="3"/>
  <c r="AS27" i="3"/>
  <c r="AS28" i="3"/>
  <c r="AS29" i="3"/>
  <c r="AS30" i="3"/>
  <c r="AS31" i="3"/>
  <c r="AS32" i="3"/>
  <c r="AS33" i="3"/>
  <c r="AS8" i="3"/>
  <c r="AC9" i="3"/>
  <c r="AC10" i="3"/>
  <c r="AC11" i="3"/>
  <c r="AC12" i="3"/>
  <c r="AC13" i="3"/>
  <c r="AC14" i="3"/>
  <c r="AC15" i="3"/>
  <c r="AC16" i="3"/>
  <c r="AC17" i="3"/>
  <c r="AC18" i="3"/>
  <c r="AC19" i="3"/>
  <c r="AC20" i="3"/>
  <c r="AC21" i="3"/>
  <c r="AC22" i="3"/>
  <c r="AC23" i="3"/>
  <c r="AC24" i="3"/>
  <c r="AC25" i="3"/>
  <c r="AC26" i="3"/>
  <c r="AC27" i="3"/>
  <c r="AC28" i="3"/>
  <c r="AC29" i="3"/>
  <c r="AC30" i="3"/>
  <c r="AC31" i="3"/>
  <c r="AC32" i="3"/>
  <c r="AC33" i="3"/>
  <c r="AC8" i="3"/>
  <c r="X9" i="3"/>
  <c r="X10" i="3"/>
  <c r="X11" i="3"/>
  <c r="X12" i="3"/>
  <c r="X13" i="3"/>
  <c r="X14" i="3"/>
  <c r="X15" i="3"/>
  <c r="X16" i="3"/>
  <c r="X17" i="3"/>
  <c r="X18" i="3"/>
  <c r="X19" i="3"/>
  <c r="X20" i="3"/>
  <c r="X21" i="3"/>
  <c r="X22" i="3"/>
  <c r="X23" i="3"/>
  <c r="X24" i="3"/>
  <c r="X25" i="3"/>
  <c r="X26" i="3"/>
  <c r="X27" i="3"/>
  <c r="X28" i="3"/>
  <c r="X29" i="3"/>
  <c r="X30" i="3"/>
  <c r="X31" i="3"/>
  <c r="X32" i="3"/>
  <c r="X33" i="3"/>
  <c r="X8" i="3"/>
  <c r="AR8" i="3"/>
  <c r="AX8" i="3"/>
  <c r="S9" i="3"/>
  <c r="S10" i="3"/>
  <c r="S11" i="3"/>
  <c r="S12" i="3"/>
  <c r="S13" i="3"/>
  <c r="S14" i="3"/>
  <c r="S15" i="3"/>
  <c r="S16" i="3"/>
  <c r="S17" i="3"/>
  <c r="S18" i="3"/>
  <c r="S19" i="3"/>
  <c r="S20" i="3"/>
  <c r="S21" i="3"/>
  <c r="S22" i="3"/>
  <c r="S23" i="3"/>
  <c r="S24" i="3"/>
  <c r="S25" i="3"/>
  <c r="S26" i="3"/>
  <c r="S27" i="3"/>
  <c r="S28" i="3"/>
  <c r="S29" i="3"/>
  <c r="S30" i="3"/>
  <c r="S31" i="3"/>
  <c r="S32" i="3"/>
  <c r="S33" i="3"/>
  <c r="S8" i="3"/>
  <c r="O8" i="3"/>
  <c r="AZ8" i="3" s="1"/>
  <c r="O9" i="3"/>
  <c r="O10" i="3"/>
  <c r="O11" i="3"/>
  <c r="O12" i="3"/>
  <c r="O13" i="3"/>
  <c r="O14" i="3"/>
  <c r="O15" i="3"/>
  <c r="O16" i="3"/>
  <c r="O17" i="3"/>
  <c r="O18" i="3"/>
  <c r="O19" i="3"/>
  <c r="O20" i="3"/>
  <c r="O21" i="3"/>
  <c r="O22" i="3"/>
  <c r="O23" i="3"/>
  <c r="O24" i="3"/>
  <c r="O25" i="3"/>
  <c r="O26" i="3"/>
  <c r="O27" i="3"/>
  <c r="O28" i="3"/>
  <c r="O29" i="3"/>
  <c r="O30" i="3"/>
  <c r="O31" i="3"/>
  <c r="O32" i="3"/>
  <c r="O33" i="3"/>
  <c r="K9" i="3"/>
  <c r="K10" i="3"/>
  <c r="K11" i="3"/>
  <c r="K12" i="3"/>
  <c r="K13" i="3"/>
  <c r="K14" i="3"/>
  <c r="K15" i="3"/>
  <c r="K16" i="3"/>
  <c r="K17" i="3"/>
  <c r="K18" i="3"/>
  <c r="K19" i="3"/>
  <c r="K20" i="3"/>
  <c r="K21" i="3"/>
  <c r="K22" i="3"/>
  <c r="K23" i="3"/>
  <c r="K24" i="3"/>
  <c r="K25" i="3"/>
  <c r="K26" i="3"/>
  <c r="K27" i="3"/>
  <c r="K28" i="3"/>
  <c r="K29" i="3"/>
  <c r="K30" i="3"/>
  <c r="K31" i="3"/>
  <c r="K32" i="3"/>
  <c r="K33" i="3"/>
  <c r="K8" i="3"/>
  <c r="F9" i="3"/>
  <c r="F10" i="3"/>
  <c r="F11" i="3"/>
  <c r="F12" i="3"/>
  <c r="F13" i="3"/>
  <c r="F14" i="3"/>
  <c r="F15" i="3"/>
  <c r="F16" i="3"/>
  <c r="F17" i="3"/>
  <c r="F18" i="3"/>
  <c r="F19" i="3"/>
  <c r="F20" i="3"/>
  <c r="F21" i="3"/>
  <c r="F22" i="3"/>
  <c r="F23" i="3"/>
  <c r="F24" i="3"/>
  <c r="F25" i="3"/>
  <c r="F26" i="3"/>
  <c r="F27" i="3"/>
  <c r="F28" i="3"/>
  <c r="F29" i="3"/>
  <c r="F30" i="3"/>
  <c r="F31" i="3"/>
  <c r="F32" i="3"/>
  <c r="F33" i="3"/>
  <c r="F8" i="3"/>
  <c r="F35" i="11"/>
  <c r="E35" i="11"/>
  <c r="E50" i="11" s="1"/>
  <c r="E36" i="11"/>
  <c r="L164" i="1"/>
  <c r="DW18" i="3"/>
  <c r="C36" i="11"/>
  <c r="B36" i="11"/>
  <c r="B35" i="11"/>
  <c r="E51" i="11" l="1"/>
  <c r="BA8" i="3"/>
  <c r="BB8" i="3" s="1"/>
  <c r="AK8" i="3"/>
  <c r="AD8" i="3"/>
  <c r="CS8" i="3" s="1"/>
  <c r="AL8" i="3"/>
  <c r="AM8" i="3" s="1"/>
  <c r="BV8" i="3"/>
  <c r="BQ8" i="3"/>
  <c r="AE8" i="3"/>
  <c r="DU18" i="3"/>
  <c r="AH8" i="3" l="1"/>
  <c r="CT8" i="3"/>
  <c r="AJ8" i="3"/>
  <c r="AF8" i="3"/>
  <c r="CN9" i="3"/>
  <c r="CN10" i="3"/>
  <c r="CN11" i="3"/>
  <c r="CN12" i="3"/>
  <c r="CN13" i="3"/>
  <c r="CN14" i="3"/>
  <c r="CN15" i="3"/>
  <c r="CN16" i="3"/>
  <c r="CN17" i="3"/>
  <c r="CN18" i="3"/>
  <c r="CN19" i="3"/>
  <c r="CN20" i="3"/>
  <c r="CN21" i="3"/>
  <c r="CN22" i="3"/>
  <c r="CN23" i="3"/>
  <c r="CN24" i="3"/>
  <c r="CN25" i="3"/>
  <c r="CN26" i="3"/>
  <c r="CN27" i="3"/>
  <c r="CN28" i="3"/>
  <c r="CN29" i="3"/>
  <c r="CN30" i="3"/>
  <c r="CN31" i="3"/>
  <c r="CN32" i="3"/>
  <c r="CN33" i="3"/>
  <c r="DI8" i="3"/>
  <c r="I164" i="1"/>
  <c r="K166" i="1" l="1"/>
  <c r="E164" i="1" l="1"/>
  <c r="E9" i="14" l="1"/>
  <c r="F9" i="14"/>
  <c r="E10" i="14"/>
  <c r="F10" i="14"/>
  <c r="E11" i="14"/>
  <c r="F11" i="14"/>
  <c r="E12" i="14"/>
  <c r="F12" i="14"/>
  <c r="E13" i="14"/>
  <c r="F13" i="14"/>
  <c r="E14" i="14"/>
  <c r="F14" i="14"/>
  <c r="E15" i="14"/>
  <c r="F15" i="14"/>
  <c r="E16" i="14"/>
  <c r="F16" i="14"/>
  <c r="E17" i="14"/>
  <c r="F17" i="14"/>
  <c r="E18" i="14"/>
  <c r="F18" i="14"/>
  <c r="E19" i="14"/>
  <c r="F19" i="14"/>
  <c r="E20" i="14"/>
  <c r="F20" i="14"/>
  <c r="E21" i="14"/>
  <c r="F21" i="14"/>
  <c r="E22" i="14"/>
  <c r="F22" i="14"/>
  <c r="E23" i="14"/>
  <c r="F23" i="14"/>
  <c r="E24" i="14"/>
  <c r="F24" i="14"/>
  <c r="E25" i="14"/>
  <c r="F25" i="14"/>
  <c r="E26" i="14"/>
  <c r="F26" i="14"/>
  <c r="E27" i="14"/>
  <c r="F27" i="14"/>
  <c r="E28" i="14"/>
  <c r="F28" i="14"/>
  <c r="E29" i="14"/>
  <c r="F29" i="14"/>
  <c r="E30" i="14"/>
  <c r="F30" i="14"/>
  <c r="E31" i="14"/>
  <c r="F31" i="14"/>
  <c r="E32" i="14"/>
  <c r="F32" i="14"/>
  <c r="E33" i="14"/>
  <c r="F33" i="14"/>
  <c r="E35" i="14"/>
  <c r="E40" i="14" s="1"/>
  <c r="F35" i="14"/>
  <c r="F8" i="14"/>
  <c r="B9" i="14"/>
  <c r="C9" i="14"/>
  <c r="B10" i="14"/>
  <c r="C10" i="14"/>
  <c r="B11" i="14"/>
  <c r="C11" i="14"/>
  <c r="B12" i="14"/>
  <c r="C12" i="14"/>
  <c r="B13" i="14"/>
  <c r="C13" i="14"/>
  <c r="B14" i="14"/>
  <c r="C14" i="14"/>
  <c r="B15" i="14"/>
  <c r="C15" i="14"/>
  <c r="B16" i="14"/>
  <c r="C16" i="14"/>
  <c r="B17" i="14"/>
  <c r="C17" i="14"/>
  <c r="B18" i="14"/>
  <c r="C18" i="14"/>
  <c r="B19" i="14"/>
  <c r="C19" i="14"/>
  <c r="B20" i="14"/>
  <c r="C20" i="14"/>
  <c r="B21" i="14"/>
  <c r="C21" i="14"/>
  <c r="B22" i="14"/>
  <c r="C22" i="14"/>
  <c r="B23" i="14"/>
  <c r="C23" i="14"/>
  <c r="B24" i="14"/>
  <c r="C24" i="14"/>
  <c r="B25" i="14"/>
  <c r="C25" i="14"/>
  <c r="B26" i="14"/>
  <c r="C26" i="14"/>
  <c r="B27" i="14"/>
  <c r="C27" i="14"/>
  <c r="B28" i="14"/>
  <c r="C28" i="14"/>
  <c r="B29" i="14"/>
  <c r="C29" i="14"/>
  <c r="B30" i="14"/>
  <c r="C30" i="14"/>
  <c r="B31" i="14"/>
  <c r="C31" i="14"/>
  <c r="B32" i="14"/>
  <c r="C32" i="14"/>
  <c r="B33" i="14"/>
  <c r="C33" i="14"/>
  <c r="B35" i="14"/>
  <c r="B40" i="14" s="1"/>
  <c r="C35" i="14"/>
  <c r="C40" i="14" s="1"/>
  <c r="C8" i="14"/>
  <c r="E8" i="14"/>
  <c r="B8" i="14"/>
  <c r="FB9" i="3"/>
  <c r="FC9" i="3"/>
  <c r="FB10" i="3"/>
  <c r="FC10" i="3"/>
  <c r="FB11" i="3"/>
  <c r="FC11" i="3"/>
  <c r="FB12" i="3"/>
  <c r="FC12" i="3"/>
  <c r="FB13" i="3"/>
  <c r="FC13" i="3"/>
  <c r="FB14" i="3"/>
  <c r="FC14" i="3"/>
  <c r="FB15" i="3"/>
  <c r="FC15" i="3"/>
  <c r="FB16" i="3"/>
  <c r="FC16" i="3"/>
  <c r="FB17" i="3"/>
  <c r="FC17" i="3"/>
  <c r="FB18" i="3"/>
  <c r="FC18" i="3"/>
  <c r="FB19" i="3"/>
  <c r="FC19" i="3"/>
  <c r="FB20" i="3"/>
  <c r="FC20" i="3"/>
  <c r="FB21" i="3"/>
  <c r="FC21" i="3"/>
  <c r="FB22" i="3"/>
  <c r="FC22" i="3"/>
  <c r="FB23" i="3"/>
  <c r="FC23" i="3"/>
  <c r="FB24" i="3"/>
  <c r="FC24" i="3"/>
  <c r="FB25" i="3"/>
  <c r="FC25" i="3"/>
  <c r="FB26" i="3"/>
  <c r="FC26" i="3"/>
  <c r="FB27" i="3"/>
  <c r="FC27" i="3"/>
  <c r="FB28" i="3"/>
  <c r="FC28" i="3"/>
  <c r="FB29" i="3"/>
  <c r="FC29" i="3"/>
  <c r="FB30" i="3"/>
  <c r="FC30" i="3"/>
  <c r="FB31" i="3"/>
  <c r="FC31" i="3"/>
  <c r="FB32" i="3"/>
  <c r="FC32" i="3"/>
  <c r="FB33" i="3"/>
  <c r="FC33" i="3"/>
  <c r="EX34" i="3"/>
  <c r="EX36" i="3" s="1"/>
  <c r="EY34" i="3"/>
  <c r="EY36" i="3" s="1"/>
  <c r="EZ34" i="3"/>
  <c r="EZ36" i="3" s="1"/>
  <c r="FA34" i="3"/>
  <c r="FA36" i="3" s="1"/>
  <c r="EW35" i="3"/>
  <c r="EV35" i="3"/>
  <c r="EV9" i="3"/>
  <c r="EW9" i="3"/>
  <c r="EV10" i="3"/>
  <c r="EW10" i="3"/>
  <c r="EV11" i="3"/>
  <c r="EW11" i="3"/>
  <c r="EV12" i="3"/>
  <c r="EW12" i="3"/>
  <c r="EV13" i="3"/>
  <c r="EW13" i="3"/>
  <c r="EV14" i="3"/>
  <c r="EW14" i="3"/>
  <c r="EV15" i="3"/>
  <c r="EW15" i="3"/>
  <c r="EV16" i="3"/>
  <c r="EW16" i="3"/>
  <c r="EV17" i="3"/>
  <c r="EW17" i="3"/>
  <c r="EV18" i="3"/>
  <c r="EW18" i="3"/>
  <c r="EV19" i="3"/>
  <c r="EW19" i="3"/>
  <c r="EV20" i="3"/>
  <c r="EW20" i="3"/>
  <c r="EV21" i="3"/>
  <c r="EW21" i="3"/>
  <c r="EV22" i="3"/>
  <c r="EW22" i="3"/>
  <c r="EV23" i="3"/>
  <c r="EW23" i="3"/>
  <c r="EV24" i="3"/>
  <c r="EW24" i="3"/>
  <c r="EV25" i="3"/>
  <c r="EW25" i="3"/>
  <c r="EV26" i="3"/>
  <c r="EW26" i="3"/>
  <c r="EV27" i="3"/>
  <c r="EW27" i="3"/>
  <c r="EV28" i="3"/>
  <c r="EW28" i="3"/>
  <c r="EV29" i="3"/>
  <c r="EW29" i="3"/>
  <c r="EV30" i="3"/>
  <c r="EW30" i="3"/>
  <c r="EV31" i="3"/>
  <c r="EW31" i="3"/>
  <c r="EV32" i="3"/>
  <c r="EW32" i="3"/>
  <c r="EV33" i="3"/>
  <c r="EW33" i="3"/>
  <c r="EU34" i="3"/>
  <c r="EQ35" i="3"/>
  <c r="EP35" i="3"/>
  <c r="EP9" i="3"/>
  <c r="EQ9" i="3"/>
  <c r="EP10" i="3"/>
  <c r="EQ10" i="3"/>
  <c r="EP11" i="3"/>
  <c r="EQ11" i="3"/>
  <c r="EP12" i="3"/>
  <c r="EQ12" i="3"/>
  <c r="EP13" i="3"/>
  <c r="EQ13" i="3"/>
  <c r="EP14" i="3"/>
  <c r="EQ14" i="3"/>
  <c r="EP15" i="3"/>
  <c r="EQ15" i="3"/>
  <c r="EP16" i="3"/>
  <c r="EQ16" i="3"/>
  <c r="EP17" i="3"/>
  <c r="EQ17" i="3"/>
  <c r="EP18" i="3"/>
  <c r="EQ18" i="3"/>
  <c r="EP19" i="3"/>
  <c r="EQ19" i="3"/>
  <c r="EP20" i="3"/>
  <c r="EQ20" i="3"/>
  <c r="EP21" i="3"/>
  <c r="EQ21" i="3"/>
  <c r="EP22" i="3"/>
  <c r="EQ22" i="3"/>
  <c r="EP23" i="3"/>
  <c r="EQ23" i="3"/>
  <c r="EP24" i="3"/>
  <c r="EQ24" i="3"/>
  <c r="EP25" i="3"/>
  <c r="EQ25" i="3"/>
  <c r="EP26" i="3"/>
  <c r="EQ26" i="3"/>
  <c r="EP27" i="3"/>
  <c r="EQ27" i="3"/>
  <c r="EP28" i="3"/>
  <c r="EQ28" i="3"/>
  <c r="EP29" i="3"/>
  <c r="EQ29" i="3"/>
  <c r="EP30" i="3"/>
  <c r="EQ30" i="3"/>
  <c r="EP31" i="3"/>
  <c r="EQ31" i="3"/>
  <c r="EP32" i="3"/>
  <c r="EQ32" i="3"/>
  <c r="EP33" i="3"/>
  <c r="EQ33" i="3"/>
  <c r="ER34" i="3"/>
  <c r="ER36" i="3" s="1"/>
  <c r="ES34" i="3"/>
  <c r="ES36" i="3" s="1"/>
  <c r="ET34" i="3"/>
  <c r="ET36" i="3" s="1"/>
  <c r="EN34" i="3"/>
  <c r="EN36" i="3" s="1"/>
  <c r="EO34" i="3"/>
  <c r="EO36" i="3" s="1"/>
  <c r="E48" i="14" l="1"/>
  <c r="G32" i="14"/>
  <c r="G20" i="14"/>
  <c r="G16" i="14"/>
  <c r="H31" i="14"/>
  <c r="H27" i="14"/>
  <c r="H23" i="14"/>
  <c r="H19" i="14"/>
  <c r="H15" i="14"/>
  <c r="H9" i="14"/>
  <c r="G33" i="14"/>
  <c r="G31" i="14"/>
  <c r="G9" i="14"/>
  <c r="D8" i="14"/>
  <c r="D32" i="14"/>
  <c r="D30" i="14"/>
  <c r="D28" i="14"/>
  <c r="D26" i="14"/>
  <c r="D24" i="14"/>
  <c r="D22" i="14"/>
  <c r="D20" i="14"/>
  <c r="D18" i="14"/>
  <c r="D16" i="14"/>
  <c r="D14" i="14"/>
  <c r="D12" i="14"/>
  <c r="D10" i="14"/>
  <c r="FC34" i="3"/>
  <c r="FC36" i="3" s="1"/>
  <c r="I28" i="14"/>
  <c r="I24" i="14"/>
  <c r="I10" i="14"/>
  <c r="I20" i="14"/>
  <c r="H8" i="14"/>
  <c r="D31" i="14"/>
  <c r="D27" i="14"/>
  <c r="D23" i="14"/>
  <c r="D19" i="14"/>
  <c r="D15" i="14"/>
  <c r="D9" i="14"/>
  <c r="H32" i="14"/>
  <c r="H30" i="14"/>
  <c r="H28" i="14"/>
  <c r="H26" i="14"/>
  <c r="H24" i="14"/>
  <c r="H22" i="14"/>
  <c r="H20" i="14"/>
  <c r="H18" i="14"/>
  <c r="H16" i="14"/>
  <c r="H14" i="14"/>
  <c r="H12" i="14"/>
  <c r="H10" i="14"/>
  <c r="I16" i="14"/>
  <c r="G8" i="14"/>
  <c r="D33" i="14"/>
  <c r="D21" i="14"/>
  <c r="I29" i="14"/>
  <c r="I25" i="14"/>
  <c r="I23" i="14"/>
  <c r="I21" i="14"/>
  <c r="I17" i="14"/>
  <c r="I15" i="14"/>
  <c r="I13" i="14"/>
  <c r="I11" i="14"/>
  <c r="G12" i="14"/>
  <c r="G28" i="14"/>
  <c r="I8" i="14"/>
  <c r="H33" i="14"/>
  <c r="H29" i="14"/>
  <c r="H25" i="14"/>
  <c r="H21" i="14"/>
  <c r="H17" i="14"/>
  <c r="H13" i="14"/>
  <c r="H11" i="14"/>
  <c r="E34" i="14"/>
  <c r="E39" i="14" s="1"/>
  <c r="G24" i="14"/>
  <c r="D29" i="14"/>
  <c r="D25" i="14"/>
  <c r="D17" i="14"/>
  <c r="D13" i="14"/>
  <c r="D11" i="14"/>
  <c r="I27" i="14"/>
  <c r="I19" i="14"/>
  <c r="G35" i="14"/>
  <c r="G30" i="14"/>
  <c r="G26" i="14"/>
  <c r="G22" i="14"/>
  <c r="G18" i="14"/>
  <c r="J18" i="14" s="1"/>
  <c r="G14" i="14"/>
  <c r="I12" i="14"/>
  <c r="G10" i="14"/>
  <c r="H35" i="14"/>
  <c r="FB34" i="3"/>
  <c r="FB36" i="3" s="1"/>
  <c r="EW34" i="3"/>
  <c r="EW36" i="3" s="1"/>
  <c r="EV34" i="3"/>
  <c r="EV36" i="3" s="1"/>
  <c r="I9" i="14"/>
  <c r="G11" i="14"/>
  <c r="F40" i="14"/>
  <c r="D35" i="14"/>
  <c r="I35" i="14"/>
  <c r="G19" i="14"/>
  <c r="G27" i="14"/>
  <c r="C34" i="14"/>
  <c r="C39" i="14" s="1"/>
  <c r="I32" i="14"/>
  <c r="B34" i="14"/>
  <c r="B39" i="14" s="1"/>
  <c r="G13" i="14"/>
  <c r="G17" i="14"/>
  <c r="G21" i="14"/>
  <c r="G25" i="14"/>
  <c r="G29" i="14"/>
  <c r="I30" i="14"/>
  <c r="I26" i="14"/>
  <c r="I22" i="14"/>
  <c r="I18" i="14"/>
  <c r="I14" i="14"/>
  <c r="G15" i="14"/>
  <c r="G23" i="14"/>
  <c r="J23" i="14" s="1"/>
  <c r="F34" i="14"/>
  <c r="F39" i="14" s="1"/>
  <c r="EP34" i="3"/>
  <c r="EP36" i="3" s="1"/>
  <c r="EQ34" i="3"/>
  <c r="EQ36" i="3" s="1"/>
  <c r="E47" i="14" l="1"/>
  <c r="E43" i="14"/>
  <c r="J20" i="14"/>
  <c r="F43" i="14"/>
  <c r="F48" i="14"/>
  <c r="F44" i="14"/>
  <c r="J16" i="14"/>
  <c r="J32" i="14"/>
  <c r="J29" i="14"/>
  <c r="J26" i="14"/>
  <c r="J8" i="14"/>
  <c r="J10" i="14"/>
  <c r="J31" i="14"/>
  <c r="J28" i="14"/>
  <c r="J25" i="14"/>
  <c r="J19" i="14"/>
  <c r="J22" i="14"/>
  <c r="H34" i="14"/>
  <c r="E36" i="14"/>
  <c r="E41" i="14" s="1"/>
  <c r="J9" i="14"/>
  <c r="J14" i="14"/>
  <c r="J30" i="14"/>
  <c r="J12" i="14"/>
  <c r="B36" i="14"/>
  <c r="J17" i="14"/>
  <c r="J24" i="14"/>
  <c r="J35" i="14"/>
  <c r="J13" i="14"/>
  <c r="J27" i="14"/>
  <c r="G34" i="14"/>
  <c r="J15" i="14"/>
  <c r="C36" i="14"/>
  <c r="C41" i="14" s="1"/>
  <c r="D34" i="14"/>
  <c r="J21" i="14"/>
  <c r="J11" i="14"/>
  <c r="F36" i="14"/>
  <c r="I34" i="14"/>
  <c r="EK35" i="3"/>
  <c r="EK39" i="3" s="1"/>
  <c r="EJ35" i="3"/>
  <c r="EJ39" i="3" s="1"/>
  <c r="EJ9" i="3"/>
  <c r="EK9" i="3"/>
  <c r="EJ10" i="3"/>
  <c r="EK10" i="3"/>
  <c r="EJ11" i="3"/>
  <c r="EK11" i="3"/>
  <c r="EJ12" i="3"/>
  <c r="EK12" i="3"/>
  <c r="EJ13" i="3"/>
  <c r="EK13" i="3"/>
  <c r="EJ14" i="3"/>
  <c r="EK14" i="3"/>
  <c r="EJ15" i="3"/>
  <c r="EK15" i="3"/>
  <c r="EJ16" i="3"/>
  <c r="EK16" i="3"/>
  <c r="EJ17" i="3"/>
  <c r="EK17" i="3"/>
  <c r="EJ18" i="3"/>
  <c r="EK18" i="3"/>
  <c r="EJ19" i="3"/>
  <c r="EK19" i="3"/>
  <c r="EJ20" i="3"/>
  <c r="EK20" i="3"/>
  <c r="EJ21" i="3"/>
  <c r="EK21" i="3"/>
  <c r="EJ22" i="3"/>
  <c r="EK22" i="3"/>
  <c r="EJ23" i="3"/>
  <c r="EK23" i="3"/>
  <c r="EJ24" i="3"/>
  <c r="EK24" i="3"/>
  <c r="EJ25" i="3"/>
  <c r="EK25" i="3"/>
  <c r="EJ26" i="3"/>
  <c r="EK26" i="3"/>
  <c r="EJ27" i="3"/>
  <c r="EK27" i="3"/>
  <c r="EJ28" i="3"/>
  <c r="EK28" i="3"/>
  <c r="EJ29" i="3"/>
  <c r="EK29" i="3"/>
  <c r="EJ30" i="3"/>
  <c r="EK30" i="3"/>
  <c r="EJ31" i="3"/>
  <c r="EK31" i="3"/>
  <c r="EJ32" i="3"/>
  <c r="EK32" i="3"/>
  <c r="EJ33" i="3"/>
  <c r="EK33" i="3"/>
  <c r="EF34" i="3"/>
  <c r="EF36" i="3" s="1"/>
  <c r="EG34" i="3"/>
  <c r="EG36" i="3" s="1"/>
  <c r="EH34" i="3"/>
  <c r="EI34" i="3"/>
  <c r="EL34" i="3"/>
  <c r="EL36" i="3" s="1"/>
  <c r="EM34" i="3"/>
  <c r="EM36" i="3" s="1"/>
  <c r="EI36" i="3" l="1"/>
  <c r="EI40" i="3" s="1"/>
  <c r="EI38" i="3"/>
  <c r="EH36" i="3"/>
  <c r="EH40" i="3" s="1"/>
  <c r="EH38" i="3"/>
  <c r="G36" i="14"/>
  <c r="D36" i="14"/>
  <c r="B41" i="14"/>
  <c r="J34" i="14"/>
  <c r="EJ34" i="3"/>
  <c r="EK34" i="3"/>
  <c r="I36" i="14"/>
  <c r="F41" i="14"/>
  <c r="H41" i="14" s="1"/>
  <c r="ED9" i="3"/>
  <c r="EE9" i="3"/>
  <c r="ED10" i="3"/>
  <c r="EE10" i="3"/>
  <c r="ED11" i="3"/>
  <c r="EE11" i="3"/>
  <c r="ED12" i="3"/>
  <c r="EE12" i="3"/>
  <c r="ED13" i="3"/>
  <c r="EE13" i="3"/>
  <c r="ED14" i="3"/>
  <c r="EE14" i="3"/>
  <c r="ED15" i="3"/>
  <c r="EE15" i="3"/>
  <c r="ED16" i="3"/>
  <c r="EE16" i="3"/>
  <c r="ED17" i="3"/>
  <c r="EE17" i="3"/>
  <c r="ED18" i="3"/>
  <c r="EE18" i="3"/>
  <c r="ED19" i="3"/>
  <c r="EE19" i="3"/>
  <c r="ED20" i="3"/>
  <c r="EE20" i="3"/>
  <c r="ED21" i="3"/>
  <c r="EE21" i="3"/>
  <c r="ED22" i="3"/>
  <c r="EE22" i="3"/>
  <c r="ED23" i="3"/>
  <c r="EE23" i="3"/>
  <c r="ED24" i="3"/>
  <c r="EE24" i="3"/>
  <c r="ED25" i="3"/>
  <c r="EE25" i="3"/>
  <c r="ED26" i="3"/>
  <c r="EE26" i="3"/>
  <c r="ED27" i="3"/>
  <c r="EE27" i="3"/>
  <c r="ED28" i="3"/>
  <c r="EE28" i="3"/>
  <c r="ED29" i="3"/>
  <c r="EE29" i="3"/>
  <c r="ED30" i="3"/>
  <c r="EE30" i="3"/>
  <c r="ED31" i="3"/>
  <c r="EE31" i="3"/>
  <c r="ED32" i="3"/>
  <c r="EE32" i="3"/>
  <c r="ED33" i="3"/>
  <c r="EE33" i="3"/>
  <c r="DZ34" i="3"/>
  <c r="DZ36" i="3" s="1"/>
  <c r="EA34" i="3"/>
  <c r="EA36" i="3" s="1"/>
  <c r="EB34" i="3"/>
  <c r="EB36" i="3" s="1"/>
  <c r="EC34" i="3"/>
  <c r="EC36" i="3" s="1"/>
  <c r="G41" i="14" l="1"/>
  <c r="I41" i="14" s="1"/>
  <c r="EK36" i="3"/>
  <c r="EK40" i="3" s="1"/>
  <c r="EK38" i="3"/>
  <c r="EJ36" i="3"/>
  <c r="EJ40" i="3" s="1"/>
  <c r="EJ38" i="3"/>
  <c r="E49" i="14"/>
  <c r="F49" i="14"/>
  <c r="J36" i="14"/>
  <c r="ED34" i="3"/>
  <c r="ED36" i="3" s="1"/>
  <c r="EE34" i="3"/>
  <c r="EE36" i="3" s="1"/>
  <c r="F43" i="7" l="1"/>
  <c r="E43" i="7"/>
  <c r="E29" i="8"/>
  <c r="F29" i="8"/>
  <c r="F42" i="11" l="1"/>
  <c r="E46" i="11"/>
  <c r="E42" i="11"/>
  <c r="T91" i="6" l="1"/>
  <c r="N113" i="6" l="1"/>
  <c r="O113" i="6"/>
  <c r="P113" i="6"/>
  <c r="R51" i="6"/>
  <c r="S79" i="6" l="1"/>
  <c r="C55" i="6" l="1"/>
  <c r="D55" i="6"/>
  <c r="E55" i="6"/>
  <c r="F55" i="6"/>
  <c r="G55" i="6"/>
  <c r="K55" i="6"/>
  <c r="L55" i="6"/>
  <c r="M55" i="6"/>
  <c r="B55" i="6"/>
  <c r="D41" i="9" l="1"/>
  <c r="E41" i="9"/>
  <c r="F41" i="9"/>
  <c r="G41" i="9"/>
  <c r="H41" i="9"/>
  <c r="I41" i="9"/>
  <c r="J41" i="9"/>
  <c r="K41" i="9"/>
  <c r="L41" i="9"/>
  <c r="M41" i="9"/>
  <c r="N41" i="9"/>
  <c r="O41" i="9"/>
  <c r="P41" i="9"/>
  <c r="Q41" i="9"/>
  <c r="R41" i="9"/>
  <c r="S41" i="9"/>
  <c r="T41" i="9"/>
  <c r="U41" i="9"/>
  <c r="V41" i="9"/>
  <c r="W41" i="9"/>
  <c r="X41" i="9"/>
  <c r="Y41" i="9"/>
  <c r="D42" i="9"/>
  <c r="E42" i="9"/>
  <c r="F42" i="9"/>
  <c r="G42" i="9"/>
  <c r="H42" i="9"/>
  <c r="I42" i="9"/>
  <c r="J42" i="9"/>
  <c r="K42" i="9"/>
  <c r="L42" i="9"/>
  <c r="M42" i="9"/>
  <c r="N42" i="9"/>
  <c r="O42" i="9"/>
  <c r="P42" i="9"/>
  <c r="Q42" i="9"/>
  <c r="R42" i="9"/>
  <c r="S42" i="9"/>
  <c r="T42" i="9"/>
  <c r="U42" i="9"/>
  <c r="V42" i="9"/>
  <c r="W42" i="9"/>
  <c r="X42" i="9"/>
  <c r="Y42" i="9"/>
  <c r="D43" i="9"/>
  <c r="E43" i="9"/>
  <c r="F43" i="9"/>
  <c r="G43" i="9"/>
  <c r="H43" i="9"/>
  <c r="I43" i="9"/>
  <c r="J43" i="9"/>
  <c r="K43" i="9"/>
  <c r="L43" i="9"/>
  <c r="M43" i="9"/>
  <c r="N43" i="9"/>
  <c r="O43" i="9"/>
  <c r="P43" i="9"/>
  <c r="Q43" i="9"/>
  <c r="R43" i="9"/>
  <c r="S43" i="9"/>
  <c r="T43" i="9"/>
  <c r="U43" i="9"/>
  <c r="V43" i="9"/>
  <c r="W43" i="9"/>
  <c r="X43" i="9"/>
  <c r="Y43" i="9"/>
  <c r="C40" i="7" l="1"/>
  <c r="D40" i="7"/>
  <c r="E40" i="7"/>
  <c r="F40" i="7"/>
  <c r="G40" i="7"/>
  <c r="H40" i="7"/>
  <c r="I40" i="7"/>
  <c r="J40" i="7"/>
  <c r="K40" i="7"/>
  <c r="L40" i="7"/>
  <c r="M40" i="7"/>
  <c r="N40" i="7"/>
  <c r="O40" i="7"/>
  <c r="P40" i="7"/>
  <c r="V40" i="7"/>
  <c r="W40" i="7"/>
  <c r="X40" i="7"/>
  <c r="Y40" i="7"/>
  <c r="Z40" i="7"/>
  <c r="C41" i="7"/>
  <c r="D41" i="7"/>
  <c r="E41" i="7"/>
  <c r="F41" i="7"/>
  <c r="G41" i="7"/>
  <c r="H41" i="7"/>
  <c r="I41" i="7"/>
  <c r="J41" i="7"/>
  <c r="K41" i="7"/>
  <c r="L41" i="7"/>
  <c r="M41" i="7"/>
  <c r="N41" i="7"/>
  <c r="O41" i="7"/>
  <c r="P41" i="7"/>
  <c r="V41" i="7"/>
  <c r="W41" i="7"/>
  <c r="X41" i="7"/>
  <c r="Y41" i="7"/>
  <c r="Z41" i="7"/>
  <c r="C42" i="7"/>
  <c r="D42" i="7"/>
  <c r="E42" i="7"/>
  <c r="F42" i="7"/>
  <c r="G42" i="7"/>
  <c r="H42" i="7"/>
  <c r="I42" i="7"/>
  <c r="J42" i="7"/>
  <c r="K42" i="7"/>
  <c r="L42" i="7"/>
  <c r="M42" i="7"/>
  <c r="N42" i="7"/>
  <c r="O42" i="7"/>
  <c r="P42" i="7"/>
  <c r="V42" i="7"/>
  <c r="W42" i="7"/>
  <c r="X42" i="7"/>
  <c r="Y42" i="7"/>
  <c r="Z42" i="7"/>
  <c r="F18" i="11" l="1"/>
  <c r="DW35" i="3"/>
  <c r="B9" i="4" l="1"/>
  <c r="B10" i="4"/>
  <c r="B11" i="4"/>
  <c r="B12" i="4"/>
  <c r="CE11" i="3" l="1"/>
  <c r="BQ10" i="3"/>
  <c r="BQ9" i="3"/>
  <c r="BQ11" i="3"/>
  <c r="BV9" i="3"/>
  <c r="BV11" i="3"/>
  <c r="BV10" i="3"/>
  <c r="AE33" i="12" l="1"/>
  <c r="AE32" i="12"/>
  <c r="AE31" i="12"/>
  <c r="AE30" i="12"/>
  <c r="AE29" i="12"/>
  <c r="AE28" i="12"/>
  <c r="AE27" i="12"/>
  <c r="AE26" i="12"/>
  <c r="AE25" i="12"/>
  <c r="AE24" i="12"/>
  <c r="AE23" i="12"/>
  <c r="AE22" i="12"/>
  <c r="AE21" i="12"/>
  <c r="AE20" i="12"/>
  <c r="AE19" i="12"/>
  <c r="AE18" i="12"/>
  <c r="AE17" i="12"/>
  <c r="AE16" i="12"/>
  <c r="AE15" i="12"/>
  <c r="AE14" i="12"/>
  <c r="AE13" i="12"/>
  <c r="AE12" i="12"/>
  <c r="AE11" i="12"/>
  <c r="AE10" i="12"/>
  <c r="AB33" i="12"/>
  <c r="AB32" i="12"/>
  <c r="AB31" i="12"/>
  <c r="AB30" i="12"/>
  <c r="AB29" i="12"/>
  <c r="AB28" i="12"/>
  <c r="AB27" i="12"/>
  <c r="AB26" i="12"/>
  <c r="AB25" i="12"/>
  <c r="AB24" i="12"/>
  <c r="AB23" i="12"/>
  <c r="AB22" i="12"/>
  <c r="AB21" i="12"/>
  <c r="AB20" i="12"/>
  <c r="AB19" i="12"/>
  <c r="AB18" i="12"/>
  <c r="AB17" i="12"/>
  <c r="AB16" i="12"/>
  <c r="AB15" i="12"/>
  <c r="AB14" i="12"/>
  <c r="AB13" i="12"/>
  <c r="AB12" i="12"/>
  <c r="AB11" i="12"/>
  <c r="AB10" i="12"/>
  <c r="Y33" i="12"/>
  <c r="Y32" i="12"/>
  <c r="Y31" i="12"/>
  <c r="Y30" i="12"/>
  <c r="Y29" i="12"/>
  <c r="Y28" i="12"/>
  <c r="Y27" i="12"/>
  <c r="Y26" i="12"/>
  <c r="Y25" i="12"/>
  <c r="Y24" i="12"/>
  <c r="Y23" i="12"/>
  <c r="Y22" i="12"/>
  <c r="Y21" i="12"/>
  <c r="Y20" i="12"/>
  <c r="Y19" i="12"/>
  <c r="Y18" i="12"/>
  <c r="Y17" i="12"/>
  <c r="Y16" i="12"/>
  <c r="Y15" i="12"/>
  <c r="Y14" i="12"/>
  <c r="Y13" i="12"/>
  <c r="Y12" i="12"/>
  <c r="Y11" i="12"/>
  <c r="Y10" i="12"/>
  <c r="V33" i="12"/>
  <c r="V32" i="12"/>
  <c r="V31" i="12"/>
  <c r="V30" i="12"/>
  <c r="V29" i="12"/>
  <c r="V28" i="12"/>
  <c r="V27" i="12"/>
  <c r="V26" i="12"/>
  <c r="V25" i="12"/>
  <c r="V24" i="12"/>
  <c r="V23" i="12"/>
  <c r="V22" i="12"/>
  <c r="V21" i="12"/>
  <c r="V20" i="12"/>
  <c r="V19" i="12"/>
  <c r="V18" i="12"/>
  <c r="V17" i="12"/>
  <c r="V16" i="12"/>
  <c r="V15" i="12"/>
  <c r="V14" i="12"/>
  <c r="V13" i="12"/>
  <c r="V12" i="12"/>
  <c r="V11" i="12"/>
  <c r="V10" i="12"/>
  <c r="V9" i="12"/>
  <c r="V8" i="12"/>
  <c r="S9" i="12"/>
  <c r="S10" i="12"/>
  <c r="S11" i="12"/>
  <c r="S12" i="12"/>
  <c r="S13" i="12"/>
  <c r="S14" i="12"/>
  <c r="S15" i="12"/>
  <c r="S16" i="12"/>
  <c r="S17" i="12"/>
  <c r="S18" i="12"/>
  <c r="S19" i="12"/>
  <c r="S20" i="12"/>
  <c r="S21" i="12"/>
  <c r="S22" i="12"/>
  <c r="S23" i="12"/>
  <c r="S24" i="12"/>
  <c r="S25" i="12"/>
  <c r="S26" i="12"/>
  <c r="S27" i="12"/>
  <c r="S28" i="12"/>
  <c r="S29" i="12"/>
  <c r="S30" i="12"/>
  <c r="S31" i="12"/>
  <c r="S32" i="12"/>
  <c r="S33" i="12"/>
  <c r="S8" i="12"/>
  <c r="G130" i="1" l="1"/>
  <c r="H130" i="1"/>
  <c r="I130" i="1"/>
  <c r="J130" i="1"/>
  <c r="K130" i="1"/>
  <c r="F130" i="1"/>
  <c r="P111" i="1"/>
  <c r="Q111" i="1"/>
  <c r="S111" i="1"/>
  <c r="T111" i="1"/>
  <c r="U111" i="1"/>
  <c r="V111" i="1"/>
  <c r="W111" i="1"/>
  <c r="Y111" i="1"/>
  <c r="Z111" i="1"/>
  <c r="AA111" i="1"/>
  <c r="L111" i="1"/>
  <c r="L110" i="1" s="1"/>
  <c r="E111" i="1"/>
  <c r="E110" i="1" s="1"/>
  <c r="AB111" i="1" l="1"/>
  <c r="AC111" i="1"/>
  <c r="X111" i="1"/>
  <c r="R111" i="1"/>
  <c r="K36" i="11" l="1"/>
  <c r="H35" i="11" l="1"/>
  <c r="D36" i="11"/>
  <c r="B41" i="9" l="1"/>
  <c r="C41" i="9"/>
  <c r="B42" i="9"/>
  <c r="C42" i="9"/>
  <c r="B43" i="9"/>
  <c r="C43" i="9"/>
  <c r="DX9" i="3" l="1"/>
  <c r="DY9" i="3"/>
  <c r="DX10" i="3"/>
  <c r="DY10" i="3"/>
  <c r="DX11" i="3"/>
  <c r="DY11" i="3"/>
  <c r="DX12" i="3"/>
  <c r="DY12" i="3"/>
  <c r="DX13" i="3"/>
  <c r="DY13" i="3"/>
  <c r="DX14" i="3"/>
  <c r="DY14" i="3"/>
  <c r="DX15" i="3"/>
  <c r="DY15" i="3"/>
  <c r="DX16" i="3"/>
  <c r="DY16" i="3"/>
  <c r="DX17" i="3"/>
  <c r="DY17" i="3"/>
  <c r="DX18" i="3"/>
  <c r="DY18" i="3"/>
  <c r="DX19" i="3"/>
  <c r="DY19" i="3"/>
  <c r="DX20" i="3"/>
  <c r="DY20" i="3"/>
  <c r="DX21" i="3"/>
  <c r="DY21" i="3"/>
  <c r="DX22" i="3"/>
  <c r="DY22" i="3"/>
  <c r="DX23" i="3"/>
  <c r="DY23" i="3"/>
  <c r="DX24" i="3"/>
  <c r="DY24" i="3"/>
  <c r="DX25" i="3"/>
  <c r="DY25" i="3"/>
  <c r="DX26" i="3"/>
  <c r="DY26" i="3"/>
  <c r="DX27" i="3"/>
  <c r="DY27" i="3"/>
  <c r="DX28" i="3"/>
  <c r="DY28" i="3"/>
  <c r="DX29" i="3"/>
  <c r="DY29" i="3"/>
  <c r="DX30" i="3"/>
  <c r="DY30" i="3"/>
  <c r="DX31" i="3"/>
  <c r="DY31" i="3"/>
  <c r="DX32" i="3"/>
  <c r="DY32" i="3"/>
  <c r="DX33" i="3"/>
  <c r="DY33" i="3"/>
  <c r="DX34" i="3" l="1"/>
  <c r="DY34" i="3"/>
  <c r="AY64" i="3"/>
  <c r="BY34" i="3" l="1"/>
  <c r="BZ34" i="3" l="1"/>
  <c r="DP33" i="3"/>
  <c r="DP32" i="3"/>
  <c r="DP31" i="3"/>
  <c r="DP30" i="3"/>
  <c r="DP29" i="3"/>
  <c r="DP28" i="3"/>
  <c r="DP27" i="3"/>
  <c r="DS36" i="3" s="1"/>
  <c r="DP26" i="3"/>
  <c r="DP25" i="3"/>
  <c r="DP24" i="3"/>
  <c r="DP23" i="3"/>
  <c r="DP22" i="3"/>
  <c r="DP21" i="3"/>
  <c r="DP20" i="3"/>
  <c r="DP19" i="3"/>
  <c r="DP18" i="3"/>
  <c r="DP17" i="3"/>
  <c r="DP16" i="3"/>
  <c r="DP15" i="3"/>
  <c r="DP14" i="3"/>
  <c r="DP13" i="3"/>
  <c r="DP12" i="3"/>
  <c r="DP11" i="3"/>
  <c r="DP10" i="3"/>
  <c r="DP9" i="3"/>
  <c r="DS9" i="3" l="1"/>
  <c r="DS13" i="3"/>
  <c r="DS17" i="3"/>
  <c r="DS21" i="3"/>
  <c r="DS10" i="3"/>
  <c r="DS14" i="3"/>
  <c r="DS18" i="3"/>
  <c r="DS22" i="3"/>
  <c r="DS26" i="3"/>
  <c r="DS30" i="3"/>
  <c r="DS11" i="3"/>
  <c r="DS15" i="3"/>
  <c r="DS19" i="3"/>
  <c r="DS23" i="3"/>
  <c r="DS27" i="3"/>
  <c r="DS31" i="3"/>
  <c r="DS12" i="3"/>
  <c r="DS16" i="3"/>
  <c r="DS20" i="3"/>
  <c r="DS24" i="3"/>
  <c r="DS28" i="3"/>
  <c r="DS32" i="3"/>
  <c r="DS25" i="3"/>
  <c r="DS29" i="3"/>
  <c r="DS33" i="3"/>
  <c r="DP34" i="3"/>
  <c r="DR34" i="3"/>
  <c r="N25" i="6"/>
  <c r="O25" i="6"/>
  <c r="P25" i="6"/>
  <c r="Q25" i="6"/>
  <c r="S25" i="6"/>
  <c r="S24" i="6"/>
  <c r="Q24" i="6"/>
  <c r="P24" i="6"/>
  <c r="O24" i="6"/>
  <c r="N24" i="6"/>
  <c r="S23" i="6"/>
  <c r="Q23" i="6"/>
  <c r="P23" i="6"/>
  <c r="O23" i="6"/>
  <c r="N23" i="6"/>
  <c r="R22" i="6"/>
  <c r="Q22" i="6"/>
  <c r="P22" i="6"/>
  <c r="O22" i="6"/>
  <c r="N22" i="6"/>
  <c r="DS34" i="3" l="1"/>
  <c r="R91" i="6"/>
  <c r="O88" i="6"/>
  <c r="N88" i="6"/>
  <c r="K10" i="5" l="1"/>
  <c r="AD34" i="12" l="1"/>
  <c r="AC34" i="12"/>
  <c r="AA34" i="12"/>
  <c r="Z34" i="12"/>
  <c r="X34" i="12"/>
  <c r="W34" i="12"/>
  <c r="U34" i="12"/>
  <c r="T34" i="12"/>
  <c r="R34" i="12"/>
  <c r="Q34" i="12"/>
  <c r="O34" i="12"/>
  <c r="N34" i="12"/>
  <c r="L34" i="12"/>
  <c r="K34" i="12"/>
  <c r="I34" i="12"/>
  <c r="H34" i="12"/>
  <c r="F34" i="12"/>
  <c r="E34" i="12"/>
  <c r="C34" i="12"/>
  <c r="B34" i="12"/>
  <c r="K35" i="5"/>
  <c r="J35" i="5"/>
  <c r="I35" i="5"/>
  <c r="N35" i="5" s="1"/>
  <c r="H35" i="5"/>
  <c r="G35" i="5"/>
  <c r="L35" i="5" s="1"/>
  <c r="P33" i="12"/>
  <c r="F35" i="5" s="1"/>
  <c r="M33" i="12"/>
  <c r="E35" i="5" s="1"/>
  <c r="J33" i="12"/>
  <c r="D35" i="5" s="1"/>
  <c r="G33" i="12"/>
  <c r="C35" i="5" s="1"/>
  <c r="D33" i="12"/>
  <c r="B35" i="5" s="1"/>
  <c r="K34" i="5"/>
  <c r="J34" i="5"/>
  <c r="I34" i="5"/>
  <c r="N34" i="5" s="1"/>
  <c r="H34" i="5"/>
  <c r="G34" i="5"/>
  <c r="L34" i="5" s="1"/>
  <c r="P32" i="12"/>
  <c r="F34" i="5" s="1"/>
  <c r="M32" i="12"/>
  <c r="E34" i="5" s="1"/>
  <c r="J32" i="12"/>
  <c r="D34" i="5" s="1"/>
  <c r="G32" i="12"/>
  <c r="C34" i="5" s="1"/>
  <c r="D32" i="12"/>
  <c r="B34" i="5" s="1"/>
  <c r="K33" i="5"/>
  <c r="P33" i="5" s="1"/>
  <c r="J33" i="5"/>
  <c r="I33" i="5"/>
  <c r="N33" i="5" s="1"/>
  <c r="H33" i="5"/>
  <c r="G33" i="5"/>
  <c r="L33" i="5" s="1"/>
  <c r="P31" i="12"/>
  <c r="F33" i="5" s="1"/>
  <c r="M31" i="12"/>
  <c r="E33" i="5" s="1"/>
  <c r="J31" i="12"/>
  <c r="D33" i="5" s="1"/>
  <c r="G31" i="12"/>
  <c r="C33" i="5" s="1"/>
  <c r="D31" i="12"/>
  <c r="B33" i="5" s="1"/>
  <c r="K32" i="5"/>
  <c r="J32" i="5"/>
  <c r="I32" i="5"/>
  <c r="N32" i="5" s="1"/>
  <c r="H32" i="5"/>
  <c r="G32" i="5"/>
  <c r="L32" i="5" s="1"/>
  <c r="P30" i="12"/>
  <c r="F32" i="5" s="1"/>
  <c r="M30" i="12"/>
  <c r="E32" i="5" s="1"/>
  <c r="J30" i="12"/>
  <c r="D32" i="5" s="1"/>
  <c r="G30" i="12"/>
  <c r="C32" i="5" s="1"/>
  <c r="D30" i="12"/>
  <c r="B32" i="5" s="1"/>
  <c r="K31" i="5"/>
  <c r="P31" i="5" s="1"/>
  <c r="J31" i="5"/>
  <c r="I31" i="5"/>
  <c r="N31" i="5" s="1"/>
  <c r="H31" i="5"/>
  <c r="G31" i="5"/>
  <c r="L31" i="5" s="1"/>
  <c r="P29" i="12"/>
  <c r="F31" i="5" s="1"/>
  <c r="M29" i="12"/>
  <c r="E31" i="5" s="1"/>
  <c r="J29" i="12"/>
  <c r="D31" i="5" s="1"/>
  <c r="G29" i="12"/>
  <c r="C31" i="5" s="1"/>
  <c r="D29" i="12"/>
  <c r="B31" i="5" s="1"/>
  <c r="K30" i="5"/>
  <c r="P30" i="5" s="1"/>
  <c r="J30" i="5"/>
  <c r="I30" i="5"/>
  <c r="N30" i="5" s="1"/>
  <c r="H30" i="5"/>
  <c r="G30" i="5"/>
  <c r="L30" i="5" s="1"/>
  <c r="P28" i="12"/>
  <c r="F30" i="5" s="1"/>
  <c r="M28" i="12"/>
  <c r="E30" i="5" s="1"/>
  <c r="J28" i="12"/>
  <c r="D30" i="5" s="1"/>
  <c r="G28" i="12"/>
  <c r="C30" i="5" s="1"/>
  <c r="D28" i="12"/>
  <c r="B30" i="5" s="1"/>
  <c r="K29" i="5"/>
  <c r="P29" i="5" s="1"/>
  <c r="J29" i="5"/>
  <c r="I29" i="5"/>
  <c r="N29" i="5" s="1"/>
  <c r="H29" i="5"/>
  <c r="G29" i="5"/>
  <c r="L29" i="5" s="1"/>
  <c r="P27" i="12"/>
  <c r="F29" i="5" s="1"/>
  <c r="M27" i="12"/>
  <c r="E29" i="5" s="1"/>
  <c r="J27" i="12"/>
  <c r="D29" i="5" s="1"/>
  <c r="G27" i="12"/>
  <c r="C29" i="5" s="1"/>
  <c r="D27" i="12"/>
  <c r="B29" i="5" s="1"/>
  <c r="K28" i="5"/>
  <c r="P28" i="5" s="1"/>
  <c r="J28" i="5"/>
  <c r="I28" i="5"/>
  <c r="N28" i="5" s="1"/>
  <c r="H28" i="5"/>
  <c r="G28" i="5"/>
  <c r="L28" i="5" s="1"/>
  <c r="P26" i="12"/>
  <c r="F28" i="5" s="1"/>
  <c r="M26" i="12"/>
  <c r="E28" i="5" s="1"/>
  <c r="J26" i="12"/>
  <c r="D28" i="5" s="1"/>
  <c r="G26" i="12"/>
  <c r="C28" i="5" s="1"/>
  <c r="D26" i="12"/>
  <c r="B28" i="5" s="1"/>
  <c r="K27" i="5"/>
  <c r="P27" i="5" s="1"/>
  <c r="J27" i="5"/>
  <c r="I27" i="5"/>
  <c r="N27" i="5" s="1"/>
  <c r="H27" i="5"/>
  <c r="G27" i="5"/>
  <c r="L27" i="5" s="1"/>
  <c r="P25" i="12"/>
  <c r="F27" i="5" s="1"/>
  <c r="M25" i="12"/>
  <c r="E27" i="5" s="1"/>
  <c r="J25" i="12"/>
  <c r="D27" i="5" s="1"/>
  <c r="G25" i="12"/>
  <c r="C27" i="5" s="1"/>
  <c r="D25" i="12"/>
  <c r="B27" i="5" s="1"/>
  <c r="K26" i="5"/>
  <c r="P26" i="5" s="1"/>
  <c r="J26" i="5"/>
  <c r="I26" i="5"/>
  <c r="N26" i="5" s="1"/>
  <c r="H26" i="5"/>
  <c r="G26" i="5"/>
  <c r="L26" i="5" s="1"/>
  <c r="P24" i="12"/>
  <c r="F26" i="5" s="1"/>
  <c r="M24" i="12"/>
  <c r="E26" i="5" s="1"/>
  <c r="J24" i="12"/>
  <c r="D26" i="5" s="1"/>
  <c r="G24" i="12"/>
  <c r="C26" i="5" s="1"/>
  <c r="D24" i="12"/>
  <c r="B26" i="5" s="1"/>
  <c r="K25" i="5"/>
  <c r="P25" i="5" s="1"/>
  <c r="J25" i="5"/>
  <c r="I25" i="5"/>
  <c r="N25" i="5" s="1"/>
  <c r="H25" i="5"/>
  <c r="G25" i="5"/>
  <c r="L25" i="5" s="1"/>
  <c r="P23" i="12"/>
  <c r="F25" i="5" s="1"/>
  <c r="M23" i="12"/>
  <c r="E25" i="5" s="1"/>
  <c r="J23" i="12"/>
  <c r="D25" i="5" s="1"/>
  <c r="G23" i="12"/>
  <c r="C25" i="5" s="1"/>
  <c r="D23" i="12"/>
  <c r="B25" i="5" s="1"/>
  <c r="K24" i="5"/>
  <c r="P24" i="5" s="1"/>
  <c r="J24" i="5"/>
  <c r="I24" i="5"/>
  <c r="N24" i="5" s="1"/>
  <c r="H24" i="5"/>
  <c r="G24" i="5"/>
  <c r="L24" i="5" s="1"/>
  <c r="P22" i="12"/>
  <c r="F24" i="5" s="1"/>
  <c r="M22" i="12"/>
  <c r="E24" i="5" s="1"/>
  <c r="J22" i="12"/>
  <c r="D24" i="5" s="1"/>
  <c r="G22" i="12"/>
  <c r="C24" i="5" s="1"/>
  <c r="D22" i="12"/>
  <c r="B24" i="5" s="1"/>
  <c r="K23" i="5"/>
  <c r="P23" i="5" s="1"/>
  <c r="J23" i="5"/>
  <c r="I23" i="5"/>
  <c r="N23" i="5" s="1"/>
  <c r="H23" i="5"/>
  <c r="G23" i="5"/>
  <c r="L23" i="5" s="1"/>
  <c r="P21" i="12"/>
  <c r="F23" i="5" s="1"/>
  <c r="M21" i="12"/>
  <c r="E23" i="5" s="1"/>
  <c r="J21" i="12"/>
  <c r="D23" i="5" s="1"/>
  <c r="G21" i="12"/>
  <c r="C23" i="5" s="1"/>
  <c r="D21" i="12"/>
  <c r="B23" i="5" s="1"/>
  <c r="K22" i="5"/>
  <c r="P22" i="5" s="1"/>
  <c r="J22" i="5"/>
  <c r="I22" i="5"/>
  <c r="N22" i="5" s="1"/>
  <c r="H22" i="5"/>
  <c r="G22" i="5"/>
  <c r="L22" i="5" s="1"/>
  <c r="P20" i="12"/>
  <c r="F22" i="5" s="1"/>
  <c r="M20" i="12"/>
  <c r="E22" i="5" s="1"/>
  <c r="J20" i="12"/>
  <c r="D22" i="5" s="1"/>
  <c r="G20" i="12"/>
  <c r="C22" i="5" s="1"/>
  <c r="D20" i="12"/>
  <c r="B22" i="5" s="1"/>
  <c r="K21" i="5"/>
  <c r="P21" i="5" s="1"/>
  <c r="J21" i="5"/>
  <c r="I21" i="5"/>
  <c r="N21" i="5" s="1"/>
  <c r="H21" i="5"/>
  <c r="G21" i="5"/>
  <c r="L21" i="5" s="1"/>
  <c r="P19" i="12"/>
  <c r="F21" i="5" s="1"/>
  <c r="M19" i="12"/>
  <c r="E21" i="5" s="1"/>
  <c r="J19" i="12"/>
  <c r="D21" i="5" s="1"/>
  <c r="G19" i="12"/>
  <c r="C21" i="5" s="1"/>
  <c r="D19" i="12"/>
  <c r="B21" i="5" s="1"/>
  <c r="K20" i="5"/>
  <c r="P20" i="5" s="1"/>
  <c r="J20" i="5"/>
  <c r="I20" i="5"/>
  <c r="N20" i="5" s="1"/>
  <c r="H20" i="5"/>
  <c r="G20" i="5"/>
  <c r="L20" i="5" s="1"/>
  <c r="P18" i="12"/>
  <c r="F20" i="5" s="1"/>
  <c r="M18" i="12"/>
  <c r="E20" i="5" s="1"/>
  <c r="J18" i="12"/>
  <c r="D20" i="5" s="1"/>
  <c r="G18" i="12"/>
  <c r="C20" i="5" s="1"/>
  <c r="D18" i="12"/>
  <c r="B20" i="5" s="1"/>
  <c r="K19" i="5"/>
  <c r="P19" i="5" s="1"/>
  <c r="J19" i="5"/>
  <c r="I19" i="5"/>
  <c r="N19" i="5" s="1"/>
  <c r="H19" i="5"/>
  <c r="G19" i="5"/>
  <c r="L19" i="5" s="1"/>
  <c r="P17" i="12"/>
  <c r="F19" i="5" s="1"/>
  <c r="M17" i="12"/>
  <c r="E19" i="5" s="1"/>
  <c r="J17" i="12"/>
  <c r="D19" i="5" s="1"/>
  <c r="G17" i="12"/>
  <c r="C19" i="5" s="1"/>
  <c r="D17" i="12"/>
  <c r="B19" i="5" s="1"/>
  <c r="K18" i="5"/>
  <c r="P18" i="5" s="1"/>
  <c r="J18" i="5"/>
  <c r="I18" i="5"/>
  <c r="N18" i="5" s="1"/>
  <c r="H18" i="5"/>
  <c r="G18" i="5"/>
  <c r="L18" i="5" s="1"/>
  <c r="P16" i="12"/>
  <c r="F18" i="5" s="1"/>
  <c r="M16" i="12"/>
  <c r="E18" i="5" s="1"/>
  <c r="J16" i="12"/>
  <c r="D18" i="5" s="1"/>
  <c r="G16" i="12"/>
  <c r="C18" i="5" s="1"/>
  <c r="D16" i="12"/>
  <c r="B18" i="5" s="1"/>
  <c r="K17" i="5"/>
  <c r="J17" i="5"/>
  <c r="I17" i="5"/>
  <c r="N17" i="5" s="1"/>
  <c r="H17" i="5"/>
  <c r="G17" i="5"/>
  <c r="L17" i="5" s="1"/>
  <c r="P15" i="12"/>
  <c r="F17" i="5" s="1"/>
  <c r="M15" i="12"/>
  <c r="E17" i="5" s="1"/>
  <c r="J15" i="12"/>
  <c r="D17" i="5" s="1"/>
  <c r="G15" i="12"/>
  <c r="C17" i="5" s="1"/>
  <c r="D15" i="12"/>
  <c r="B17" i="5" s="1"/>
  <c r="K16" i="5"/>
  <c r="J16" i="5"/>
  <c r="I16" i="5"/>
  <c r="N16" i="5" s="1"/>
  <c r="H16" i="5"/>
  <c r="G16" i="5"/>
  <c r="L16" i="5" s="1"/>
  <c r="P14" i="12"/>
  <c r="F16" i="5" s="1"/>
  <c r="M14" i="12"/>
  <c r="E16" i="5" s="1"/>
  <c r="J14" i="12"/>
  <c r="D16" i="5" s="1"/>
  <c r="G14" i="12"/>
  <c r="C16" i="5" s="1"/>
  <c r="D14" i="12"/>
  <c r="B16" i="5" s="1"/>
  <c r="K15" i="5"/>
  <c r="P15" i="5" s="1"/>
  <c r="J15" i="5"/>
  <c r="I15" i="5"/>
  <c r="N15" i="5" s="1"/>
  <c r="H15" i="5"/>
  <c r="G15" i="5"/>
  <c r="L15" i="5" s="1"/>
  <c r="P13" i="12"/>
  <c r="F15" i="5" s="1"/>
  <c r="M13" i="12"/>
  <c r="E15" i="5" s="1"/>
  <c r="J13" i="12"/>
  <c r="D15" i="5" s="1"/>
  <c r="G13" i="12"/>
  <c r="C15" i="5" s="1"/>
  <c r="D13" i="12"/>
  <c r="B15" i="5" s="1"/>
  <c r="K14" i="5"/>
  <c r="P14" i="5" s="1"/>
  <c r="J14" i="5"/>
  <c r="I14" i="5"/>
  <c r="N14" i="5" s="1"/>
  <c r="H14" i="5"/>
  <c r="G14" i="5"/>
  <c r="L14" i="5" s="1"/>
  <c r="P12" i="12"/>
  <c r="F14" i="5" s="1"/>
  <c r="M12" i="12"/>
  <c r="E14" i="5" s="1"/>
  <c r="J12" i="12"/>
  <c r="D14" i="5" s="1"/>
  <c r="G12" i="12"/>
  <c r="C14" i="5" s="1"/>
  <c r="D12" i="12"/>
  <c r="B14" i="5" s="1"/>
  <c r="K13" i="5"/>
  <c r="P13" i="5" s="1"/>
  <c r="J13" i="5"/>
  <c r="I13" i="5"/>
  <c r="N13" i="5" s="1"/>
  <c r="H13" i="5"/>
  <c r="G13" i="5"/>
  <c r="L13" i="5" s="1"/>
  <c r="P11" i="12"/>
  <c r="F13" i="5" s="1"/>
  <c r="M11" i="12"/>
  <c r="E13" i="5" s="1"/>
  <c r="J11" i="12"/>
  <c r="D13" i="5" s="1"/>
  <c r="G11" i="12"/>
  <c r="C13" i="5" s="1"/>
  <c r="D11" i="12"/>
  <c r="B13" i="5" s="1"/>
  <c r="K12" i="5"/>
  <c r="P12" i="5" s="1"/>
  <c r="J12" i="5"/>
  <c r="I12" i="5"/>
  <c r="N12" i="5" s="1"/>
  <c r="H12" i="5"/>
  <c r="G12" i="5"/>
  <c r="L12" i="5" s="1"/>
  <c r="P10" i="12"/>
  <c r="F12" i="5" s="1"/>
  <c r="M10" i="12"/>
  <c r="E12" i="5" s="1"/>
  <c r="J10" i="12"/>
  <c r="D12" i="5" s="1"/>
  <c r="G10" i="12"/>
  <c r="C12" i="5" s="1"/>
  <c r="D10" i="12"/>
  <c r="B12" i="5" s="1"/>
  <c r="K11" i="5"/>
  <c r="P11" i="5" s="1"/>
  <c r="J11" i="5"/>
  <c r="I11" i="5"/>
  <c r="N11" i="5" s="1"/>
  <c r="H11" i="5"/>
  <c r="G11" i="5"/>
  <c r="L11" i="5" s="1"/>
  <c r="P9" i="12"/>
  <c r="F11" i="5" s="1"/>
  <c r="M9" i="12"/>
  <c r="E11" i="5" s="1"/>
  <c r="J9" i="12"/>
  <c r="D11" i="5" s="1"/>
  <c r="G9" i="12"/>
  <c r="C11" i="5" s="1"/>
  <c r="D9" i="12"/>
  <c r="B11" i="5" s="1"/>
  <c r="J10" i="5"/>
  <c r="I10" i="5"/>
  <c r="H10" i="5"/>
  <c r="G10" i="5"/>
  <c r="P8" i="12"/>
  <c r="F10" i="5" s="1"/>
  <c r="M8" i="12"/>
  <c r="E10" i="5" s="1"/>
  <c r="J8" i="12"/>
  <c r="D10" i="5" s="1"/>
  <c r="G8" i="12"/>
  <c r="D8" i="12"/>
  <c r="B10" i="5" s="1"/>
  <c r="O11" i="5" l="1"/>
  <c r="M12" i="5"/>
  <c r="O13" i="5"/>
  <c r="M14" i="5"/>
  <c r="O15" i="5"/>
  <c r="M16" i="5"/>
  <c r="O17" i="5"/>
  <c r="M18" i="5"/>
  <c r="O19" i="5"/>
  <c r="M20" i="5"/>
  <c r="O21" i="5"/>
  <c r="M22" i="5"/>
  <c r="O23" i="5"/>
  <c r="M24" i="5"/>
  <c r="M26" i="5"/>
  <c r="O27" i="5"/>
  <c r="M28" i="5"/>
  <c r="M30" i="5"/>
  <c r="O31" i="5"/>
  <c r="M32" i="5"/>
  <c r="O33" i="5"/>
  <c r="M34" i="5"/>
  <c r="O35" i="5"/>
  <c r="M11" i="5"/>
  <c r="O12" i="5"/>
  <c r="M13" i="5"/>
  <c r="O14" i="5"/>
  <c r="M15" i="5"/>
  <c r="O16" i="5"/>
  <c r="M17" i="5"/>
  <c r="O18" i="5"/>
  <c r="M19" i="5"/>
  <c r="M21" i="5"/>
  <c r="O22" i="5"/>
  <c r="M23" i="5"/>
  <c r="O24" i="5"/>
  <c r="M25" i="5"/>
  <c r="O26" i="5"/>
  <c r="M27" i="5"/>
  <c r="O28" i="5"/>
  <c r="M29" i="5"/>
  <c r="M31" i="5"/>
  <c r="O32" i="5"/>
  <c r="M33" i="5"/>
  <c r="N10" i="5"/>
  <c r="O10" i="5"/>
  <c r="L10" i="5"/>
  <c r="G34" i="12"/>
  <c r="C36" i="5" s="1"/>
  <c r="H38" i="5" s="1"/>
  <c r="C10" i="5"/>
  <c r="M10" i="5" s="1"/>
  <c r="AE34" i="12"/>
  <c r="K36" i="5" s="1"/>
  <c r="S34" i="12"/>
  <c r="J34" i="12"/>
  <c r="D36" i="5" s="1"/>
  <c r="V34" i="12"/>
  <c r="H36" i="5" s="1"/>
  <c r="D34" i="12"/>
  <c r="P34" i="12"/>
  <c r="F36" i="5" s="1"/>
  <c r="AB34" i="12"/>
  <c r="J36" i="5" s="1"/>
  <c r="M34" i="12"/>
  <c r="E36" i="5" s="1"/>
  <c r="Y34" i="12"/>
  <c r="I36" i="5" s="1"/>
  <c r="C47" i="5" l="1"/>
  <c r="K39" i="5"/>
  <c r="C44" i="5"/>
  <c r="M36" i="5"/>
  <c r="C45" i="5"/>
  <c r="I41" i="5"/>
  <c r="N36" i="5"/>
  <c r="C46" i="5"/>
  <c r="O36" i="5"/>
  <c r="B47" i="5"/>
  <c r="K38" i="5"/>
  <c r="B45" i="5"/>
  <c r="D37" i="12"/>
  <c r="G36" i="5"/>
  <c r="S37" i="12"/>
  <c r="B36" i="5"/>
  <c r="D36" i="12"/>
  <c r="B46" i="5"/>
  <c r="J38" i="5"/>
  <c r="B44" i="5"/>
  <c r="L36" i="5" l="1"/>
  <c r="C37" i="5"/>
  <c r="G40" i="5"/>
  <c r="E37" i="5"/>
  <c r="J37" i="5"/>
  <c r="H37" i="5"/>
  <c r="K37" i="5"/>
  <c r="F37" i="5"/>
  <c r="D37" i="5"/>
  <c r="N37" i="5" s="1"/>
  <c r="P34" i="3"/>
  <c r="Q34" i="3"/>
  <c r="R34" i="3"/>
  <c r="L34" i="3"/>
  <c r="M34" i="3"/>
  <c r="N34" i="3"/>
  <c r="DH8" i="3"/>
  <c r="DJ8" i="3" s="1"/>
  <c r="P37" i="5" l="1"/>
  <c r="M37" i="5"/>
  <c r="O37" i="5"/>
  <c r="P142" i="1"/>
  <c r="E124" i="1"/>
  <c r="P112" i="1"/>
  <c r="Q112" i="1"/>
  <c r="S112" i="1"/>
  <c r="T112" i="1"/>
  <c r="U112" i="1"/>
  <c r="V112" i="1"/>
  <c r="W112" i="1"/>
  <c r="Y112" i="1"/>
  <c r="Z112" i="1"/>
  <c r="AA112" i="1"/>
  <c r="L112" i="1"/>
  <c r="X112" i="1" s="1"/>
  <c r="E112" i="1"/>
  <c r="R112" i="1" s="1"/>
  <c r="L104" i="1"/>
  <c r="L103" i="1" s="1"/>
  <c r="X103" i="1" s="1"/>
  <c r="L101" i="1"/>
  <c r="L100" i="1" s="1"/>
  <c r="X100" i="1" s="1"/>
  <c r="L97" i="1"/>
  <c r="L96" i="1" s="1"/>
  <c r="X96" i="1" s="1"/>
  <c r="L95" i="1"/>
  <c r="L94" i="1" s="1"/>
  <c r="X94" i="1" s="1"/>
  <c r="L93" i="1"/>
  <c r="L92" i="1" s="1"/>
  <c r="X92" i="1" s="1"/>
  <c r="E104" i="1"/>
  <c r="E103" i="1" s="1"/>
  <c r="R103" i="1" s="1"/>
  <c r="E101" i="1"/>
  <c r="E100" i="1" s="1"/>
  <c r="R100" i="1" s="1"/>
  <c r="E97" i="1"/>
  <c r="E96" i="1" s="1"/>
  <c r="R96" i="1" s="1"/>
  <c r="E95" i="1"/>
  <c r="E94" i="1" s="1"/>
  <c r="R94" i="1" s="1"/>
  <c r="E93" i="1"/>
  <c r="E92" i="1" s="1"/>
  <c r="R92" i="1" s="1"/>
  <c r="V93" i="1"/>
  <c r="U93" i="1"/>
  <c r="T93" i="1"/>
  <c r="AA104" i="1"/>
  <c r="Z104" i="1"/>
  <c r="W104" i="1"/>
  <c r="V104" i="1"/>
  <c r="U104" i="1"/>
  <c r="T104" i="1"/>
  <c r="Q104" i="1"/>
  <c r="P104" i="1"/>
  <c r="AA103" i="1"/>
  <c r="Z103" i="1"/>
  <c r="Y103" i="1"/>
  <c r="W103" i="1"/>
  <c r="V103" i="1"/>
  <c r="U103" i="1"/>
  <c r="T103" i="1"/>
  <c r="S103" i="1"/>
  <c r="Q103" i="1"/>
  <c r="P103" i="1"/>
  <c r="AA101" i="1"/>
  <c r="Z101" i="1"/>
  <c r="W101" i="1"/>
  <c r="V101" i="1"/>
  <c r="U101" i="1"/>
  <c r="T101" i="1"/>
  <c r="Q101" i="1"/>
  <c r="P101" i="1"/>
  <c r="AA100" i="1"/>
  <c r="Z100" i="1"/>
  <c r="Y100" i="1"/>
  <c r="W100" i="1"/>
  <c r="V100" i="1"/>
  <c r="U100" i="1"/>
  <c r="T100" i="1"/>
  <c r="S100" i="1"/>
  <c r="Q100" i="1"/>
  <c r="P100" i="1"/>
  <c r="AA102" i="1"/>
  <c r="Z102" i="1"/>
  <c r="Y102" i="1"/>
  <c r="W102" i="1"/>
  <c r="V102" i="1"/>
  <c r="U102" i="1"/>
  <c r="T102" i="1"/>
  <c r="S102" i="1"/>
  <c r="Q102" i="1"/>
  <c r="P102" i="1"/>
  <c r="AA99" i="1"/>
  <c r="Z99" i="1"/>
  <c r="Y99" i="1"/>
  <c r="W99" i="1"/>
  <c r="V99" i="1"/>
  <c r="U99" i="1"/>
  <c r="T99" i="1"/>
  <c r="S99" i="1"/>
  <c r="Q99" i="1"/>
  <c r="P99" i="1"/>
  <c r="AA98" i="1"/>
  <c r="Z98" i="1"/>
  <c r="Y98" i="1"/>
  <c r="W98" i="1"/>
  <c r="V98" i="1"/>
  <c r="U98" i="1"/>
  <c r="T98" i="1"/>
  <c r="S98" i="1"/>
  <c r="Q98" i="1"/>
  <c r="P98" i="1"/>
  <c r="AA97" i="1"/>
  <c r="Z97" i="1"/>
  <c r="W97" i="1"/>
  <c r="V97" i="1"/>
  <c r="U97" i="1"/>
  <c r="T97" i="1"/>
  <c r="Q97" i="1"/>
  <c r="P97" i="1"/>
  <c r="AA96" i="1"/>
  <c r="Z96" i="1"/>
  <c r="Y96" i="1"/>
  <c r="W96" i="1"/>
  <c r="V96" i="1"/>
  <c r="U96" i="1"/>
  <c r="T96" i="1"/>
  <c r="S96" i="1"/>
  <c r="Q96" i="1"/>
  <c r="P96" i="1"/>
  <c r="AA95" i="1"/>
  <c r="Z95" i="1"/>
  <c r="W95" i="1"/>
  <c r="V95" i="1"/>
  <c r="U95" i="1"/>
  <c r="T95" i="1"/>
  <c r="Q95" i="1"/>
  <c r="P95" i="1"/>
  <c r="AA94" i="1"/>
  <c r="Z94" i="1"/>
  <c r="Y94" i="1"/>
  <c r="W94" i="1"/>
  <c r="V94" i="1"/>
  <c r="U94" i="1"/>
  <c r="T94" i="1"/>
  <c r="S94" i="1"/>
  <c r="Q94" i="1"/>
  <c r="P94" i="1"/>
  <c r="AA93" i="1"/>
  <c r="Z93" i="1"/>
  <c r="W93" i="1"/>
  <c r="Q93" i="1"/>
  <c r="P93" i="1"/>
  <c r="AA92" i="1"/>
  <c r="Z92" i="1"/>
  <c r="Y92" i="1"/>
  <c r="W92" i="1"/>
  <c r="V92" i="1"/>
  <c r="U92" i="1"/>
  <c r="T92" i="1"/>
  <c r="S92" i="1"/>
  <c r="Q92" i="1"/>
  <c r="P92" i="1"/>
  <c r="L102" i="1"/>
  <c r="X102" i="1" s="1"/>
  <c r="L99" i="1"/>
  <c r="X99" i="1" s="1"/>
  <c r="L98" i="1"/>
  <c r="X98" i="1" s="1"/>
  <c r="E102" i="1"/>
  <c r="R102" i="1" s="1"/>
  <c r="E99" i="1"/>
  <c r="R99" i="1" s="1"/>
  <c r="E98" i="1"/>
  <c r="R98" i="1" s="1"/>
  <c r="AB112" i="1" l="1"/>
  <c r="AE100" i="1"/>
  <c r="AD100" i="1"/>
  <c r="AF97" i="1"/>
  <c r="AF99" i="1"/>
  <c r="AF100" i="1"/>
  <c r="AF101" i="1"/>
  <c r="AD99" i="1"/>
  <c r="AG100" i="1"/>
  <c r="AC100" i="1"/>
  <c r="AC112" i="1"/>
  <c r="AB99" i="1"/>
  <c r="AE103" i="1"/>
  <c r="AG103" i="1"/>
  <c r="AC98" i="1"/>
  <c r="AC92" i="1"/>
  <c r="AB98" i="1"/>
  <c r="AF94" i="1"/>
  <c r="AC103" i="1"/>
  <c r="AB101" i="1"/>
  <c r="AC96" i="1"/>
  <c r="AC99" i="1"/>
  <c r="AB100" i="1"/>
  <c r="AF103" i="1"/>
  <c r="AB103" i="1"/>
  <c r="AF104" i="1"/>
  <c r="AB104" i="1"/>
  <c r="AC104" i="1"/>
  <c r="AB102" i="1"/>
  <c r="AC102" i="1"/>
  <c r="AC101" i="1"/>
  <c r="AC97" i="1"/>
  <c r="AB97" i="1"/>
  <c r="AB96" i="1"/>
  <c r="AF96" i="1"/>
  <c r="AE96" i="1"/>
  <c r="AE94" i="1"/>
  <c r="AB94" i="1"/>
  <c r="AC94" i="1"/>
  <c r="AF95" i="1"/>
  <c r="AC95" i="1"/>
  <c r="AB95" i="1"/>
  <c r="AG92" i="1"/>
  <c r="AE92" i="1"/>
  <c r="AF92" i="1"/>
  <c r="AD92" i="1"/>
  <c r="AD103" i="1"/>
  <c r="AD96" i="1"/>
  <c r="AD94" i="1"/>
  <c r="AF93" i="1"/>
  <c r="AC93" i="1"/>
  <c r="AB93" i="1"/>
  <c r="AB92" i="1"/>
  <c r="AH55" i="1" l="1"/>
  <c r="E27" i="1" l="1"/>
  <c r="L12" i="1"/>
  <c r="E9" i="11" l="1"/>
  <c r="F9" i="11"/>
  <c r="E10" i="11"/>
  <c r="F10" i="11"/>
  <c r="E11" i="11"/>
  <c r="F11" i="11"/>
  <c r="E12" i="11"/>
  <c r="F12" i="11"/>
  <c r="E13" i="11"/>
  <c r="F13" i="11"/>
  <c r="E14" i="11"/>
  <c r="F14" i="11"/>
  <c r="E15" i="11"/>
  <c r="F15" i="11"/>
  <c r="E16" i="11"/>
  <c r="F16" i="11"/>
  <c r="E17" i="11"/>
  <c r="F17" i="11"/>
  <c r="E18" i="11"/>
  <c r="E19" i="11"/>
  <c r="F19" i="11"/>
  <c r="E20" i="11"/>
  <c r="F20" i="11"/>
  <c r="E21" i="11"/>
  <c r="F21" i="11"/>
  <c r="E22" i="11"/>
  <c r="F22" i="11"/>
  <c r="E23" i="11"/>
  <c r="F23" i="11"/>
  <c r="E24" i="11"/>
  <c r="F24" i="11"/>
  <c r="E25" i="11"/>
  <c r="F25" i="11"/>
  <c r="E26" i="11"/>
  <c r="F26" i="11"/>
  <c r="E27" i="11"/>
  <c r="F27" i="11"/>
  <c r="E28" i="11"/>
  <c r="F28" i="11"/>
  <c r="E29" i="11"/>
  <c r="F29" i="11"/>
  <c r="E30" i="11"/>
  <c r="F30" i="11"/>
  <c r="E31" i="11"/>
  <c r="F31" i="11"/>
  <c r="E32" i="11"/>
  <c r="F32" i="11"/>
  <c r="E33" i="11"/>
  <c r="F33" i="11"/>
  <c r="F8" i="11"/>
  <c r="E8" i="11"/>
  <c r="B9" i="11"/>
  <c r="C9" i="11"/>
  <c r="B10" i="11"/>
  <c r="C10" i="11"/>
  <c r="B11" i="11"/>
  <c r="C11" i="11"/>
  <c r="B12" i="11"/>
  <c r="C12" i="11"/>
  <c r="B13" i="11"/>
  <c r="C13" i="11"/>
  <c r="B14" i="11"/>
  <c r="C14" i="11"/>
  <c r="B15" i="11"/>
  <c r="C15" i="11"/>
  <c r="B16" i="11"/>
  <c r="C16" i="11"/>
  <c r="B17" i="11"/>
  <c r="C17" i="11"/>
  <c r="B18" i="11"/>
  <c r="C18" i="11"/>
  <c r="I18" i="11" s="1"/>
  <c r="B19" i="11"/>
  <c r="C19" i="11"/>
  <c r="B20" i="11"/>
  <c r="C20" i="11"/>
  <c r="B21" i="11"/>
  <c r="C21" i="11"/>
  <c r="B22" i="11"/>
  <c r="C22" i="11"/>
  <c r="B23" i="11"/>
  <c r="C23" i="11"/>
  <c r="B24" i="11"/>
  <c r="C24" i="11"/>
  <c r="B25" i="11"/>
  <c r="C25" i="11"/>
  <c r="B26" i="11"/>
  <c r="C26" i="11"/>
  <c r="B27" i="11"/>
  <c r="C27" i="11"/>
  <c r="B28" i="11"/>
  <c r="C28" i="11"/>
  <c r="B29" i="11"/>
  <c r="C29" i="11"/>
  <c r="B30" i="11"/>
  <c r="C30" i="11"/>
  <c r="B31" i="11"/>
  <c r="C31" i="11"/>
  <c r="B32" i="11"/>
  <c r="C32" i="11"/>
  <c r="B33" i="11"/>
  <c r="C33" i="11"/>
  <c r="C8" i="11"/>
  <c r="B8" i="11"/>
  <c r="DT34" i="3"/>
  <c r="DU34" i="3"/>
  <c r="DV34" i="3"/>
  <c r="DW34" i="3"/>
  <c r="H16" i="11" l="1"/>
  <c r="H14" i="11"/>
  <c r="H12" i="11"/>
  <c r="H10" i="11"/>
  <c r="I16" i="11"/>
  <c r="I14" i="11"/>
  <c r="I12" i="11"/>
  <c r="G33" i="11"/>
  <c r="H33" i="11"/>
  <c r="G29" i="11"/>
  <c r="H29" i="11"/>
  <c r="G25" i="11"/>
  <c r="H25" i="11"/>
  <c r="G21" i="11"/>
  <c r="H21" i="11"/>
  <c r="G19" i="11"/>
  <c r="H19" i="11"/>
  <c r="I30" i="11"/>
  <c r="I24" i="11"/>
  <c r="I20" i="11"/>
  <c r="G18" i="11"/>
  <c r="H18" i="11"/>
  <c r="H32" i="11"/>
  <c r="H30" i="11"/>
  <c r="H28" i="11"/>
  <c r="H26" i="11"/>
  <c r="H24" i="11"/>
  <c r="H22" i="11"/>
  <c r="H20" i="11"/>
  <c r="I17" i="11"/>
  <c r="I15" i="11"/>
  <c r="I13" i="11"/>
  <c r="I11" i="11"/>
  <c r="I9" i="11"/>
  <c r="G31" i="11"/>
  <c r="H31" i="11"/>
  <c r="G27" i="11"/>
  <c r="H27" i="11"/>
  <c r="G23" i="11"/>
  <c r="H23" i="11"/>
  <c r="I32" i="11"/>
  <c r="I22" i="11"/>
  <c r="I27" i="11"/>
  <c r="I25" i="11"/>
  <c r="I23" i="11"/>
  <c r="I21" i="11"/>
  <c r="I19" i="11"/>
  <c r="H17" i="11"/>
  <c r="H15" i="11"/>
  <c r="H13" i="11"/>
  <c r="H11" i="11"/>
  <c r="H9" i="11"/>
  <c r="G16" i="11"/>
  <c r="G10" i="11"/>
  <c r="G14" i="11"/>
  <c r="G12" i="11"/>
  <c r="G32" i="11"/>
  <c r="G26" i="11"/>
  <c r="G20" i="11"/>
  <c r="G30" i="11"/>
  <c r="G28" i="11"/>
  <c r="G24" i="11"/>
  <c r="G22" i="11"/>
  <c r="G17" i="11"/>
  <c r="G15" i="11"/>
  <c r="G13" i="11"/>
  <c r="G11" i="11"/>
  <c r="G9" i="11"/>
  <c r="D12" i="11"/>
  <c r="D33" i="11"/>
  <c r="D25" i="11"/>
  <c r="D21" i="11"/>
  <c r="D17" i="11"/>
  <c r="D32" i="11"/>
  <c r="D20" i="11"/>
  <c r="D16" i="11"/>
  <c r="D28" i="11"/>
  <c r="D26" i="11"/>
  <c r="D10" i="11"/>
  <c r="D9" i="11"/>
  <c r="L12" i="11"/>
  <c r="D27" i="11"/>
  <c r="K16" i="11"/>
  <c r="B34" i="11"/>
  <c r="B39" i="11" s="1"/>
  <c r="L17" i="11"/>
  <c r="D11" i="11"/>
  <c r="I8" i="11"/>
  <c r="K32" i="11"/>
  <c r="D19" i="11"/>
  <c r="K24" i="11"/>
  <c r="D18" i="11"/>
  <c r="H8" i="11"/>
  <c r="D29" i="11"/>
  <c r="D24" i="11"/>
  <c r="D13" i="11"/>
  <c r="E34" i="11"/>
  <c r="L25" i="11"/>
  <c r="L20" i="11"/>
  <c r="L9" i="11"/>
  <c r="C34" i="11"/>
  <c r="L30" i="11"/>
  <c r="L27" i="11"/>
  <c r="L11" i="11"/>
  <c r="D22" i="11"/>
  <c r="K25" i="11"/>
  <c r="K22" i="11"/>
  <c r="K19" i="11"/>
  <c r="K9" i="11"/>
  <c r="D31" i="11"/>
  <c r="D23" i="11"/>
  <c r="D15" i="11"/>
  <c r="L8" i="11"/>
  <c r="L31" i="11"/>
  <c r="K28" i="11"/>
  <c r="L23" i="11"/>
  <c r="L21" i="11"/>
  <c r="K20" i="11"/>
  <c r="L18" i="11"/>
  <c r="L15" i="11"/>
  <c r="L13" i="11"/>
  <c r="K12" i="11"/>
  <c r="L10" i="11"/>
  <c r="L22" i="11"/>
  <c r="L19" i="11"/>
  <c r="L14" i="11"/>
  <c r="D30" i="11"/>
  <c r="D14" i="11"/>
  <c r="K8" i="11"/>
  <c r="K33" i="11"/>
  <c r="K30" i="11"/>
  <c r="K27" i="11"/>
  <c r="K17" i="11"/>
  <c r="K14" i="11"/>
  <c r="K11" i="11"/>
  <c r="D8" i="11"/>
  <c r="G8" i="11"/>
  <c r="L32" i="11"/>
  <c r="K31" i="11"/>
  <c r="K29" i="11"/>
  <c r="K26" i="11"/>
  <c r="L24" i="11"/>
  <c r="K23" i="11"/>
  <c r="K21" i="11"/>
  <c r="K18" i="11"/>
  <c r="L16" i="11"/>
  <c r="K15" i="11"/>
  <c r="K13" i="11"/>
  <c r="K10" i="11"/>
  <c r="F34" i="11"/>
  <c r="E49" i="11" l="1"/>
  <c r="F36" i="11"/>
  <c r="F51" i="11" s="1"/>
  <c r="F49" i="11"/>
  <c r="J19" i="11"/>
  <c r="J11" i="11"/>
  <c r="J18" i="11"/>
  <c r="J25" i="11"/>
  <c r="J27" i="11"/>
  <c r="J33" i="11"/>
  <c r="J23" i="11"/>
  <c r="J31" i="11"/>
  <c r="J29" i="11"/>
  <c r="J21" i="11"/>
  <c r="J22" i="11"/>
  <c r="J17" i="11"/>
  <c r="J20" i="11"/>
  <c r="J13" i="11"/>
  <c r="J24" i="11"/>
  <c r="J26" i="11"/>
  <c r="J10" i="11"/>
  <c r="J15" i="11"/>
  <c r="J28" i="11"/>
  <c r="J32" i="11"/>
  <c r="J16" i="11"/>
  <c r="J14" i="11"/>
  <c r="J9" i="11"/>
  <c r="J30" i="11"/>
  <c r="J12" i="11"/>
  <c r="F47" i="11"/>
  <c r="F43" i="11"/>
  <c r="L36" i="11"/>
  <c r="I36" i="11"/>
  <c r="G36" i="11"/>
  <c r="J36" i="11" s="1"/>
  <c r="F41" i="11"/>
  <c r="E39" i="11"/>
  <c r="E45" i="11"/>
  <c r="C35" i="11"/>
  <c r="F50" i="11" s="1"/>
  <c r="G35" i="11"/>
  <c r="L34" i="11"/>
  <c r="K34" i="11"/>
  <c r="I34" i="11"/>
  <c r="D34" i="11"/>
  <c r="H34" i="11"/>
  <c r="J8" i="11"/>
  <c r="G34" i="11"/>
  <c r="D35" i="11" l="1"/>
  <c r="J35" i="11" s="1"/>
  <c r="F46" i="11"/>
  <c r="F39" i="11"/>
  <c r="C39" i="11"/>
  <c r="J34" i="11"/>
  <c r="K56" i="6"/>
  <c r="L56" i="6"/>
  <c r="M56" i="6"/>
  <c r="K57" i="6"/>
  <c r="L57" i="6"/>
  <c r="M57" i="6"/>
  <c r="B41" i="7" l="1"/>
  <c r="B40" i="7"/>
  <c r="B42" i="7" l="1"/>
  <c r="R138" i="6"/>
  <c r="Q138" i="6"/>
  <c r="N137" i="6"/>
  <c r="O137" i="6"/>
  <c r="P137" i="6"/>
  <c r="P120" i="6"/>
  <c r="O120" i="6"/>
  <c r="N120" i="6"/>
  <c r="K115" i="6"/>
  <c r="L115" i="6"/>
  <c r="M115" i="6"/>
  <c r="S89" i="6" l="1"/>
  <c r="Q70" i="6"/>
  <c r="Q72" i="6"/>
  <c r="R72" i="6"/>
  <c r="Q60" i="6"/>
  <c r="R60" i="6"/>
  <c r="S60" i="6"/>
  <c r="Q61" i="6"/>
  <c r="R61" i="6"/>
  <c r="Q63" i="6"/>
  <c r="R63" i="6"/>
  <c r="Q65" i="6"/>
  <c r="R65" i="6"/>
  <c r="Q66" i="6"/>
  <c r="R66" i="6"/>
  <c r="Q68" i="6"/>
  <c r="R68" i="6"/>
  <c r="Q73" i="6"/>
  <c r="R73" i="6"/>
  <c r="Q76" i="6"/>
  <c r="R76" i="6"/>
  <c r="R80" i="6"/>
  <c r="Q82" i="6"/>
  <c r="R82" i="6"/>
  <c r="Q84" i="6"/>
  <c r="S84" i="6"/>
  <c r="Q86" i="6"/>
  <c r="R86" i="6"/>
  <c r="S86" i="6"/>
  <c r="Q87" i="6"/>
  <c r="R87" i="6"/>
  <c r="Q89" i="6"/>
  <c r="R89" i="6"/>
  <c r="Q91" i="6"/>
  <c r="Q93" i="6"/>
  <c r="R93" i="6"/>
  <c r="Q94" i="6"/>
  <c r="R94" i="6"/>
  <c r="Q96" i="6"/>
  <c r="R96" i="6"/>
  <c r="Q98" i="6"/>
  <c r="R98" i="6"/>
  <c r="Q99" i="6"/>
  <c r="R99" i="6"/>
  <c r="Q102" i="6"/>
  <c r="R102" i="6"/>
  <c r="Q104" i="6"/>
  <c r="R104" i="6"/>
  <c r="Q106" i="6"/>
  <c r="Q108" i="6"/>
  <c r="R108" i="6"/>
  <c r="Q112" i="6"/>
  <c r="R112" i="6"/>
  <c r="Q114" i="6"/>
  <c r="S114" i="6"/>
  <c r="Q116" i="6"/>
  <c r="Q118" i="6"/>
  <c r="R118" i="6"/>
  <c r="Q122" i="6"/>
  <c r="R122" i="6"/>
  <c r="Q123" i="6"/>
  <c r="R123" i="6"/>
  <c r="S123" i="6"/>
  <c r="Q124" i="6"/>
  <c r="R124" i="6"/>
  <c r="Q126" i="6"/>
  <c r="R126" i="6"/>
  <c r="Q127" i="6"/>
  <c r="R127" i="6"/>
  <c r="N178" i="6" l="1"/>
  <c r="O178" i="6"/>
  <c r="P178" i="6"/>
  <c r="N179" i="6"/>
  <c r="O179" i="6"/>
  <c r="P179" i="6"/>
  <c r="S127" i="6"/>
  <c r="S124" i="6"/>
  <c r="S118" i="6"/>
  <c r="S108" i="6"/>
  <c r="S106" i="6"/>
  <c r="S104" i="6"/>
  <c r="S102" i="6"/>
  <c r="N108" i="6"/>
  <c r="O108" i="6"/>
  <c r="S99" i="6"/>
  <c r="S98" i="6"/>
  <c r="S96" i="6"/>
  <c r="S94" i="6"/>
  <c r="S91" i="6"/>
  <c r="S87" i="6"/>
  <c r="Q136" i="6"/>
  <c r="R136" i="6"/>
  <c r="K129" i="6"/>
  <c r="L129" i="6"/>
  <c r="M129" i="6"/>
  <c r="K134" i="6"/>
  <c r="L134" i="6"/>
  <c r="M134" i="6"/>
  <c r="R101" i="6"/>
  <c r="R85" i="6"/>
  <c r="Q78" i="6"/>
  <c r="S82" i="6"/>
  <c r="S80" i="6"/>
  <c r="S76" i="6"/>
  <c r="S66" i="6"/>
  <c r="S61" i="6"/>
  <c r="S116" i="6" l="1"/>
  <c r="Q85" i="6"/>
  <c r="Q101" i="6"/>
  <c r="R78" i="6"/>
  <c r="S110" i="6"/>
  <c r="R110" i="6"/>
  <c r="Q110" i="6"/>
  <c r="S101" i="6"/>
  <c r="S78" i="6"/>
  <c r="P108" i="6"/>
  <c r="S85" i="6"/>
  <c r="S73" i="6" l="1"/>
  <c r="S70" i="6"/>
  <c r="P71" i="6"/>
  <c r="O71" i="6"/>
  <c r="N71" i="6"/>
  <c r="S68" i="6"/>
  <c r="S63" i="6"/>
  <c r="R38" i="6" l="1"/>
  <c r="Q38" i="6"/>
  <c r="P180" i="6" l="1"/>
  <c r="O180" i="6"/>
  <c r="N180" i="6"/>
  <c r="P177" i="6"/>
  <c r="O177" i="6"/>
  <c r="N177" i="6"/>
  <c r="P176" i="6"/>
  <c r="O176" i="6"/>
  <c r="N176" i="6"/>
  <c r="P175" i="6"/>
  <c r="O175" i="6"/>
  <c r="N175" i="6"/>
  <c r="S174" i="6"/>
  <c r="R174" i="6"/>
  <c r="Q174" i="6"/>
  <c r="P174" i="6"/>
  <c r="O174" i="6"/>
  <c r="N174" i="6"/>
  <c r="M173" i="6"/>
  <c r="L173" i="6"/>
  <c r="K173" i="6"/>
  <c r="R171" i="6"/>
  <c r="O171" i="6"/>
  <c r="R170" i="6"/>
  <c r="O170" i="6"/>
  <c r="R169" i="6"/>
  <c r="O169" i="6"/>
  <c r="M168" i="6"/>
  <c r="L168" i="6"/>
  <c r="K168" i="6"/>
  <c r="S167" i="6"/>
  <c r="R167" i="6"/>
  <c r="Q167" i="6"/>
  <c r="P167" i="6"/>
  <c r="O167" i="6"/>
  <c r="N167" i="6"/>
  <c r="M166" i="6"/>
  <c r="L166" i="6"/>
  <c r="K166" i="6"/>
  <c r="R165" i="6"/>
  <c r="Q165" i="6"/>
  <c r="P165" i="6"/>
  <c r="O165" i="6"/>
  <c r="N165" i="6"/>
  <c r="S164" i="6"/>
  <c r="R164" i="6"/>
  <c r="Q164" i="6"/>
  <c r="P164" i="6"/>
  <c r="O164" i="6"/>
  <c r="N164" i="6"/>
  <c r="P163" i="6"/>
  <c r="O163" i="6"/>
  <c r="N163" i="6"/>
  <c r="S160" i="6"/>
  <c r="Q160" i="6"/>
  <c r="P160" i="6"/>
  <c r="O160" i="6"/>
  <c r="N160" i="6"/>
  <c r="S158" i="6"/>
  <c r="R158" i="6"/>
  <c r="Q158" i="6"/>
  <c r="P158" i="6"/>
  <c r="O158" i="6"/>
  <c r="N158" i="6"/>
  <c r="S156" i="6"/>
  <c r="R156" i="6"/>
  <c r="Q156" i="6"/>
  <c r="P156" i="6"/>
  <c r="O156" i="6"/>
  <c r="N156" i="6"/>
  <c r="S154" i="6"/>
  <c r="Q154" i="6"/>
  <c r="P154" i="6"/>
  <c r="O154" i="6"/>
  <c r="N154" i="6"/>
  <c r="S151" i="6"/>
  <c r="R151" i="6"/>
  <c r="Q151" i="6"/>
  <c r="P151" i="6"/>
  <c r="O151" i="6"/>
  <c r="N151" i="6"/>
  <c r="S149" i="6"/>
  <c r="R149" i="6"/>
  <c r="Q149" i="6"/>
  <c r="P149" i="6"/>
  <c r="O149" i="6"/>
  <c r="N149" i="6"/>
  <c r="S147" i="6"/>
  <c r="R147" i="6"/>
  <c r="Q147" i="6"/>
  <c r="P147" i="6"/>
  <c r="O147" i="6"/>
  <c r="N147" i="6"/>
  <c r="S146" i="6"/>
  <c r="R146" i="6"/>
  <c r="Q146" i="6"/>
  <c r="P146" i="6"/>
  <c r="O146" i="6"/>
  <c r="N146" i="6"/>
  <c r="S144" i="6"/>
  <c r="R144" i="6"/>
  <c r="Q144" i="6"/>
  <c r="P144" i="6"/>
  <c r="O144" i="6"/>
  <c r="N144" i="6"/>
  <c r="S142" i="6"/>
  <c r="R142" i="6"/>
  <c r="Q142" i="6"/>
  <c r="P142" i="6"/>
  <c r="O142" i="6"/>
  <c r="N142" i="6"/>
  <c r="P141" i="6"/>
  <c r="O141" i="6"/>
  <c r="N141" i="6"/>
  <c r="R140" i="6"/>
  <c r="Q140" i="6"/>
  <c r="P140" i="6"/>
  <c r="O140" i="6"/>
  <c r="N140" i="6"/>
  <c r="R139" i="6"/>
  <c r="Q139" i="6"/>
  <c r="P139" i="6"/>
  <c r="O139" i="6"/>
  <c r="N139" i="6"/>
  <c r="P138" i="6"/>
  <c r="O138" i="6"/>
  <c r="N138" i="6"/>
  <c r="T138" i="6" s="1"/>
  <c r="P136" i="6"/>
  <c r="O136" i="6"/>
  <c r="N136" i="6"/>
  <c r="R135" i="6"/>
  <c r="Q135" i="6"/>
  <c r="P135" i="6"/>
  <c r="O135" i="6"/>
  <c r="N135" i="6"/>
  <c r="S132" i="6"/>
  <c r="R132" i="6"/>
  <c r="Q132" i="6"/>
  <c r="P132" i="6"/>
  <c r="O132" i="6"/>
  <c r="N132" i="6"/>
  <c r="S130" i="6"/>
  <c r="R130" i="6"/>
  <c r="Q130" i="6"/>
  <c r="P130" i="6"/>
  <c r="O130" i="6"/>
  <c r="N130" i="6"/>
  <c r="P127" i="6"/>
  <c r="O127" i="6"/>
  <c r="N127" i="6"/>
  <c r="P126" i="6"/>
  <c r="O126" i="6"/>
  <c r="N126" i="6"/>
  <c r="P124" i="6"/>
  <c r="O124" i="6"/>
  <c r="N124" i="6"/>
  <c r="P123" i="6"/>
  <c r="O123" i="6"/>
  <c r="N123" i="6"/>
  <c r="P122" i="6"/>
  <c r="O122" i="6"/>
  <c r="N122" i="6"/>
  <c r="P118" i="6"/>
  <c r="O118" i="6"/>
  <c r="N118" i="6"/>
  <c r="P116" i="6"/>
  <c r="O116" i="6"/>
  <c r="N116" i="6"/>
  <c r="S115" i="6"/>
  <c r="R115" i="6"/>
  <c r="Q115" i="6"/>
  <c r="P114" i="6"/>
  <c r="O114" i="6"/>
  <c r="N114" i="6"/>
  <c r="P112" i="6"/>
  <c r="O112" i="6"/>
  <c r="N112" i="6"/>
  <c r="P111" i="6"/>
  <c r="O111" i="6"/>
  <c r="N111" i="6"/>
  <c r="P106" i="6"/>
  <c r="O106" i="6"/>
  <c r="N106" i="6"/>
  <c r="P104" i="6"/>
  <c r="O104" i="6"/>
  <c r="N104" i="6"/>
  <c r="P102" i="6"/>
  <c r="O102" i="6"/>
  <c r="N102" i="6"/>
  <c r="P99" i="6"/>
  <c r="O99" i="6"/>
  <c r="N99" i="6"/>
  <c r="P98" i="6"/>
  <c r="O98" i="6"/>
  <c r="N98" i="6"/>
  <c r="P96" i="6"/>
  <c r="O96" i="6"/>
  <c r="N96" i="6"/>
  <c r="P94" i="6"/>
  <c r="O94" i="6"/>
  <c r="N94" i="6"/>
  <c r="P93" i="6"/>
  <c r="O93" i="6"/>
  <c r="N93" i="6"/>
  <c r="P91" i="6"/>
  <c r="O91" i="6"/>
  <c r="N91" i="6"/>
  <c r="P89" i="6"/>
  <c r="O89" i="6"/>
  <c r="N89" i="6"/>
  <c r="P87" i="6"/>
  <c r="O87" i="6"/>
  <c r="N87" i="6"/>
  <c r="P86" i="6"/>
  <c r="O86" i="6"/>
  <c r="N86" i="6"/>
  <c r="P84" i="6"/>
  <c r="O84" i="6"/>
  <c r="N84" i="6"/>
  <c r="P82" i="6"/>
  <c r="O82" i="6"/>
  <c r="N82" i="6"/>
  <c r="P80" i="6"/>
  <c r="O80" i="6"/>
  <c r="N80" i="6"/>
  <c r="P79" i="6"/>
  <c r="O79" i="6"/>
  <c r="N79" i="6"/>
  <c r="M78" i="6"/>
  <c r="L78" i="6"/>
  <c r="K78" i="6"/>
  <c r="P76" i="6"/>
  <c r="O76" i="6"/>
  <c r="N76" i="6"/>
  <c r="S75" i="6"/>
  <c r="R75" i="6"/>
  <c r="Q75" i="6"/>
  <c r="P73" i="6"/>
  <c r="O73" i="6"/>
  <c r="N73" i="6"/>
  <c r="P72" i="6"/>
  <c r="O72" i="6"/>
  <c r="N72" i="6"/>
  <c r="P70" i="6"/>
  <c r="O70" i="6"/>
  <c r="N70" i="6"/>
  <c r="P68" i="6"/>
  <c r="O68" i="6"/>
  <c r="N68" i="6"/>
  <c r="P66" i="6"/>
  <c r="O66" i="6"/>
  <c r="N66" i="6"/>
  <c r="P65" i="6"/>
  <c r="O65" i="6"/>
  <c r="N65" i="6"/>
  <c r="P63" i="6"/>
  <c r="O63" i="6"/>
  <c r="N63" i="6"/>
  <c r="P61" i="6"/>
  <c r="O61" i="6"/>
  <c r="N61" i="6"/>
  <c r="P60" i="6"/>
  <c r="O60" i="6"/>
  <c r="N60" i="6"/>
  <c r="J57" i="6"/>
  <c r="I57" i="6"/>
  <c r="H57" i="6"/>
  <c r="G57" i="6"/>
  <c r="F57" i="6"/>
  <c r="E57" i="6"/>
  <c r="D57" i="6"/>
  <c r="C57" i="6"/>
  <c r="B57" i="6"/>
  <c r="J56" i="6"/>
  <c r="I56" i="6"/>
  <c r="H56" i="6"/>
  <c r="G56" i="6"/>
  <c r="F56" i="6"/>
  <c r="E56" i="6"/>
  <c r="D56" i="6"/>
  <c r="C56" i="6"/>
  <c r="B56" i="6"/>
  <c r="S55" i="6"/>
  <c r="R55" i="6"/>
  <c r="Q55" i="6"/>
  <c r="S54" i="6"/>
  <c r="R54" i="6"/>
  <c r="Q54" i="6"/>
  <c r="P54" i="6"/>
  <c r="O54" i="6"/>
  <c r="N54" i="6"/>
  <c r="S53" i="6"/>
  <c r="R53" i="6"/>
  <c r="Q53" i="6"/>
  <c r="P53" i="6"/>
  <c r="O53" i="6"/>
  <c r="N53" i="6"/>
  <c r="S52" i="6"/>
  <c r="R52" i="6"/>
  <c r="Q52" i="6"/>
  <c r="P52" i="6"/>
  <c r="O52" i="6"/>
  <c r="N52" i="6"/>
  <c r="S51" i="6"/>
  <c r="Q51" i="6"/>
  <c r="P51" i="6"/>
  <c r="O51" i="6"/>
  <c r="N51" i="6"/>
  <c r="R50" i="6"/>
  <c r="Q50" i="6"/>
  <c r="P50" i="6"/>
  <c r="O50" i="6"/>
  <c r="N50" i="6"/>
  <c r="S49" i="6"/>
  <c r="R49" i="6"/>
  <c r="Q49" i="6"/>
  <c r="P49" i="6"/>
  <c r="O49" i="6"/>
  <c r="N49" i="6"/>
  <c r="S48" i="6"/>
  <c r="R48" i="6"/>
  <c r="Q48" i="6"/>
  <c r="P48" i="6"/>
  <c r="O48" i="6"/>
  <c r="N48" i="6"/>
  <c r="P47" i="6"/>
  <c r="O47" i="6"/>
  <c r="N47" i="6"/>
  <c r="S46" i="6"/>
  <c r="R46" i="6"/>
  <c r="Q46" i="6"/>
  <c r="P46" i="6"/>
  <c r="O46" i="6"/>
  <c r="N46" i="6"/>
  <c r="S45" i="6"/>
  <c r="R45" i="6"/>
  <c r="Q45" i="6"/>
  <c r="P45" i="6"/>
  <c r="O45" i="6"/>
  <c r="N45" i="6"/>
  <c r="S44" i="6"/>
  <c r="R44" i="6"/>
  <c r="Q44" i="6"/>
  <c r="P44" i="6"/>
  <c r="O44" i="6"/>
  <c r="N44" i="6"/>
  <c r="S43" i="6"/>
  <c r="R43" i="6"/>
  <c r="Q43" i="6"/>
  <c r="P43" i="6"/>
  <c r="O43" i="6"/>
  <c r="N43" i="6"/>
  <c r="S42" i="6"/>
  <c r="R42" i="6"/>
  <c r="Q42" i="6"/>
  <c r="P42" i="6"/>
  <c r="O42" i="6"/>
  <c r="N42" i="6"/>
  <c r="S41" i="6"/>
  <c r="R41" i="6"/>
  <c r="Q41" i="6"/>
  <c r="P41" i="6"/>
  <c r="O41" i="6"/>
  <c r="N41" i="6"/>
  <c r="S40" i="6"/>
  <c r="R40" i="6"/>
  <c r="Q40" i="6"/>
  <c r="P40" i="6"/>
  <c r="O40" i="6"/>
  <c r="N40" i="6"/>
  <c r="R39" i="6"/>
  <c r="Q39" i="6"/>
  <c r="P39" i="6"/>
  <c r="O39" i="6"/>
  <c r="N39" i="6"/>
  <c r="P38" i="6"/>
  <c r="O38" i="6"/>
  <c r="N38" i="6"/>
  <c r="S37" i="6"/>
  <c r="R37" i="6"/>
  <c r="Q37" i="6"/>
  <c r="P37" i="6"/>
  <c r="O37" i="6"/>
  <c r="N37" i="6"/>
  <c r="S36" i="6"/>
  <c r="R36" i="6"/>
  <c r="Q36" i="6"/>
  <c r="P36" i="6"/>
  <c r="O36" i="6"/>
  <c r="N36" i="6"/>
  <c r="S35" i="6"/>
  <c r="R35" i="6"/>
  <c r="Q35" i="6"/>
  <c r="P35" i="6"/>
  <c r="O35" i="6"/>
  <c r="N35" i="6"/>
  <c r="S34" i="6"/>
  <c r="R34" i="6"/>
  <c r="Q34" i="6"/>
  <c r="P34" i="6"/>
  <c r="O34" i="6"/>
  <c r="N34" i="6"/>
  <c r="S33" i="6"/>
  <c r="R33" i="6"/>
  <c r="Q33" i="6"/>
  <c r="P33" i="6"/>
  <c r="O33" i="6"/>
  <c r="N33" i="6"/>
  <c r="R32" i="6"/>
  <c r="Q32" i="6"/>
  <c r="P32" i="6"/>
  <c r="O32" i="6"/>
  <c r="N32" i="6"/>
  <c r="R31" i="6"/>
  <c r="Q31" i="6"/>
  <c r="P31" i="6"/>
  <c r="O31" i="6"/>
  <c r="N31" i="6"/>
  <c r="S30" i="6"/>
  <c r="Q30" i="6"/>
  <c r="P30" i="6"/>
  <c r="O30" i="6"/>
  <c r="N30" i="6"/>
  <c r="R29" i="6"/>
  <c r="Q29" i="6"/>
  <c r="P29" i="6"/>
  <c r="O29" i="6"/>
  <c r="N29" i="6"/>
  <c r="R28" i="6"/>
  <c r="Q28" i="6"/>
  <c r="P28" i="6"/>
  <c r="O28" i="6"/>
  <c r="N28" i="6"/>
  <c r="O27" i="6"/>
  <c r="P27" i="6"/>
  <c r="Q27" i="6"/>
  <c r="S26" i="6"/>
  <c r="R26" i="6"/>
  <c r="Q26" i="6"/>
  <c r="P26" i="6"/>
  <c r="O26" i="6"/>
  <c r="N26" i="6"/>
  <c r="S21" i="6"/>
  <c r="R21" i="6"/>
  <c r="Q21" i="6"/>
  <c r="P21" i="6"/>
  <c r="O21" i="6"/>
  <c r="N21" i="6"/>
  <c r="S13" i="6"/>
  <c r="R13" i="6"/>
  <c r="Q13" i="6"/>
  <c r="P13" i="6"/>
  <c r="O13" i="6"/>
  <c r="N13" i="6"/>
  <c r="S12" i="6"/>
  <c r="R12" i="6"/>
  <c r="Q12" i="6"/>
  <c r="P12" i="6"/>
  <c r="O12" i="6"/>
  <c r="N12" i="6"/>
  <c r="R11" i="6"/>
  <c r="Q11" i="6"/>
  <c r="P11" i="6"/>
  <c r="O11" i="6"/>
  <c r="N11" i="6"/>
  <c r="S10" i="6"/>
  <c r="R10" i="6"/>
  <c r="Q10" i="6"/>
  <c r="P10" i="6"/>
  <c r="O10" i="6"/>
  <c r="N10" i="6"/>
  <c r="P55" i="6" l="1"/>
  <c r="N55" i="6"/>
  <c r="O55" i="6"/>
  <c r="P57" i="6"/>
  <c r="N56" i="6"/>
  <c r="O56" i="6"/>
  <c r="N57" i="6"/>
  <c r="P56" i="6"/>
  <c r="O57" i="6"/>
  <c r="N115" i="6"/>
  <c r="P115" i="6"/>
  <c r="P134" i="6"/>
  <c r="N134" i="6"/>
  <c r="S166" i="6"/>
  <c r="N166" i="6"/>
  <c r="O75" i="6"/>
  <c r="N85" i="6"/>
  <c r="S59" i="6"/>
  <c r="O168" i="6"/>
  <c r="Q143" i="6"/>
  <c r="S143" i="6"/>
  <c r="O134" i="6"/>
  <c r="B172" i="6"/>
  <c r="B173" i="6" s="1"/>
  <c r="F172" i="6"/>
  <c r="F173" i="6" s="1"/>
  <c r="O85" i="6"/>
  <c r="N110" i="6"/>
  <c r="P110" i="6"/>
  <c r="N129" i="6"/>
  <c r="P129" i="6"/>
  <c r="R153" i="6"/>
  <c r="N162" i="6"/>
  <c r="P162" i="6"/>
  <c r="R57" i="6"/>
  <c r="O110" i="6"/>
  <c r="O143" i="6"/>
  <c r="S27" i="6"/>
  <c r="C172" i="6"/>
  <c r="C173" i="6" s="1"/>
  <c r="G172" i="6"/>
  <c r="G173" i="6" s="1"/>
  <c r="P59" i="6"/>
  <c r="S56" i="6"/>
  <c r="Q56" i="6"/>
  <c r="N59" i="6"/>
  <c r="P75" i="6"/>
  <c r="N75" i="6"/>
  <c r="P78" i="6"/>
  <c r="N78" i="6"/>
  <c r="O101" i="6"/>
  <c r="O129" i="6"/>
  <c r="R134" i="6"/>
  <c r="P143" i="6"/>
  <c r="O153" i="6"/>
  <c r="O162" i="6"/>
  <c r="O166" i="6"/>
  <c r="E172" i="6"/>
  <c r="E173" i="6" s="1"/>
  <c r="O59" i="6"/>
  <c r="P85" i="6"/>
  <c r="N101" i="6"/>
  <c r="P101" i="6"/>
  <c r="O115" i="6"/>
  <c r="S129" i="6"/>
  <c r="Q129" i="6"/>
  <c r="N143" i="6"/>
  <c r="S153" i="6"/>
  <c r="N153" i="6"/>
  <c r="S162" i="6"/>
  <c r="Q162" i="6"/>
  <c r="N27" i="6"/>
  <c r="R56" i="6"/>
  <c r="S57" i="6"/>
  <c r="O78" i="6"/>
  <c r="R129" i="6"/>
  <c r="S134" i="6"/>
  <c r="R162" i="6"/>
  <c r="P166" i="6"/>
  <c r="D172" i="6"/>
  <c r="D173" i="6" s="1"/>
  <c r="Q59" i="6"/>
  <c r="P153" i="6"/>
  <c r="Q166" i="6"/>
  <c r="R168" i="6"/>
  <c r="I172" i="6"/>
  <c r="Q57" i="6"/>
  <c r="R59" i="6"/>
  <c r="Q134" i="6"/>
  <c r="R143" i="6"/>
  <c r="Q153" i="6"/>
  <c r="R166" i="6"/>
  <c r="J172" i="6"/>
  <c r="H172" i="6"/>
  <c r="S172" i="6" l="1"/>
  <c r="J173" i="6"/>
  <c r="P172" i="6"/>
  <c r="H173" i="6"/>
  <c r="N172" i="6"/>
  <c r="Q172" i="6"/>
  <c r="R172" i="6"/>
  <c r="I173" i="6"/>
  <c r="O172" i="6"/>
  <c r="O173" i="6" l="1"/>
  <c r="N173" i="6"/>
  <c r="P173" i="6"/>
  <c r="N10" i="2" l="1"/>
  <c r="N11" i="2"/>
  <c r="N12" i="2"/>
  <c r="N13" i="2"/>
  <c r="N14" i="2"/>
  <c r="N15" i="2"/>
  <c r="N16" i="2"/>
  <c r="N17" i="2"/>
  <c r="N18" i="2"/>
  <c r="N19" i="2"/>
  <c r="N20" i="2"/>
  <c r="N21" i="2"/>
  <c r="N22" i="2"/>
  <c r="N23" i="2"/>
  <c r="N24" i="2"/>
  <c r="N25" i="2"/>
  <c r="N26" i="2"/>
  <c r="N27" i="2"/>
  <c r="N28" i="2"/>
  <c r="N29" i="2"/>
  <c r="N30" i="2"/>
  <c r="N31" i="2"/>
  <c r="N32" i="2"/>
  <c r="N33" i="2"/>
  <c r="N34" i="2"/>
  <c r="N9" i="2"/>
  <c r="O9" i="2"/>
  <c r="E9" i="4"/>
  <c r="F9" i="4"/>
  <c r="G9" i="4" l="1"/>
  <c r="AX9" i="3"/>
  <c r="AX10" i="3"/>
  <c r="AX11" i="3"/>
  <c r="AX12" i="3"/>
  <c r="AX13" i="3"/>
  <c r="AX14" i="3"/>
  <c r="AX15" i="3"/>
  <c r="AX16" i="3"/>
  <c r="AX17" i="3"/>
  <c r="AX18" i="3"/>
  <c r="AX19" i="3"/>
  <c r="AX20" i="3"/>
  <c r="AX21" i="3"/>
  <c r="AX22" i="3"/>
  <c r="AX23" i="3"/>
  <c r="AX24" i="3"/>
  <c r="AX25" i="3"/>
  <c r="AX26" i="3"/>
  <c r="AX27" i="3"/>
  <c r="AX28" i="3"/>
  <c r="AX29" i="3"/>
  <c r="AX30" i="3"/>
  <c r="AX31" i="3"/>
  <c r="AX32" i="3"/>
  <c r="AX33" i="3"/>
  <c r="AR9" i="3"/>
  <c r="AR10" i="3"/>
  <c r="AR11" i="3"/>
  <c r="AR12" i="3"/>
  <c r="AR13" i="3"/>
  <c r="AR14" i="3"/>
  <c r="AR15" i="3"/>
  <c r="AR16" i="3"/>
  <c r="AR17" i="3"/>
  <c r="AR18" i="3"/>
  <c r="AR19" i="3"/>
  <c r="AR20" i="3"/>
  <c r="AR21" i="3"/>
  <c r="AR22" i="3"/>
  <c r="AR23" i="3"/>
  <c r="AR24" i="3"/>
  <c r="AR25" i="3"/>
  <c r="AR26" i="3"/>
  <c r="AR27" i="3"/>
  <c r="AR28" i="3"/>
  <c r="AR29" i="3"/>
  <c r="AR30" i="3"/>
  <c r="AR31" i="3"/>
  <c r="AR32" i="3"/>
  <c r="AR33" i="3"/>
  <c r="C9" i="4"/>
  <c r="C10" i="4"/>
  <c r="C11" i="4"/>
  <c r="C12" i="4"/>
  <c r="D11" i="4" l="1"/>
  <c r="D9" i="4"/>
  <c r="D10" i="4"/>
  <c r="D12" i="4"/>
  <c r="BA9" i="3"/>
  <c r="AZ39" i="3" s="1"/>
  <c r="BA10" i="3"/>
  <c r="BA11" i="3"/>
  <c r="AZ40" i="3" l="1"/>
  <c r="AZ41" i="3"/>
  <c r="AZ9" i="3"/>
  <c r="BB9" i="3" s="1"/>
  <c r="AZ10" i="3"/>
  <c r="BB10" i="3" s="1"/>
  <c r="AZ11" i="3"/>
  <c r="BB11" i="3" s="1"/>
  <c r="AZ38" i="3" l="1"/>
  <c r="CK34" i="3"/>
  <c r="CL34" i="3"/>
  <c r="CV34" i="3"/>
  <c r="CU34" i="3"/>
  <c r="CO34" i="3"/>
  <c r="CH34" i="3"/>
  <c r="CF34" i="3"/>
  <c r="CA34" i="3"/>
  <c r="BW34" i="3"/>
  <c r="BT34" i="3"/>
  <c r="BR34" i="3"/>
  <c r="BO34" i="3"/>
  <c r="BM34" i="3"/>
  <c r="AI34" i="3"/>
  <c r="AG34" i="3"/>
  <c r="F34" i="4"/>
  <c r="E34" i="4"/>
  <c r="CW33" i="3"/>
  <c r="O34" i="2" s="1"/>
  <c r="CP33" i="3"/>
  <c r="O34" i="4"/>
  <c r="N34" i="4"/>
  <c r="K34" i="4"/>
  <c r="R34" i="4"/>
  <c r="Q34" i="4"/>
  <c r="I34" i="4"/>
  <c r="H34" i="4"/>
  <c r="C34" i="4"/>
  <c r="B34" i="4"/>
  <c r="F33" i="4"/>
  <c r="E33" i="4"/>
  <c r="CW32" i="3"/>
  <c r="O33" i="2" s="1"/>
  <c r="CP32" i="3"/>
  <c r="O33" i="4"/>
  <c r="N33" i="4"/>
  <c r="K33" i="4"/>
  <c r="R33" i="4"/>
  <c r="Q33" i="4"/>
  <c r="I33" i="4"/>
  <c r="H33" i="4"/>
  <c r="C33" i="4"/>
  <c r="B33" i="4"/>
  <c r="F32" i="4"/>
  <c r="E32" i="4"/>
  <c r="CW31" i="3"/>
  <c r="O32" i="2" s="1"/>
  <c r="CP31" i="3"/>
  <c r="O32" i="4"/>
  <c r="N32" i="4"/>
  <c r="K32" i="4"/>
  <c r="R32" i="4"/>
  <c r="Q32" i="4"/>
  <c r="I32" i="4"/>
  <c r="H32" i="4"/>
  <c r="C32" i="4"/>
  <c r="B32" i="4"/>
  <c r="F31" i="4"/>
  <c r="E31" i="4"/>
  <c r="CW30" i="3"/>
  <c r="O31" i="2" s="1"/>
  <c r="CP30" i="3"/>
  <c r="O31" i="4"/>
  <c r="N31" i="4"/>
  <c r="K31" i="4"/>
  <c r="R31" i="4"/>
  <c r="Q31" i="4"/>
  <c r="I31" i="4"/>
  <c r="H31" i="4"/>
  <c r="C31" i="4"/>
  <c r="B31" i="4"/>
  <c r="F30" i="4"/>
  <c r="E30" i="4"/>
  <c r="CW29" i="3"/>
  <c r="O30" i="2" s="1"/>
  <c r="CP29" i="3"/>
  <c r="O30" i="4"/>
  <c r="N30" i="4"/>
  <c r="K30" i="4"/>
  <c r="R30" i="4"/>
  <c r="Q30" i="4"/>
  <c r="I30" i="4"/>
  <c r="H30" i="4"/>
  <c r="C30" i="4"/>
  <c r="B30" i="4"/>
  <c r="AL29" i="3"/>
  <c r="F30" i="2" s="1"/>
  <c r="F29" i="4"/>
  <c r="E29" i="4"/>
  <c r="CW28" i="3"/>
  <c r="O29" i="2" s="1"/>
  <c r="CP28" i="3"/>
  <c r="O29" i="4"/>
  <c r="N29" i="4"/>
  <c r="K29" i="4"/>
  <c r="R29" i="4"/>
  <c r="Q29" i="4"/>
  <c r="I29" i="4"/>
  <c r="H29" i="4"/>
  <c r="C29" i="4"/>
  <c r="B29" i="4"/>
  <c r="F28" i="4"/>
  <c r="E28" i="4"/>
  <c r="CW27" i="3"/>
  <c r="O28" i="2" s="1"/>
  <c r="CP27" i="3"/>
  <c r="O28" i="4"/>
  <c r="N28" i="4"/>
  <c r="K28" i="4"/>
  <c r="R28" i="4"/>
  <c r="Q28" i="4"/>
  <c r="I28" i="4"/>
  <c r="H28" i="4"/>
  <c r="C28" i="4"/>
  <c r="B28" i="4"/>
  <c r="F27" i="4"/>
  <c r="E27" i="4"/>
  <c r="DI26" i="3"/>
  <c r="CW26" i="3"/>
  <c r="O27" i="2" s="1"/>
  <c r="CP26" i="3"/>
  <c r="O27" i="4"/>
  <c r="N27" i="4"/>
  <c r="K27" i="4"/>
  <c r="R27" i="4"/>
  <c r="Q27" i="4"/>
  <c r="I27" i="4"/>
  <c r="H27" i="4"/>
  <c r="C27" i="4"/>
  <c r="B27" i="4"/>
  <c r="AZ26" i="3"/>
  <c r="F26" i="4"/>
  <c r="E26" i="4"/>
  <c r="DH25" i="3"/>
  <c r="CW25" i="3"/>
  <c r="O26" i="2" s="1"/>
  <c r="CP25" i="3"/>
  <c r="O26" i="4"/>
  <c r="N26" i="4"/>
  <c r="K26" i="4"/>
  <c r="R26" i="4"/>
  <c r="Q26" i="4"/>
  <c r="I26" i="4"/>
  <c r="H26" i="4"/>
  <c r="C26" i="4"/>
  <c r="B26" i="4"/>
  <c r="F25" i="4"/>
  <c r="E25" i="4"/>
  <c r="CW24" i="3"/>
  <c r="O25" i="2" s="1"/>
  <c r="CP24" i="3"/>
  <c r="O25" i="4"/>
  <c r="N25" i="4"/>
  <c r="K25" i="4"/>
  <c r="R25" i="4"/>
  <c r="Q25" i="4"/>
  <c r="I25" i="4"/>
  <c r="H25" i="4"/>
  <c r="C25" i="4"/>
  <c r="B25" i="4"/>
  <c r="F24" i="4"/>
  <c r="E24" i="4"/>
  <c r="CW23" i="3"/>
  <c r="O24" i="2" s="1"/>
  <c r="CP23" i="3"/>
  <c r="O24" i="4"/>
  <c r="N24" i="4"/>
  <c r="K24" i="4"/>
  <c r="R24" i="4"/>
  <c r="Q24" i="4"/>
  <c r="I24" i="4"/>
  <c r="H24" i="4"/>
  <c r="C24" i="4"/>
  <c r="B24" i="4"/>
  <c r="F23" i="4"/>
  <c r="E23" i="4"/>
  <c r="CW22" i="3"/>
  <c r="O23" i="2" s="1"/>
  <c r="CP22" i="3"/>
  <c r="O23" i="4"/>
  <c r="N23" i="4"/>
  <c r="K23" i="4"/>
  <c r="R23" i="4"/>
  <c r="Q23" i="4"/>
  <c r="I23" i="4"/>
  <c r="H23" i="4"/>
  <c r="C23" i="4"/>
  <c r="B23" i="4"/>
  <c r="AK22" i="3"/>
  <c r="E23" i="2" s="1"/>
  <c r="F22" i="4"/>
  <c r="E22" i="4"/>
  <c r="CW21" i="3"/>
  <c r="O22" i="2" s="1"/>
  <c r="CP21" i="3"/>
  <c r="O22" i="4"/>
  <c r="N22" i="4"/>
  <c r="K22" i="4"/>
  <c r="R22" i="4"/>
  <c r="Q22" i="4"/>
  <c r="I22" i="4"/>
  <c r="H22" i="4"/>
  <c r="C22" i="4"/>
  <c r="B22" i="4"/>
  <c r="F21" i="4"/>
  <c r="E21" i="4"/>
  <c r="CW20" i="3"/>
  <c r="O21" i="2" s="1"/>
  <c r="CP20" i="3"/>
  <c r="O21" i="4"/>
  <c r="N21" i="4"/>
  <c r="K21" i="4"/>
  <c r="R21" i="4"/>
  <c r="Q21" i="4"/>
  <c r="I21" i="4"/>
  <c r="H21" i="4"/>
  <c r="C21" i="4"/>
  <c r="B21" i="4"/>
  <c r="F20" i="4"/>
  <c r="E20" i="4"/>
  <c r="CW19" i="3"/>
  <c r="O20" i="2" s="1"/>
  <c r="CP19" i="3"/>
  <c r="O20" i="4"/>
  <c r="N20" i="4"/>
  <c r="K20" i="4"/>
  <c r="R20" i="4"/>
  <c r="Q20" i="4"/>
  <c r="I20" i="4"/>
  <c r="H20" i="4"/>
  <c r="C20" i="4"/>
  <c r="B20" i="4"/>
  <c r="AZ19" i="3"/>
  <c r="F19" i="4"/>
  <c r="E19" i="4"/>
  <c r="CW18" i="3"/>
  <c r="O19" i="2" s="1"/>
  <c r="CP18" i="3"/>
  <c r="O19" i="4"/>
  <c r="N19" i="4"/>
  <c r="K19" i="4"/>
  <c r="R19" i="4"/>
  <c r="Q19" i="4"/>
  <c r="I19" i="4"/>
  <c r="H19" i="4"/>
  <c r="C19" i="4"/>
  <c r="B19" i="4"/>
  <c r="F18" i="4"/>
  <c r="E18" i="4"/>
  <c r="CW17" i="3"/>
  <c r="O18" i="2" s="1"/>
  <c r="CP17" i="3"/>
  <c r="O18" i="4"/>
  <c r="N18" i="4"/>
  <c r="CE17" i="3"/>
  <c r="K18" i="4"/>
  <c r="R18" i="4"/>
  <c r="Q18" i="4"/>
  <c r="I18" i="4"/>
  <c r="H18" i="4"/>
  <c r="C18" i="4"/>
  <c r="B18" i="4"/>
  <c r="AZ17" i="3"/>
  <c r="F17" i="4"/>
  <c r="E17" i="4"/>
  <c r="CW16" i="3"/>
  <c r="O17" i="2" s="1"/>
  <c r="CP16" i="3"/>
  <c r="O17" i="4"/>
  <c r="N17" i="4"/>
  <c r="K17" i="4"/>
  <c r="R17" i="4"/>
  <c r="Q17" i="4"/>
  <c r="I17" i="4"/>
  <c r="H17" i="4"/>
  <c r="C17" i="4"/>
  <c r="B17" i="4"/>
  <c r="F16" i="4"/>
  <c r="E16" i="4"/>
  <c r="CW15" i="3"/>
  <c r="O16" i="2" s="1"/>
  <c r="CP15" i="3"/>
  <c r="O16" i="4"/>
  <c r="N16" i="4"/>
  <c r="R16" i="4"/>
  <c r="Q16" i="4"/>
  <c r="I16" i="4"/>
  <c r="H16" i="4"/>
  <c r="C16" i="4"/>
  <c r="B16" i="4"/>
  <c r="F15" i="4"/>
  <c r="E15" i="4"/>
  <c r="CW14" i="3"/>
  <c r="O15" i="2" s="1"/>
  <c r="CP14" i="3"/>
  <c r="O15" i="4"/>
  <c r="N15" i="4"/>
  <c r="K15" i="4"/>
  <c r="R15" i="4"/>
  <c r="Q15" i="4"/>
  <c r="I15" i="4"/>
  <c r="H15" i="4"/>
  <c r="C15" i="4"/>
  <c r="B15" i="4"/>
  <c r="F14" i="4"/>
  <c r="E14" i="4"/>
  <c r="CW13" i="3"/>
  <c r="O14" i="2" s="1"/>
  <c r="CP13" i="3"/>
  <c r="O14" i="4"/>
  <c r="N14" i="4"/>
  <c r="K14" i="4"/>
  <c r="R14" i="4"/>
  <c r="Q14" i="4"/>
  <c r="I14" i="4"/>
  <c r="H14" i="4"/>
  <c r="C14" i="4"/>
  <c r="B14" i="4"/>
  <c r="F13" i="4"/>
  <c r="E13" i="4"/>
  <c r="CW12" i="3"/>
  <c r="O13" i="2" s="1"/>
  <c r="CP12" i="3"/>
  <c r="O13" i="4"/>
  <c r="N13" i="4"/>
  <c r="K13" i="4"/>
  <c r="R13" i="4"/>
  <c r="Q13" i="4"/>
  <c r="I13" i="4"/>
  <c r="H13" i="4"/>
  <c r="C13" i="4"/>
  <c r="B13" i="4"/>
  <c r="F12" i="4"/>
  <c r="E12" i="4"/>
  <c r="CW11" i="3"/>
  <c r="O12" i="2" s="1"/>
  <c r="CP11" i="3"/>
  <c r="O12" i="4"/>
  <c r="N12" i="4"/>
  <c r="K12" i="4"/>
  <c r="R12" i="4"/>
  <c r="Q12" i="4"/>
  <c r="I12" i="4"/>
  <c r="H12" i="4"/>
  <c r="F11" i="4"/>
  <c r="E11" i="4"/>
  <c r="CW10" i="3"/>
  <c r="O11" i="2" s="1"/>
  <c r="CP10" i="3"/>
  <c r="O11" i="4"/>
  <c r="N11" i="4"/>
  <c r="K11" i="4"/>
  <c r="R11" i="4"/>
  <c r="Q11" i="4"/>
  <c r="I11" i="4"/>
  <c r="H11" i="4"/>
  <c r="F10" i="4"/>
  <c r="E10" i="4"/>
  <c r="CW9" i="3"/>
  <c r="O10" i="2" s="1"/>
  <c r="CP9" i="3"/>
  <c r="O10" i="4"/>
  <c r="N10" i="4"/>
  <c r="K10" i="4"/>
  <c r="R10" i="4"/>
  <c r="Q10" i="4"/>
  <c r="I10" i="4"/>
  <c r="H10" i="4"/>
  <c r="J9" i="2"/>
  <c r="O9" i="4"/>
  <c r="N9" i="4"/>
  <c r="K9" i="4"/>
  <c r="R9" i="4"/>
  <c r="Q9" i="4"/>
  <c r="I9" i="4"/>
  <c r="H9" i="4"/>
  <c r="U20" i="4" l="1"/>
  <c r="T20" i="4"/>
  <c r="U27" i="4"/>
  <c r="T27" i="4"/>
  <c r="T31" i="4"/>
  <c r="U31" i="4"/>
  <c r="CC33" i="3"/>
  <c r="L15" i="4"/>
  <c r="M15" i="4" s="1"/>
  <c r="L19" i="4"/>
  <c r="M19" i="4" s="1"/>
  <c r="CD18" i="3"/>
  <c r="CE18" i="3"/>
  <c r="L27" i="4"/>
  <c r="M27" i="4" s="1"/>
  <c r="CD26" i="3"/>
  <c r="CE26" i="3"/>
  <c r="L31" i="4"/>
  <c r="M31" i="4" s="1"/>
  <c r="CD30" i="3"/>
  <c r="CE30" i="3"/>
  <c r="L18" i="4"/>
  <c r="M18" i="4" s="1"/>
  <c r="CD17" i="3"/>
  <c r="L26" i="4"/>
  <c r="M26" i="4" s="1"/>
  <c r="CD25" i="3"/>
  <c r="CE25" i="3"/>
  <c r="L34" i="4"/>
  <c r="M34" i="4" s="1"/>
  <c r="CD33" i="3"/>
  <c r="CE33" i="3"/>
  <c r="L13" i="4"/>
  <c r="M13" i="4" s="1"/>
  <c r="CE12" i="3"/>
  <c r="L17" i="4"/>
  <c r="M17" i="4" s="1"/>
  <c r="CE16" i="3"/>
  <c r="CD16" i="3"/>
  <c r="L21" i="4"/>
  <c r="M21" i="4" s="1"/>
  <c r="CE20" i="3"/>
  <c r="CD20" i="3"/>
  <c r="L25" i="4"/>
  <c r="M25" i="4" s="1"/>
  <c r="CE24" i="3"/>
  <c r="CD24" i="3"/>
  <c r="L29" i="4"/>
  <c r="M29" i="4" s="1"/>
  <c r="CE28" i="3"/>
  <c r="CD28" i="3"/>
  <c r="D30" i="4"/>
  <c r="L33" i="4"/>
  <c r="M33" i="4" s="1"/>
  <c r="CE32" i="3"/>
  <c r="CD32" i="3"/>
  <c r="D34" i="4"/>
  <c r="L11" i="4"/>
  <c r="M11" i="4" s="1"/>
  <c r="CD10" i="3"/>
  <c r="CE10" i="3"/>
  <c r="L23" i="4"/>
  <c r="M23" i="4" s="1"/>
  <c r="CD22" i="3"/>
  <c r="CE22" i="3"/>
  <c r="L10" i="4"/>
  <c r="M10" i="4" s="1"/>
  <c r="CD9" i="3"/>
  <c r="CE9" i="3"/>
  <c r="L14" i="4"/>
  <c r="M14" i="4" s="1"/>
  <c r="CE13" i="3"/>
  <c r="L22" i="4"/>
  <c r="M22" i="4" s="1"/>
  <c r="CD21" i="3"/>
  <c r="CE21" i="3"/>
  <c r="L30" i="4"/>
  <c r="M30" i="4" s="1"/>
  <c r="CD29" i="3"/>
  <c r="CE29" i="3"/>
  <c r="L9" i="4"/>
  <c r="M9" i="4" s="1"/>
  <c r="L12" i="4"/>
  <c r="M12" i="4" s="1"/>
  <c r="CD11" i="3"/>
  <c r="L16" i="4"/>
  <c r="CE15" i="3"/>
  <c r="CD15" i="3"/>
  <c r="L20" i="4"/>
  <c r="M20" i="4" s="1"/>
  <c r="CE19" i="3"/>
  <c r="CD19" i="3"/>
  <c r="L24" i="4"/>
  <c r="M24" i="4" s="1"/>
  <c r="CE23" i="3"/>
  <c r="CD23" i="3"/>
  <c r="L28" i="4"/>
  <c r="M28" i="4" s="1"/>
  <c r="CE27" i="3"/>
  <c r="CD27" i="3"/>
  <c r="L32" i="4"/>
  <c r="M32" i="4" s="1"/>
  <c r="CE31" i="3"/>
  <c r="CD31" i="3"/>
  <c r="G19" i="4"/>
  <c r="P20" i="4"/>
  <c r="P11" i="4"/>
  <c r="S20" i="4"/>
  <c r="S11" i="4"/>
  <c r="S15" i="4"/>
  <c r="J19" i="4"/>
  <c r="J18" i="4"/>
  <c r="J22" i="4"/>
  <c r="J13" i="4"/>
  <c r="J17" i="4"/>
  <c r="D15" i="4"/>
  <c r="D20" i="4"/>
  <c r="S30" i="4"/>
  <c r="D27" i="4"/>
  <c r="J29" i="4"/>
  <c r="S31" i="4"/>
  <c r="S27" i="4"/>
  <c r="D31" i="4"/>
  <c r="J33" i="4"/>
  <c r="G22" i="4"/>
  <c r="G24" i="4"/>
  <c r="D25" i="4"/>
  <c r="S25" i="4"/>
  <c r="P25" i="4"/>
  <c r="J9" i="4"/>
  <c r="P10" i="4"/>
  <c r="J11" i="4"/>
  <c r="J12" i="4"/>
  <c r="G13" i="4"/>
  <c r="P14" i="4"/>
  <c r="J15" i="4"/>
  <c r="J16" i="4"/>
  <c r="G17" i="4"/>
  <c r="D18" i="4"/>
  <c r="S18" i="4"/>
  <c r="D19" i="4"/>
  <c r="S19" i="4"/>
  <c r="D22" i="4"/>
  <c r="S22" i="4"/>
  <c r="P23" i="4"/>
  <c r="G27" i="4"/>
  <c r="D28" i="4"/>
  <c r="S28" i="4"/>
  <c r="P28" i="4"/>
  <c r="J30" i="4"/>
  <c r="G31" i="4"/>
  <c r="D32" i="4"/>
  <c r="S32" i="4"/>
  <c r="P32" i="4"/>
  <c r="J34" i="4"/>
  <c r="G20" i="4"/>
  <c r="D21" i="4"/>
  <c r="S21" i="4"/>
  <c r="P21" i="4"/>
  <c r="J24" i="4"/>
  <c r="G25" i="4"/>
  <c r="P26" i="4"/>
  <c r="J27" i="4"/>
  <c r="J31" i="4"/>
  <c r="M9" i="2"/>
  <c r="K9" i="2"/>
  <c r="CQ10" i="3"/>
  <c r="L11" i="2" s="1"/>
  <c r="J11" i="2"/>
  <c r="CR15" i="3"/>
  <c r="M16" i="2" s="1"/>
  <c r="K16" i="2"/>
  <c r="CQ20" i="3"/>
  <c r="L21" i="2" s="1"/>
  <c r="J21" i="2"/>
  <c r="CR28" i="3"/>
  <c r="M29" i="2" s="1"/>
  <c r="K29" i="2"/>
  <c r="CQ31" i="3"/>
  <c r="L32" i="2" s="1"/>
  <c r="J32" i="2"/>
  <c r="CQ9" i="3"/>
  <c r="L10" i="2" s="1"/>
  <c r="J10" i="2"/>
  <c r="D13" i="4"/>
  <c r="P13" i="4"/>
  <c r="G16" i="4"/>
  <c r="P17" i="4"/>
  <c r="P18" i="4"/>
  <c r="CQ19" i="3"/>
  <c r="L20" i="2" s="1"/>
  <c r="J20" i="2"/>
  <c r="J21" i="4"/>
  <c r="P24" i="4"/>
  <c r="CQ26" i="3"/>
  <c r="L27" i="2" s="1"/>
  <c r="J27" i="2"/>
  <c r="J28" i="4"/>
  <c r="CQ30" i="3"/>
  <c r="L31" i="2" s="1"/>
  <c r="J31" i="2"/>
  <c r="J32" i="4"/>
  <c r="G33" i="4"/>
  <c r="P34" i="4"/>
  <c r="N35" i="2"/>
  <c r="S9" i="4"/>
  <c r="P9" i="4"/>
  <c r="J10" i="4"/>
  <c r="CR9" i="3"/>
  <c r="M10" i="2" s="1"/>
  <c r="K10" i="2"/>
  <c r="G10" i="4"/>
  <c r="G11" i="4"/>
  <c r="S12" i="4"/>
  <c r="P12" i="4"/>
  <c r="CQ12" i="3"/>
  <c r="L13" i="2" s="1"/>
  <c r="J13" i="2"/>
  <c r="J14" i="4"/>
  <c r="CR13" i="3"/>
  <c r="M14" i="2" s="1"/>
  <c r="K14" i="2"/>
  <c r="G14" i="4"/>
  <c r="P15" i="4"/>
  <c r="G15" i="4"/>
  <c r="D16" i="4"/>
  <c r="S16" i="4"/>
  <c r="P16" i="4"/>
  <c r="CQ16" i="3"/>
  <c r="L17" i="2" s="1"/>
  <c r="J17" i="2"/>
  <c r="CQ17" i="3"/>
  <c r="L18" i="2" s="1"/>
  <c r="J18" i="2"/>
  <c r="CR18" i="3"/>
  <c r="M19" i="2" s="1"/>
  <c r="K19" i="2"/>
  <c r="J20" i="4"/>
  <c r="CR19" i="3"/>
  <c r="M20" i="2" s="1"/>
  <c r="K20" i="2"/>
  <c r="G21" i="4"/>
  <c r="P22" i="4"/>
  <c r="D23" i="4"/>
  <c r="S23" i="4"/>
  <c r="CQ23" i="3"/>
  <c r="L24" i="2" s="1"/>
  <c r="J24" i="2"/>
  <c r="J25" i="4"/>
  <c r="CR24" i="3"/>
  <c r="M25" i="2" s="1"/>
  <c r="K25" i="2"/>
  <c r="J26" i="4"/>
  <c r="CR25" i="3"/>
  <c r="M26" i="2" s="1"/>
  <c r="K26" i="2"/>
  <c r="G26" i="4"/>
  <c r="CR26" i="3"/>
  <c r="M27" i="2" s="1"/>
  <c r="K27" i="2"/>
  <c r="G28" i="4"/>
  <c r="D29" i="4"/>
  <c r="S29" i="4"/>
  <c r="P29" i="4"/>
  <c r="CQ29" i="3"/>
  <c r="L30" i="2" s="1"/>
  <c r="J30" i="2"/>
  <c r="CR30" i="3"/>
  <c r="M31" i="2" s="1"/>
  <c r="K31" i="2"/>
  <c r="G32" i="4"/>
  <c r="D33" i="4"/>
  <c r="S33" i="4"/>
  <c r="P33" i="4"/>
  <c r="CQ33" i="3"/>
  <c r="L34" i="2" s="1"/>
  <c r="J34" i="2"/>
  <c r="CR11" i="3"/>
  <c r="M12" i="2" s="1"/>
  <c r="K12" i="2"/>
  <c r="CQ14" i="3"/>
  <c r="L15" i="2" s="1"/>
  <c r="J15" i="2"/>
  <c r="CR21" i="3"/>
  <c r="M22" i="2" s="1"/>
  <c r="K22" i="2"/>
  <c r="CR22" i="3"/>
  <c r="M23" i="2" s="1"/>
  <c r="K23" i="2"/>
  <c r="CQ27" i="3"/>
  <c r="L28" i="2" s="1"/>
  <c r="J28" i="2"/>
  <c r="CR32" i="3"/>
  <c r="M33" i="2" s="1"/>
  <c r="K33" i="2"/>
  <c r="CR10" i="3"/>
  <c r="M11" i="2" s="1"/>
  <c r="K11" i="2"/>
  <c r="G12" i="4"/>
  <c r="S13" i="4"/>
  <c r="CQ13" i="3"/>
  <c r="L14" i="2" s="1"/>
  <c r="J14" i="2"/>
  <c r="CR14" i="3"/>
  <c r="M15" i="2" s="1"/>
  <c r="K15" i="2"/>
  <c r="D17" i="4"/>
  <c r="S17" i="4"/>
  <c r="CQ18" i="3"/>
  <c r="L19" i="2" s="1"/>
  <c r="J19" i="2"/>
  <c r="CR20" i="3"/>
  <c r="M21" i="2" s="1"/>
  <c r="K21" i="2"/>
  <c r="G23" i="4"/>
  <c r="S24" i="4"/>
  <c r="CQ24" i="3"/>
  <c r="L25" i="2" s="1"/>
  <c r="J25" i="2"/>
  <c r="CQ25" i="3"/>
  <c r="L26" i="2" s="1"/>
  <c r="J26" i="2"/>
  <c r="CR27" i="3"/>
  <c r="M28" i="2" s="1"/>
  <c r="K28" i="2"/>
  <c r="G29" i="4"/>
  <c r="P30" i="4"/>
  <c r="CR31" i="3"/>
  <c r="M32" i="2" s="1"/>
  <c r="K32" i="2"/>
  <c r="S10" i="4"/>
  <c r="CQ11" i="3"/>
  <c r="L12" i="2" s="1"/>
  <c r="J12" i="2"/>
  <c r="CR12" i="3"/>
  <c r="M13" i="2" s="1"/>
  <c r="K13" i="2"/>
  <c r="D14" i="4"/>
  <c r="S14" i="4"/>
  <c r="CC15" i="3"/>
  <c r="K16" i="4"/>
  <c r="CQ15" i="3"/>
  <c r="L16" i="2" s="1"/>
  <c r="J16" i="2"/>
  <c r="CR16" i="3"/>
  <c r="M17" i="2" s="1"/>
  <c r="K17" i="2"/>
  <c r="CR17" i="3"/>
  <c r="M18" i="2" s="1"/>
  <c r="K18" i="2"/>
  <c r="G18" i="4"/>
  <c r="P19" i="4"/>
  <c r="CQ21" i="3"/>
  <c r="L22" i="2" s="1"/>
  <c r="J22" i="2"/>
  <c r="J23" i="4"/>
  <c r="CQ22" i="3"/>
  <c r="L23" i="2" s="1"/>
  <c r="J23" i="2"/>
  <c r="CR23" i="3"/>
  <c r="M24" i="2" s="1"/>
  <c r="K24" i="2"/>
  <c r="D26" i="4"/>
  <c r="S26" i="4"/>
  <c r="P27" i="4"/>
  <c r="CQ28" i="3"/>
  <c r="L29" i="2" s="1"/>
  <c r="J29" i="2"/>
  <c r="CR29" i="3"/>
  <c r="M30" i="2" s="1"/>
  <c r="K30" i="2"/>
  <c r="G30" i="4"/>
  <c r="P31" i="4"/>
  <c r="CQ32" i="3"/>
  <c r="L33" i="2" s="1"/>
  <c r="J33" i="2"/>
  <c r="CR33" i="3"/>
  <c r="M34" i="2" s="1"/>
  <c r="K34" i="2"/>
  <c r="G34" i="4"/>
  <c r="CC25" i="3"/>
  <c r="AE29" i="3"/>
  <c r="AE22" i="3"/>
  <c r="AL22" i="3"/>
  <c r="BA22" i="3"/>
  <c r="AZ52" i="3" s="1"/>
  <c r="BQ19" i="3"/>
  <c r="AL10" i="3"/>
  <c r="F11" i="2" s="1"/>
  <c r="AK11" i="3"/>
  <c r="E12" i="2" s="1"/>
  <c r="AD13" i="3"/>
  <c r="AK13" i="3"/>
  <c r="E14" i="2" s="1"/>
  <c r="BQ16" i="3"/>
  <c r="DI17" i="3"/>
  <c r="AE31" i="3"/>
  <c r="AL31" i="3"/>
  <c r="F32" i="2" s="1"/>
  <c r="BQ31" i="3"/>
  <c r="DI31" i="3"/>
  <c r="AD14" i="3"/>
  <c r="AH14" i="3" s="1"/>
  <c r="AK14" i="3"/>
  <c r="E15" i="2" s="1"/>
  <c r="AZ16" i="3"/>
  <c r="DI19" i="3"/>
  <c r="DI29" i="3"/>
  <c r="DH31" i="3"/>
  <c r="DI10" i="3"/>
  <c r="CJ27" i="3"/>
  <c r="BQ29" i="3"/>
  <c r="BV12" i="3"/>
  <c r="DI20" i="3"/>
  <c r="AK28" i="3"/>
  <c r="E29" i="2" s="1"/>
  <c r="BQ28" i="3"/>
  <c r="CJ15" i="3"/>
  <c r="BV16" i="3"/>
  <c r="DH29" i="3"/>
  <c r="CC19" i="3"/>
  <c r="BV19" i="3"/>
  <c r="BV20" i="3"/>
  <c r="BV15" i="3"/>
  <c r="BV14" i="3"/>
  <c r="AL26" i="3"/>
  <c r="F27" i="2" s="1"/>
  <c r="AK9" i="3"/>
  <c r="E10" i="2" s="1"/>
  <c r="DI11" i="3"/>
  <c r="DI15" i="3"/>
  <c r="DI24" i="3"/>
  <c r="DI12" i="3"/>
  <c r="AE15" i="3"/>
  <c r="AJ15" i="3" s="1"/>
  <c r="DI16" i="3"/>
  <c r="BA24" i="3"/>
  <c r="AZ54" i="3" s="1"/>
  <c r="DI33" i="3"/>
  <c r="DI9" i="3"/>
  <c r="BA16" i="3"/>
  <c r="DI22" i="3"/>
  <c r="AE25" i="3"/>
  <c r="AJ25" i="3" s="1"/>
  <c r="AL25" i="3"/>
  <c r="F26" i="2" s="1"/>
  <c r="BA25" i="3"/>
  <c r="AZ55" i="3" s="1"/>
  <c r="DI28" i="3"/>
  <c r="AE33" i="3"/>
  <c r="AJ33" i="3" s="1"/>
  <c r="AL33" i="3"/>
  <c r="F34" i="2" s="1"/>
  <c r="BA33" i="3"/>
  <c r="AZ63" i="3" s="1"/>
  <c r="DH24" i="3"/>
  <c r="DH12" i="3"/>
  <c r="DJ12" i="3" s="1"/>
  <c r="AD21" i="3"/>
  <c r="AH21" i="3" s="1"/>
  <c r="AK21" i="3"/>
  <c r="E22" i="2" s="1"/>
  <c r="DH28" i="3"/>
  <c r="DH15" i="3"/>
  <c r="DH21" i="3"/>
  <c r="AD24" i="3"/>
  <c r="AH24" i="3" s="1"/>
  <c r="AK24" i="3"/>
  <c r="E25" i="2" s="1"/>
  <c r="DH23" i="3"/>
  <c r="CJ9" i="3"/>
  <c r="BQ13" i="3"/>
  <c r="DI14" i="3"/>
  <c r="CC28" i="3"/>
  <c r="DH17" i="3"/>
  <c r="AZ18" i="3"/>
  <c r="BQ25" i="3"/>
  <c r="BV26" i="3"/>
  <c r="BQ33" i="3"/>
  <c r="AL11" i="3"/>
  <c r="F12" i="2" s="1"/>
  <c r="AE12" i="3"/>
  <c r="AJ12" i="3" s="1"/>
  <c r="AL12" i="3"/>
  <c r="F13" i="2" s="1"/>
  <c r="BA12" i="3"/>
  <c r="AZ42" i="3" s="1"/>
  <c r="AE14" i="3"/>
  <c r="AJ14" i="3" s="1"/>
  <c r="AL14" i="3"/>
  <c r="BA14" i="3"/>
  <c r="AZ44" i="3" s="1"/>
  <c r="CC14" i="3"/>
  <c r="CJ17" i="3"/>
  <c r="BV22" i="3"/>
  <c r="CJ22" i="3"/>
  <c r="CC24" i="3"/>
  <c r="CC27" i="3"/>
  <c r="AE30" i="3"/>
  <c r="AJ30" i="3" s="1"/>
  <c r="AL30" i="3"/>
  <c r="F31" i="2" s="1"/>
  <c r="BQ30" i="3"/>
  <c r="DI30" i="3"/>
  <c r="AE32" i="3"/>
  <c r="AJ32" i="3" s="1"/>
  <c r="AL32" i="3"/>
  <c r="F33" i="2" s="1"/>
  <c r="BQ32" i="3"/>
  <c r="DI32" i="3"/>
  <c r="DH9" i="3"/>
  <c r="AK10" i="3"/>
  <c r="E11" i="2" s="1"/>
  <c r="AD11" i="3"/>
  <c r="AH11" i="3" s="1"/>
  <c r="CJ11" i="3"/>
  <c r="DH11" i="3"/>
  <c r="AZ12" i="3"/>
  <c r="DH13" i="3"/>
  <c r="DH14" i="3"/>
  <c r="AL15" i="3"/>
  <c r="AE16" i="3"/>
  <c r="AJ16" i="3" s="1"/>
  <c r="AL16" i="3"/>
  <c r="F17" i="2" s="1"/>
  <c r="CJ16" i="3"/>
  <c r="BA18" i="3"/>
  <c r="AZ48" i="3" s="1"/>
  <c r="BQ18" i="3"/>
  <c r="AD19" i="3"/>
  <c r="AH19" i="3" s="1"/>
  <c r="AK19" i="3"/>
  <c r="E20" i="2" s="1"/>
  <c r="DH19" i="3"/>
  <c r="BV21" i="3"/>
  <c r="AZ24" i="3"/>
  <c r="AD25" i="3"/>
  <c r="AH25" i="3" s="1"/>
  <c r="AK25" i="3"/>
  <c r="E26" i="2" s="1"/>
  <c r="AZ25" i="3"/>
  <c r="AK27" i="3"/>
  <c r="E28" i="2" s="1"/>
  <c r="AE28" i="3"/>
  <c r="AJ28" i="3" s="1"/>
  <c r="AZ28" i="3"/>
  <c r="DH30" i="3"/>
  <c r="DH32" i="3"/>
  <c r="AZ27" i="3"/>
  <c r="CC9" i="3"/>
  <c r="CC10" i="3"/>
  <c r="CC11" i="3"/>
  <c r="BV13" i="3"/>
  <c r="BQ23" i="3"/>
  <c r="CJ26" i="3"/>
  <c r="O34" i="3"/>
  <c r="E9" i="2"/>
  <c r="AL9" i="3"/>
  <c r="F10" i="2" s="1"/>
  <c r="AL13" i="3"/>
  <c r="F14" i="2" s="1"/>
  <c r="DI13" i="3"/>
  <c r="BA15" i="3"/>
  <c r="AZ45" i="3" s="1"/>
  <c r="BQ15" i="3"/>
  <c r="BV18" i="3"/>
  <c r="DH18" i="3"/>
  <c r="DI21" i="3"/>
  <c r="BQ22" i="3"/>
  <c r="BA26" i="3"/>
  <c r="BV28" i="3"/>
  <c r="AZ29" i="3"/>
  <c r="BV29" i="3"/>
  <c r="AZ30" i="3"/>
  <c r="BV30" i="3"/>
  <c r="AZ31" i="3"/>
  <c r="BV31" i="3"/>
  <c r="AZ32" i="3"/>
  <c r="BV32" i="3"/>
  <c r="BS34" i="3"/>
  <c r="CJ10" i="3"/>
  <c r="DH10" i="3"/>
  <c r="AE11" i="3"/>
  <c r="AJ11" i="3" s="1"/>
  <c r="BQ12" i="3"/>
  <c r="CC13" i="3"/>
  <c r="BA17" i="3"/>
  <c r="DI18" i="3"/>
  <c r="BA19" i="3"/>
  <c r="BV23" i="3"/>
  <c r="CJ23" i="3"/>
  <c r="BQ27" i="3"/>
  <c r="CJ28" i="3"/>
  <c r="CC12" i="3"/>
  <c r="AE13" i="3"/>
  <c r="AJ13" i="3" s="1"/>
  <c r="AK15" i="3"/>
  <c r="E16" i="2" s="1"/>
  <c r="BL34" i="3"/>
  <c r="CI34" i="3"/>
  <c r="O35" i="4" s="1"/>
  <c r="O37" i="4" s="1"/>
  <c r="AD10" i="3"/>
  <c r="AH10" i="3" s="1"/>
  <c r="AD12" i="3"/>
  <c r="AK12" i="3"/>
  <c r="E13" i="2" s="1"/>
  <c r="AZ13" i="3"/>
  <c r="BA13" i="3"/>
  <c r="AZ43" i="3" s="1"/>
  <c r="CJ13" i="3"/>
  <c r="AZ14" i="3"/>
  <c r="AZ15" i="3"/>
  <c r="AE17" i="3"/>
  <c r="AL17" i="3"/>
  <c r="F18" i="2" s="1"/>
  <c r="BV17" i="3"/>
  <c r="AE18" i="3"/>
  <c r="AJ18" i="3" s="1"/>
  <c r="AL18" i="3"/>
  <c r="F19" i="2" s="1"/>
  <c r="CJ18" i="3"/>
  <c r="CJ19" i="3"/>
  <c r="AZ20" i="3"/>
  <c r="AZ21" i="3"/>
  <c r="BA21" i="3"/>
  <c r="AZ51" i="3" s="1"/>
  <c r="BQ21" i="3"/>
  <c r="AK23" i="3"/>
  <c r="E24" i="2" s="1"/>
  <c r="DI23" i="3"/>
  <c r="BV25" i="3"/>
  <c r="CJ25" i="3"/>
  <c r="AE26" i="3"/>
  <c r="AJ26" i="3" s="1"/>
  <c r="DH26" i="3"/>
  <c r="DJ26" i="3" s="1"/>
  <c r="BV27" i="3"/>
  <c r="AD28" i="3"/>
  <c r="AH28" i="3" s="1"/>
  <c r="AD29" i="3"/>
  <c r="AK29" i="3"/>
  <c r="CC29" i="3"/>
  <c r="AD30" i="3"/>
  <c r="AK30" i="3"/>
  <c r="E31" i="2" s="1"/>
  <c r="CC30" i="3"/>
  <c r="AD31" i="3"/>
  <c r="AH31" i="3" s="1"/>
  <c r="AK31" i="3"/>
  <c r="CC31" i="3"/>
  <c r="AD32" i="3"/>
  <c r="AK32" i="3"/>
  <c r="E33" i="2" s="1"/>
  <c r="CC32" i="3"/>
  <c r="BQ14" i="3"/>
  <c r="AD15" i="3"/>
  <c r="AH15" i="3" s="1"/>
  <c r="DH16" i="3"/>
  <c r="AD17" i="3"/>
  <c r="AH17" i="3" s="1"/>
  <c r="AK17" i="3"/>
  <c r="E18" i="2" s="1"/>
  <c r="BQ17" i="3"/>
  <c r="CC17" i="3"/>
  <c r="AE19" i="3"/>
  <c r="AL19" i="3"/>
  <c r="F20" i="2" s="1"/>
  <c r="AE20" i="3"/>
  <c r="AJ20" i="3" s="1"/>
  <c r="AL20" i="3"/>
  <c r="F21" i="2" s="1"/>
  <c r="BA20" i="3"/>
  <c r="BQ20" i="3"/>
  <c r="AE21" i="3"/>
  <c r="AJ21" i="3" s="1"/>
  <c r="AL21" i="3"/>
  <c r="F22" i="2" s="1"/>
  <c r="AE23" i="3"/>
  <c r="AL23" i="3"/>
  <c r="F24" i="2" s="1"/>
  <c r="G24" i="2" s="1"/>
  <c r="BA23" i="3"/>
  <c r="AZ53" i="3" s="1"/>
  <c r="AE24" i="3"/>
  <c r="AL24" i="3"/>
  <c r="F25" i="2" s="1"/>
  <c r="BV24" i="3"/>
  <c r="BQ26" i="3"/>
  <c r="AE27" i="3"/>
  <c r="AJ27" i="3" s="1"/>
  <c r="DH27" i="3"/>
  <c r="BA29" i="3"/>
  <c r="AZ59" i="3" s="1"/>
  <c r="CJ29" i="3"/>
  <c r="BA30" i="3"/>
  <c r="AZ60" i="3" s="1"/>
  <c r="CJ30" i="3"/>
  <c r="BA31" i="3"/>
  <c r="AZ61" i="3" s="1"/>
  <c r="CJ31" i="3"/>
  <c r="BA32" i="3"/>
  <c r="AZ62" i="3" s="1"/>
  <c r="CJ32" i="3"/>
  <c r="S34" i="3"/>
  <c r="F9" i="2"/>
  <c r="C9" i="2"/>
  <c r="Q10" i="5" s="1"/>
  <c r="AS34" i="3"/>
  <c r="BG34" i="3"/>
  <c r="AD9" i="3"/>
  <c r="DH33" i="3"/>
  <c r="AZ33" i="3"/>
  <c r="AD33" i="3"/>
  <c r="AY34" i="3"/>
  <c r="B9" i="2"/>
  <c r="AR34" i="3"/>
  <c r="CB34" i="3"/>
  <c r="CE34" i="3" s="1"/>
  <c r="DB34" i="3"/>
  <c r="AE10" i="3"/>
  <c r="CJ12" i="3"/>
  <c r="BN34" i="3"/>
  <c r="BU34" i="3"/>
  <c r="CN34" i="3"/>
  <c r="DL34" i="3"/>
  <c r="AE9" i="3"/>
  <c r="AD16" i="3"/>
  <c r="AD18" i="3"/>
  <c r="CJ20" i="3"/>
  <c r="DH20" i="3"/>
  <c r="CJ21" i="3"/>
  <c r="AD23" i="3"/>
  <c r="AZ23" i="3"/>
  <c r="BA28" i="3"/>
  <c r="AZ58" i="3" s="1"/>
  <c r="F34" i="3"/>
  <c r="AX34" i="3"/>
  <c r="BP34" i="3"/>
  <c r="CP34" i="3"/>
  <c r="DN34" i="3"/>
  <c r="F35" i="4" s="1"/>
  <c r="F37" i="4" s="1"/>
  <c r="K34" i="3"/>
  <c r="AC34" i="3"/>
  <c r="BX34" i="3"/>
  <c r="CW34" i="3"/>
  <c r="AK16" i="3"/>
  <c r="E17" i="2" s="1"/>
  <c r="AK18" i="3"/>
  <c r="E19" i="2" s="1"/>
  <c r="AD20" i="3"/>
  <c r="AK20" i="3"/>
  <c r="E21" i="2" s="1"/>
  <c r="CC20" i="3"/>
  <c r="CC21" i="3"/>
  <c r="DH22" i="3"/>
  <c r="DI25" i="3"/>
  <c r="DJ25" i="3" s="1"/>
  <c r="AD26" i="3"/>
  <c r="DG34" i="3"/>
  <c r="AD22" i="3"/>
  <c r="AZ22" i="3"/>
  <c r="BA27" i="3"/>
  <c r="AZ57" i="3" s="1"/>
  <c r="X34" i="3"/>
  <c r="CG34" i="3"/>
  <c r="CJ14" i="3"/>
  <c r="CC16" i="3"/>
  <c r="CC18" i="3"/>
  <c r="CC22" i="3"/>
  <c r="CC23" i="3"/>
  <c r="BQ24" i="3"/>
  <c r="AK26" i="3"/>
  <c r="E27" i="2" s="1"/>
  <c r="AD27" i="3"/>
  <c r="CJ24" i="3"/>
  <c r="CC26" i="3"/>
  <c r="AL27" i="3"/>
  <c r="F28" i="2" s="1"/>
  <c r="DI27" i="3"/>
  <c r="AL28" i="3"/>
  <c r="F29" i="2" s="1"/>
  <c r="AK33" i="3"/>
  <c r="E34" i="2" s="1"/>
  <c r="S9" i="2" l="1"/>
  <c r="R10" i="5"/>
  <c r="O35" i="2"/>
  <c r="G9" i="2"/>
  <c r="G22" i="2"/>
  <c r="G25" i="2"/>
  <c r="DJ21" i="3"/>
  <c r="M16" i="4"/>
  <c r="CD34" i="3"/>
  <c r="B17" i="2"/>
  <c r="H17" i="2" s="1"/>
  <c r="AH16" i="3"/>
  <c r="C23" i="2"/>
  <c r="AJ22" i="3"/>
  <c r="C10" i="2"/>
  <c r="AJ9" i="3"/>
  <c r="B10" i="2"/>
  <c r="H10" i="2" s="1"/>
  <c r="AH9" i="3"/>
  <c r="B33" i="2"/>
  <c r="H33" i="2" s="1"/>
  <c r="AH32" i="3"/>
  <c r="C18" i="2"/>
  <c r="AJ17" i="3"/>
  <c r="CT29" i="3"/>
  <c r="AJ29" i="3"/>
  <c r="C25" i="2"/>
  <c r="AJ24" i="3"/>
  <c r="B28" i="2"/>
  <c r="AH27" i="3"/>
  <c r="B23" i="2"/>
  <c r="H23" i="2" s="1"/>
  <c r="AH22" i="3"/>
  <c r="B21" i="2"/>
  <c r="H21" i="2" s="1"/>
  <c r="AH20" i="3"/>
  <c r="B34" i="2"/>
  <c r="H34" i="2" s="1"/>
  <c r="AH33" i="3"/>
  <c r="B30" i="2"/>
  <c r="AH29" i="3"/>
  <c r="C32" i="2"/>
  <c r="AJ31" i="3"/>
  <c r="B14" i="2"/>
  <c r="AH13" i="3"/>
  <c r="B27" i="2"/>
  <c r="H27" i="2" s="1"/>
  <c r="AH26" i="3"/>
  <c r="B13" i="2"/>
  <c r="H13" i="2" s="1"/>
  <c r="AH12" i="3"/>
  <c r="B24" i="2"/>
  <c r="H24" i="2" s="1"/>
  <c r="AH23" i="3"/>
  <c r="B19" i="2"/>
  <c r="H19" i="2" s="1"/>
  <c r="AH18" i="3"/>
  <c r="C11" i="2"/>
  <c r="AJ10" i="3"/>
  <c r="C24" i="2"/>
  <c r="AJ23" i="3"/>
  <c r="C20" i="2"/>
  <c r="AJ19" i="3"/>
  <c r="B31" i="2"/>
  <c r="H31" i="2" s="1"/>
  <c r="AH30" i="3"/>
  <c r="G29" i="2"/>
  <c r="G19" i="2"/>
  <c r="H28" i="2"/>
  <c r="G20" i="2"/>
  <c r="G28" i="2"/>
  <c r="DJ31" i="3"/>
  <c r="DJ17" i="3"/>
  <c r="G18" i="2"/>
  <c r="G33" i="2"/>
  <c r="G31" i="2"/>
  <c r="H14" i="2"/>
  <c r="H9" i="2"/>
  <c r="G14" i="2"/>
  <c r="G27" i="2"/>
  <c r="K35" i="2"/>
  <c r="K37" i="2" s="1"/>
  <c r="R35" i="4"/>
  <c r="R37" i="4" s="1"/>
  <c r="B29" i="2"/>
  <c r="H29" i="2" s="1"/>
  <c r="G13" i="2"/>
  <c r="B15" i="2"/>
  <c r="H15" i="2" s="1"/>
  <c r="I9" i="2"/>
  <c r="D9" i="2"/>
  <c r="C28" i="2"/>
  <c r="AF31" i="3"/>
  <c r="B32" i="2"/>
  <c r="C33" i="2"/>
  <c r="C31" i="2"/>
  <c r="AM14" i="3"/>
  <c r="F15" i="2"/>
  <c r="G15" i="2" s="1"/>
  <c r="C35" i="4"/>
  <c r="C37" i="4" s="1"/>
  <c r="BB19" i="3"/>
  <c r="AZ49" i="3"/>
  <c r="CR34" i="3"/>
  <c r="M35" i="2" s="1"/>
  <c r="G10" i="2"/>
  <c r="C29" i="2"/>
  <c r="B26" i="2"/>
  <c r="H26" i="2" s="1"/>
  <c r="AF14" i="3"/>
  <c r="C15" i="2"/>
  <c r="G12" i="2"/>
  <c r="B25" i="2"/>
  <c r="H25" i="2" s="1"/>
  <c r="BB16" i="3"/>
  <c r="AZ46" i="3"/>
  <c r="G11" i="2"/>
  <c r="BB20" i="3"/>
  <c r="AZ50" i="3"/>
  <c r="B18" i="2"/>
  <c r="H18" i="2" s="1"/>
  <c r="AM31" i="3"/>
  <c r="E32" i="2"/>
  <c r="G32" i="2" s="1"/>
  <c r="C14" i="2"/>
  <c r="BB17" i="3"/>
  <c r="AZ47" i="3"/>
  <c r="C17" i="2"/>
  <c r="C34" i="2"/>
  <c r="C26" i="2"/>
  <c r="H35" i="4"/>
  <c r="H37" i="4" s="1"/>
  <c r="G21" i="2"/>
  <c r="BB26" i="3"/>
  <c r="AZ56" i="3"/>
  <c r="CT15" i="3"/>
  <c r="F16" i="2"/>
  <c r="G16" i="2" s="1"/>
  <c r="C13" i="2"/>
  <c r="AM22" i="3"/>
  <c r="F23" i="2"/>
  <c r="G23" i="2" s="1"/>
  <c r="N35" i="4"/>
  <c r="CQ34" i="3"/>
  <c r="L35" i="2" s="1"/>
  <c r="L9" i="2"/>
  <c r="I35" i="4"/>
  <c r="I37" i="4" s="1"/>
  <c r="E35" i="4"/>
  <c r="L35" i="4"/>
  <c r="L37" i="4" s="1"/>
  <c r="C22" i="2"/>
  <c r="C21" i="2"/>
  <c r="B16" i="2"/>
  <c r="H16" i="2" s="1"/>
  <c r="AM29" i="3"/>
  <c r="E30" i="2"/>
  <c r="G30" i="2" s="1"/>
  <c r="K35" i="4"/>
  <c r="K37" i="4" s="1"/>
  <c r="J35" i="2"/>
  <c r="J37" i="2" s="1"/>
  <c r="B35" i="4"/>
  <c r="B37" i="4" s="1"/>
  <c r="C27" i="2"/>
  <c r="C19" i="2"/>
  <c r="B11" i="2"/>
  <c r="H11" i="2" s="1"/>
  <c r="C12" i="2"/>
  <c r="Q35" i="4"/>
  <c r="Q37" i="4" s="1"/>
  <c r="B20" i="2"/>
  <c r="H20" i="2" s="1"/>
  <c r="G17" i="2"/>
  <c r="B12" i="2"/>
  <c r="H12" i="2" s="1"/>
  <c r="B22" i="2"/>
  <c r="H22" i="2" s="1"/>
  <c r="G34" i="2"/>
  <c r="G26" i="2"/>
  <c r="C16" i="2"/>
  <c r="C30" i="2"/>
  <c r="CT31" i="3"/>
  <c r="AM13" i="3"/>
  <c r="CS13" i="3"/>
  <c r="DJ11" i="3"/>
  <c r="BB22" i="3"/>
  <c r="DJ33" i="3"/>
  <c r="DJ29" i="3"/>
  <c r="CT22" i="3"/>
  <c r="CT20" i="3"/>
  <c r="AM32" i="3"/>
  <c r="AF15" i="3"/>
  <c r="AM28" i="3"/>
  <c r="AF33" i="3"/>
  <c r="CT26" i="3"/>
  <c r="CT33" i="3"/>
  <c r="CT25" i="3"/>
  <c r="DJ28" i="3"/>
  <c r="AM9" i="3"/>
  <c r="DJ19" i="3"/>
  <c r="DJ16" i="3"/>
  <c r="DJ24" i="3"/>
  <c r="CT32" i="3"/>
  <c r="AM18" i="3"/>
  <c r="DJ10" i="3"/>
  <c r="AM10" i="3"/>
  <c r="CS14" i="3"/>
  <c r="DJ20" i="3"/>
  <c r="AM11" i="3"/>
  <c r="DJ32" i="3"/>
  <c r="CJ34" i="3"/>
  <c r="AF24" i="3"/>
  <c r="AM33" i="3"/>
  <c r="DJ22" i="3"/>
  <c r="BB31" i="3"/>
  <c r="BB29" i="3"/>
  <c r="AF32" i="3"/>
  <c r="AM12" i="3"/>
  <c r="DJ14" i="3"/>
  <c r="CT30" i="3"/>
  <c r="AM26" i="3"/>
  <c r="CS25" i="3"/>
  <c r="CS24" i="3"/>
  <c r="BV34" i="3"/>
  <c r="BB33" i="3"/>
  <c r="BB14" i="3"/>
  <c r="BB12" i="3"/>
  <c r="BB27" i="3"/>
  <c r="BB13" i="3"/>
  <c r="AM20" i="3"/>
  <c r="AM25" i="3"/>
  <c r="CS21" i="3"/>
  <c r="AM24" i="3"/>
  <c r="AM21" i="3"/>
  <c r="CT21" i="3"/>
  <c r="AM15" i="3"/>
  <c r="BB24" i="3"/>
  <c r="BB23" i="3"/>
  <c r="AF21" i="3"/>
  <c r="BB25" i="3"/>
  <c r="DJ9" i="3"/>
  <c r="DJ15" i="3"/>
  <c r="BB18" i="3"/>
  <c r="CS10" i="3"/>
  <c r="BB32" i="3"/>
  <c r="BB30" i="3"/>
  <c r="BB28" i="3"/>
  <c r="CS19" i="3"/>
  <c r="DJ30" i="3"/>
  <c r="CT11" i="3"/>
  <c r="AF20" i="3"/>
  <c r="CT14" i="3"/>
  <c r="AF28" i="3"/>
  <c r="CS11" i="3"/>
  <c r="DJ27" i="3"/>
  <c r="AF11" i="3"/>
  <c r="AM27" i="3"/>
  <c r="AF18" i="3"/>
  <c r="CT12" i="3"/>
  <c r="CT24" i="3"/>
  <c r="AF25" i="3"/>
  <c r="AM16" i="3"/>
  <c r="AF16" i="3"/>
  <c r="CT16" i="3"/>
  <c r="AM23" i="3"/>
  <c r="AM19" i="3"/>
  <c r="CS17" i="3"/>
  <c r="AM30" i="3"/>
  <c r="DJ23" i="3"/>
  <c r="CS12" i="3"/>
  <c r="DJ13" i="3"/>
  <c r="CS29" i="3"/>
  <c r="AF17" i="3"/>
  <c r="CT17" i="3"/>
  <c r="AF12" i="3"/>
  <c r="CT23" i="3"/>
  <c r="CT19" i="3"/>
  <c r="AF19" i="3"/>
  <c r="CS30" i="3"/>
  <c r="DJ18" i="3"/>
  <c r="AF29" i="3"/>
  <c r="AF13" i="3"/>
  <c r="CT18" i="3"/>
  <c r="CT13" i="3"/>
  <c r="CS31" i="3"/>
  <c r="AF30" i="3"/>
  <c r="AF26" i="3"/>
  <c r="AF23" i="3"/>
  <c r="CS32" i="3"/>
  <c r="BB21" i="3"/>
  <c r="AM17" i="3"/>
  <c r="CS15" i="3"/>
  <c r="CS28" i="3"/>
  <c r="BB15" i="3"/>
  <c r="BQ34" i="3"/>
  <c r="DH34" i="3"/>
  <c r="CS9" i="3"/>
  <c r="AE34" i="3"/>
  <c r="CS22" i="3"/>
  <c r="CS23" i="3"/>
  <c r="DI34" i="3"/>
  <c r="BA34" i="3"/>
  <c r="CS26" i="3"/>
  <c r="CT10" i="3"/>
  <c r="AF10" i="3"/>
  <c r="CC34" i="3"/>
  <c r="CT27" i="3"/>
  <c r="AK34" i="3"/>
  <c r="CS27" i="3"/>
  <c r="CS20" i="3"/>
  <c r="AF9" i="3"/>
  <c r="CT9" i="3"/>
  <c r="AZ34" i="3"/>
  <c r="CT28" i="3"/>
  <c r="CS18" i="3"/>
  <c r="CS16" i="3"/>
  <c r="AD34" i="3"/>
  <c r="CS33" i="3"/>
  <c r="AF27" i="3"/>
  <c r="AF22" i="3"/>
  <c r="AL34" i="3"/>
  <c r="S19" i="2" l="1"/>
  <c r="Q20" i="5"/>
  <c r="R20" i="5" s="1"/>
  <c r="S21" i="2"/>
  <c r="Q22" i="5"/>
  <c r="R22" i="5" s="1"/>
  <c r="S29" i="2"/>
  <c r="Q30" i="5"/>
  <c r="R30" i="5" s="1"/>
  <c r="S31" i="2"/>
  <c r="Q32" i="5"/>
  <c r="R32" i="5" s="1"/>
  <c r="S30" i="2"/>
  <c r="Q31" i="5"/>
  <c r="R31" i="5" s="1"/>
  <c r="S27" i="2"/>
  <c r="Q28" i="5"/>
  <c r="R28" i="5" s="1"/>
  <c r="S22" i="2"/>
  <c r="Q23" i="5"/>
  <c r="R23" i="5" s="1"/>
  <c r="S26" i="2"/>
  <c r="Q27" i="5"/>
  <c r="R27" i="5" s="1"/>
  <c r="S15" i="2"/>
  <c r="Q16" i="5"/>
  <c r="R16" i="5" s="1"/>
  <c r="S33" i="2"/>
  <c r="Q34" i="5"/>
  <c r="R34" i="5" s="1"/>
  <c r="I20" i="2"/>
  <c r="S20" i="2"/>
  <c r="Q21" i="5"/>
  <c r="R21" i="5" s="1"/>
  <c r="I11" i="2"/>
  <c r="S11" i="2"/>
  <c r="Q12" i="5"/>
  <c r="R12" i="5" s="1"/>
  <c r="I32" i="2"/>
  <c r="S32" i="2"/>
  <c r="Q33" i="5"/>
  <c r="R33" i="5" s="1"/>
  <c r="I25" i="2"/>
  <c r="S25" i="2"/>
  <c r="Q26" i="5"/>
  <c r="R26" i="5" s="1"/>
  <c r="I18" i="2"/>
  <c r="S18" i="2"/>
  <c r="Q19" i="5"/>
  <c r="R19" i="5" s="1"/>
  <c r="S23" i="2"/>
  <c r="Q24" i="5"/>
  <c r="R24" i="5" s="1"/>
  <c r="S16" i="2"/>
  <c r="Q17" i="5"/>
  <c r="R17" i="5" s="1"/>
  <c r="S12" i="2"/>
  <c r="Q13" i="5"/>
  <c r="R13" i="5" s="1"/>
  <c r="S13" i="2"/>
  <c r="Q14" i="5"/>
  <c r="R14" i="5" s="1"/>
  <c r="S34" i="2"/>
  <c r="Q35" i="5"/>
  <c r="R35" i="5" s="1"/>
  <c r="S14" i="2"/>
  <c r="Q15" i="5"/>
  <c r="R15" i="5" s="1"/>
  <c r="S17" i="2"/>
  <c r="Q18" i="5"/>
  <c r="R18" i="5" s="1"/>
  <c r="I24" i="2"/>
  <c r="S24" i="2"/>
  <c r="Q25" i="5"/>
  <c r="R25" i="5" s="1"/>
  <c r="I10" i="2"/>
  <c r="S10" i="2"/>
  <c r="Q11" i="5"/>
  <c r="R11" i="5" s="1"/>
  <c r="S28" i="2"/>
  <c r="Q29" i="5"/>
  <c r="R29" i="5" s="1"/>
  <c r="AZ64" i="3"/>
  <c r="D24" i="2"/>
  <c r="D23" i="2"/>
  <c r="D10" i="2"/>
  <c r="D32" i="2"/>
  <c r="M37" i="4"/>
  <c r="D37" i="4"/>
  <c r="S37" i="4"/>
  <c r="G35" i="4"/>
  <c r="E37" i="4"/>
  <c r="G37" i="4" s="1"/>
  <c r="J37" i="4"/>
  <c r="P35" i="4"/>
  <c r="N37" i="4"/>
  <c r="P37" i="4" s="1"/>
  <c r="J35" i="4"/>
  <c r="D35" i="4"/>
  <c r="D25" i="2"/>
  <c r="H30" i="2"/>
  <c r="D18" i="2"/>
  <c r="D11" i="2"/>
  <c r="I16" i="2"/>
  <c r="D16" i="2"/>
  <c r="D30" i="2"/>
  <c r="I30" i="2"/>
  <c r="I19" i="2"/>
  <c r="D19" i="2"/>
  <c r="D13" i="2"/>
  <c r="I13" i="2"/>
  <c r="S35" i="4"/>
  <c r="I15" i="2"/>
  <c r="D15" i="2"/>
  <c r="D29" i="2"/>
  <c r="I29" i="2"/>
  <c r="D33" i="2"/>
  <c r="I33" i="2"/>
  <c r="B35" i="2"/>
  <c r="I31" i="2"/>
  <c r="D31" i="2"/>
  <c r="F35" i="2"/>
  <c r="D12" i="2"/>
  <c r="I12" i="2"/>
  <c r="D22" i="2"/>
  <c r="I22" i="2"/>
  <c r="D34" i="2"/>
  <c r="I34" i="2"/>
  <c r="H32" i="2"/>
  <c r="E35" i="2"/>
  <c r="E37" i="2" s="1"/>
  <c r="C35" i="2"/>
  <c r="Q36" i="5" s="1"/>
  <c r="R36" i="5" s="1"/>
  <c r="I27" i="2"/>
  <c r="D27" i="2"/>
  <c r="M35" i="4"/>
  <c r="D21" i="2"/>
  <c r="I21" i="2"/>
  <c r="D26" i="2"/>
  <c r="I26" i="2"/>
  <c r="D17" i="2"/>
  <c r="I17" i="2"/>
  <c r="D14" i="2"/>
  <c r="I14" i="2"/>
  <c r="I23" i="2"/>
  <c r="D28" i="2"/>
  <c r="I28" i="2"/>
  <c r="D20" i="2"/>
  <c r="DJ34" i="3"/>
  <c r="AH34" i="3"/>
  <c r="BB34" i="3"/>
  <c r="CT34" i="3"/>
  <c r="AM34" i="3"/>
  <c r="AF34" i="3"/>
  <c r="CS34" i="3"/>
  <c r="AJ34" i="3"/>
  <c r="F37" i="2" l="1"/>
  <c r="G35" i="2"/>
  <c r="C37" i="2"/>
  <c r="I35" i="2"/>
  <c r="I37" i="2" s="1"/>
  <c r="D35" i="2"/>
  <c r="B37" i="2"/>
  <c r="H35" i="2"/>
  <c r="H37" i="2" s="1"/>
  <c r="C165" i="1"/>
  <c r="J165" i="1"/>
  <c r="L149" i="1" l="1"/>
  <c r="L148" i="1"/>
  <c r="X148" i="1" s="1"/>
  <c r="L147" i="1"/>
  <c r="X147" i="1" s="1"/>
  <c r="L146" i="1"/>
  <c r="X146" i="1" s="1"/>
  <c r="L145" i="1"/>
  <c r="X145" i="1" s="1"/>
  <c r="L144" i="1"/>
  <c r="X144" i="1" s="1"/>
  <c r="L143" i="1"/>
  <c r="X143" i="1" s="1"/>
  <c r="L142" i="1"/>
  <c r="X142" i="1" s="1"/>
  <c r="E143" i="1"/>
  <c r="R143" i="1" s="1"/>
  <c r="E144" i="1"/>
  <c r="R144" i="1" s="1"/>
  <c r="E145" i="1"/>
  <c r="R145" i="1" s="1"/>
  <c r="E146" i="1"/>
  <c r="R146" i="1" s="1"/>
  <c r="E147" i="1"/>
  <c r="R147" i="1" s="1"/>
  <c r="E148" i="1"/>
  <c r="R148" i="1" s="1"/>
  <c r="E149" i="1"/>
  <c r="R149" i="1" s="1"/>
  <c r="E142" i="1"/>
  <c r="R142" i="1" s="1"/>
  <c r="L13" i="1"/>
  <c r="X13" i="1" s="1"/>
  <c r="L14" i="1"/>
  <c r="X14" i="1" s="1"/>
  <c r="L15" i="1"/>
  <c r="X15" i="1" s="1"/>
  <c r="BP35" i="3" s="1"/>
  <c r="L16" i="1"/>
  <c r="X16" i="1" s="1"/>
  <c r="CB35" i="3" s="1"/>
  <c r="L17" i="1"/>
  <c r="X17" i="1" s="1"/>
  <c r="L18" i="1"/>
  <c r="X18" i="1" s="1"/>
  <c r="L19" i="1"/>
  <c r="X19" i="1" s="1"/>
  <c r="L20" i="1"/>
  <c r="X20" i="1" s="1"/>
  <c r="L21" i="1"/>
  <c r="L22" i="1"/>
  <c r="X22" i="1" s="1"/>
  <c r="L23" i="1"/>
  <c r="X23" i="1" s="1"/>
  <c r="L24" i="1"/>
  <c r="X24" i="1" s="1"/>
  <c r="L25" i="1"/>
  <c r="X25" i="1" s="1"/>
  <c r="L26" i="1"/>
  <c r="X26" i="1" s="1"/>
  <c r="L27" i="1"/>
  <c r="X27" i="1" s="1"/>
  <c r="L28" i="1"/>
  <c r="X28" i="1" s="1"/>
  <c r="L11" i="1"/>
  <c r="X11" i="1" s="1"/>
  <c r="BL35" i="3" s="1"/>
  <c r="BL36" i="3" s="1"/>
  <c r="L132" i="1"/>
  <c r="S35" i="3" s="1"/>
  <c r="S36" i="3" s="1"/>
  <c r="E132" i="1"/>
  <c r="E12" i="1"/>
  <c r="R12" i="1" s="1"/>
  <c r="E13" i="1"/>
  <c r="R13" i="1" s="1"/>
  <c r="DL35" i="3" s="1"/>
  <c r="DL36" i="3" s="1"/>
  <c r="E14" i="1"/>
  <c r="R14" i="1" s="1"/>
  <c r="E15" i="1"/>
  <c r="R15" i="1" s="1"/>
  <c r="BN35" i="3" s="1"/>
  <c r="BN36" i="3" s="1"/>
  <c r="E16" i="1"/>
  <c r="R16" i="1" s="1"/>
  <c r="BX35" i="3" s="1"/>
  <c r="BX36" i="3" s="1"/>
  <c r="E17" i="1"/>
  <c r="E18" i="1"/>
  <c r="R18" i="1" s="1"/>
  <c r="E19" i="1"/>
  <c r="R19" i="1" s="1"/>
  <c r="E20" i="1"/>
  <c r="R20" i="1" s="1"/>
  <c r="E21" i="1"/>
  <c r="E22" i="1"/>
  <c r="R22" i="1" s="1"/>
  <c r="E23" i="1"/>
  <c r="R23" i="1" s="1"/>
  <c r="BS35" i="3" s="1"/>
  <c r="BS36" i="3" s="1"/>
  <c r="E24" i="1"/>
  <c r="R24" i="1" s="1"/>
  <c r="E25" i="1"/>
  <c r="E26" i="1"/>
  <c r="R26" i="1" s="1"/>
  <c r="E11" i="1"/>
  <c r="R11" i="1" s="1"/>
  <c r="BG35" i="3" s="1"/>
  <c r="BG36" i="3" s="1"/>
  <c r="AA168" i="1"/>
  <c r="Z168" i="1"/>
  <c r="Y168" i="1"/>
  <c r="W168" i="1"/>
  <c r="U168" i="1"/>
  <c r="T168" i="1"/>
  <c r="AF168" i="1" s="1"/>
  <c r="S168" i="1"/>
  <c r="Q168" i="1"/>
  <c r="L168" i="1"/>
  <c r="X168" i="1" s="1"/>
  <c r="E168" i="1"/>
  <c r="R168" i="1" s="1"/>
  <c r="AA167" i="1"/>
  <c r="Z167" i="1"/>
  <c r="Y167" i="1"/>
  <c r="W167" i="1"/>
  <c r="U167" i="1"/>
  <c r="T167" i="1"/>
  <c r="S167" i="1"/>
  <c r="Q167" i="1"/>
  <c r="L167" i="1"/>
  <c r="E167" i="1"/>
  <c r="AA166" i="1"/>
  <c r="Z166" i="1"/>
  <c r="Y166" i="1"/>
  <c r="W166" i="1"/>
  <c r="U166" i="1"/>
  <c r="T166" i="1"/>
  <c r="S166" i="1"/>
  <c r="Q166" i="1"/>
  <c r="L166" i="1"/>
  <c r="E166" i="1"/>
  <c r="O165" i="1"/>
  <c r="AA165" i="1" s="1"/>
  <c r="N165" i="1"/>
  <c r="Z165" i="1" s="1"/>
  <c r="M165" i="1"/>
  <c r="Y165" i="1" s="1"/>
  <c r="K165" i="1"/>
  <c r="H165" i="1"/>
  <c r="U165" i="1" s="1"/>
  <c r="G165" i="1"/>
  <c r="T165" i="1" s="1"/>
  <c r="F165" i="1"/>
  <c r="D165" i="1"/>
  <c r="AA164" i="1"/>
  <c r="Z164" i="1"/>
  <c r="Y164" i="1"/>
  <c r="W164" i="1"/>
  <c r="U164" i="1"/>
  <c r="T164" i="1"/>
  <c r="S164" i="1"/>
  <c r="Q164" i="1"/>
  <c r="DW36" i="3"/>
  <c r="DU35" i="3"/>
  <c r="DU36" i="3" s="1"/>
  <c r="O163" i="1"/>
  <c r="AA163" i="1" s="1"/>
  <c r="N163" i="1"/>
  <c r="M163" i="1"/>
  <c r="Y163" i="1" s="1"/>
  <c r="H163" i="1"/>
  <c r="U163" i="1" s="1"/>
  <c r="G163" i="1"/>
  <c r="T163" i="1" s="1"/>
  <c r="F163" i="1"/>
  <c r="AA162" i="1"/>
  <c r="Z162" i="1"/>
  <c r="Y162" i="1"/>
  <c r="W162" i="1"/>
  <c r="U162" i="1"/>
  <c r="T162" i="1"/>
  <c r="S162" i="1"/>
  <c r="Q162" i="1"/>
  <c r="AC162" i="1" s="1"/>
  <c r="L162" i="1"/>
  <c r="I162" i="1" s="1"/>
  <c r="V162" i="1" s="1"/>
  <c r="E162" i="1"/>
  <c r="R162" i="1" s="1"/>
  <c r="AA161" i="1"/>
  <c r="Z161" i="1"/>
  <c r="Y161" i="1"/>
  <c r="W161" i="1"/>
  <c r="U161" i="1"/>
  <c r="T161" i="1"/>
  <c r="S161" i="1"/>
  <c r="Q161" i="1"/>
  <c r="L161" i="1"/>
  <c r="I161" i="1" s="1"/>
  <c r="V161" i="1" s="1"/>
  <c r="E161" i="1"/>
  <c r="B161" i="1" s="1"/>
  <c r="P161" i="1" s="1"/>
  <c r="AA160" i="1"/>
  <c r="Z160" i="1"/>
  <c r="Y160" i="1"/>
  <c r="W160" i="1"/>
  <c r="U160" i="1"/>
  <c r="T160" i="1"/>
  <c r="S160" i="1"/>
  <c r="Q160" i="1"/>
  <c r="L160" i="1"/>
  <c r="I160" i="1" s="1"/>
  <c r="V160" i="1" s="1"/>
  <c r="E160" i="1"/>
  <c r="R160" i="1" s="1"/>
  <c r="CK35" i="3" s="1"/>
  <c r="CK36" i="3" s="1"/>
  <c r="O151" i="1"/>
  <c r="N151" i="1"/>
  <c r="M151" i="1"/>
  <c r="K151" i="1"/>
  <c r="J151" i="1"/>
  <c r="I151" i="1"/>
  <c r="H151" i="1"/>
  <c r="G151" i="1"/>
  <c r="F151" i="1"/>
  <c r="D151" i="1"/>
  <c r="C151" i="1"/>
  <c r="B151" i="1"/>
  <c r="P151" i="1" s="1"/>
  <c r="J150" i="1"/>
  <c r="C150" i="1"/>
  <c r="AA149" i="1"/>
  <c r="Z149" i="1"/>
  <c r="Y149" i="1"/>
  <c r="X149" i="1"/>
  <c r="W149" i="1"/>
  <c r="V149" i="1"/>
  <c r="U149" i="1"/>
  <c r="T149" i="1"/>
  <c r="S149" i="1"/>
  <c r="Q149" i="1"/>
  <c r="P149" i="1"/>
  <c r="AA148" i="1"/>
  <c r="Z148" i="1"/>
  <c r="Y148" i="1"/>
  <c r="W148" i="1"/>
  <c r="V148" i="1"/>
  <c r="U148" i="1"/>
  <c r="T148" i="1"/>
  <c r="S148" i="1"/>
  <c r="Q148" i="1"/>
  <c r="P148" i="1"/>
  <c r="AA147" i="1"/>
  <c r="Z147" i="1"/>
  <c r="Y147" i="1"/>
  <c r="W147" i="1"/>
  <c r="V147" i="1"/>
  <c r="U147" i="1"/>
  <c r="T147" i="1"/>
  <c r="S147" i="1"/>
  <c r="Q147" i="1"/>
  <c r="P147" i="1"/>
  <c r="AA146" i="1"/>
  <c r="Z146" i="1"/>
  <c r="Y146" i="1"/>
  <c r="W146" i="1"/>
  <c r="V146" i="1"/>
  <c r="U146" i="1"/>
  <c r="T146" i="1"/>
  <c r="S146" i="1"/>
  <c r="Q146" i="1"/>
  <c r="P146" i="1"/>
  <c r="AA145" i="1"/>
  <c r="Z145" i="1"/>
  <c r="Y145" i="1"/>
  <c r="W145" i="1"/>
  <c r="V145" i="1"/>
  <c r="U145" i="1"/>
  <c r="T145" i="1"/>
  <c r="S145" i="1"/>
  <c r="Q145" i="1"/>
  <c r="P145" i="1"/>
  <c r="AA144" i="1"/>
  <c r="Z144" i="1"/>
  <c r="Y144" i="1"/>
  <c r="W144" i="1"/>
  <c r="V144" i="1"/>
  <c r="U144" i="1"/>
  <c r="T144" i="1"/>
  <c r="S144" i="1"/>
  <c r="Q144" i="1"/>
  <c r="P144" i="1"/>
  <c r="AA143" i="1"/>
  <c r="Z143" i="1"/>
  <c r="Y143" i="1"/>
  <c r="W143" i="1"/>
  <c r="V143" i="1"/>
  <c r="U143" i="1"/>
  <c r="T143" i="1"/>
  <c r="S143" i="1"/>
  <c r="Q143" i="1"/>
  <c r="P143" i="1"/>
  <c r="AA142" i="1"/>
  <c r="Z142" i="1"/>
  <c r="Y142" i="1"/>
  <c r="W142" i="1"/>
  <c r="V142" i="1"/>
  <c r="U142" i="1"/>
  <c r="T142" i="1"/>
  <c r="S142" i="1"/>
  <c r="Q142" i="1"/>
  <c r="AA135" i="1"/>
  <c r="Z135" i="1"/>
  <c r="Y135" i="1"/>
  <c r="W135" i="1"/>
  <c r="V135" i="1"/>
  <c r="U135" i="1"/>
  <c r="T135" i="1"/>
  <c r="S135" i="1"/>
  <c r="Q135" i="1"/>
  <c r="P135" i="1"/>
  <c r="L135" i="1"/>
  <c r="E135" i="1"/>
  <c r="R135" i="1" s="1"/>
  <c r="O133" i="1"/>
  <c r="N133" i="1"/>
  <c r="M133" i="1"/>
  <c r="K133" i="1"/>
  <c r="J133" i="1"/>
  <c r="I133" i="1"/>
  <c r="H133" i="1"/>
  <c r="G133" i="1"/>
  <c r="F133" i="1"/>
  <c r="D133" i="1"/>
  <c r="C133" i="1"/>
  <c r="B133" i="1"/>
  <c r="AA132" i="1"/>
  <c r="Z132" i="1"/>
  <c r="Y132" i="1"/>
  <c r="W132" i="1"/>
  <c r="V132" i="1"/>
  <c r="U132" i="1"/>
  <c r="AG132" i="1" s="1"/>
  <c r="T132" i="1"/>
  <c r="S132" i="1"/>
  <c r="Q132" i="1"/>
  <c r="P132" i="1"/>
  <c r="O130" i="1"/>
  <c r="O131" i="1" s="1"/>
  <c r="AA131" i="1" s="1"/>
  <c r="N130" i="1"/>
  <c r="N131" i="1" s="1"/>
  <c r="Z131" i="1" s="1"/>
  <c r="M130" i="1"/>
  <c r="M131" i="1" s="1"/>
  <c r="Y131" i="1" s="1"/>
  <c r="K131" i="1"/>
  <c r="W131" i="1" s="1"/>
  <c r="J131" i="1"/>
  <c r="I131" i="1"/>
  <c r="V131" i="1" s="1"/>
  <c r="U130" i="1"/>
  <c r="G131" i="1"/>
  <c r="T131" i="1" s="1"/>
  <c r="D130" i="1"/>
  <c r="Q130" i="1" s="1"/>
  <c r="C130" i="1"/>
  <c r="C131" i="1" s="1"/>
  <c r="B130" i="1"/>
  <c r="P130" i="1" s="1"/>
  <c r="AA129" i="1"/>
  <c r="Z129" i="1"/>
  <c r="Y129" i="1"/>
  <c r="W129" i="1"/>
  <c r="V129" i="1"/>
  <c r="U129" i="1"/>
  <c r="T129" i="1"/>
  <c r="S129" i="1"/>
  <c r="Q129" i="1"/>
  <c r="P129" i="1"/>
  <c r="AA128" i="1"/>
  <c r="Z128" i="1"/>
  <c r="Y128" i="1"/>
  <c r="W128" i="1"/>
  <c r="V128" i="1"/>
  <c r="U128" i="1"/>
  <c r="T128" i="1"/>
  <c r="S128" i="1"/>
  <c r="Q128" i="1"/>
  <c r="P128" i="1"/>
  <c r="AA127" i="1"/>
  <c r="Z127" i="1"/>
  <c r="Y127" i="1"/>
  <c r="W127" i="1"/>
  <c r="V127" i="1"/>
  <c r="U127" i="1"/>
  <c r="T127" i="1"/>
  <c r="S127" i="1"/>
  <c r="Q127" i="1"/>
  <c r="P127" i="1"/>
  <c r="AA126" i="1"/>
  <c r="Z126" i="1"/>
  <c r="Y126" i="1"/>
  <c r="W126" i="1"/>
  <c r="V126" i="1"/>
  <c r="U126" i="1"/>
  <c r="T126" i="1"/>
  <c r="S126" i="1"/>
  <c r="Q126" i="1"/>
  <c r="P126" i="1"/>
  <c r="AA125" i="1"/>
  <c r="Z125" i="1"/>
  <c r="Y125" i="1"/>
  <c r="W125" i="1"/>
  <c r="V125" i="1"/>
  <c r="U125" i="1"/>
  <c r="T125" i="1"/>
  <c r="S125" i="1"/>
  <c r="Q125" i="1"/>
  <c r="P125" i="1"/>
  <c r="L125" i="1"/>
  <c r="X125" i="1" s="1"/>
  <c r="E125" i="1"/>
  <c r="R125" i="1" s="1"/>
  <c r="AA124" i="1"/>
  <c r="Z124" i="1"/>
  <c r="Y124" i="1"/>
  <c r="W124" i="1"/>
  <c r="V124" i="1"/>
  <c r="U124" i="1"/>
  <c r="T124" i="1"/>
  <c r="S124" i="1"/>
  <c r="Q124" i="1"/>
  <c r="P124" i="1"/>
  <c r="L124" i="1"/>
  <c r="X124" i="1" s="1"/>
  <c r="R124" i="1"/>
  <c r="AA123" i="1"/>
  <c r="Z123" i="1"/>
  <c r="W123" i="1"/>
  <c r="U123" i="1"/>
  <c r="T123" i="1"/>
  <c r="Q123" i="1"/>
  <c r="L123" i="1"/>
  <c r="E123" i="1"/>
  <c r="E122" i="1" s="1"/>
  <c r="R122" i="1" s="1"/>
  <c r="AA122" i="1"/>
  <c r="Z122" i="1"/>
  <c r="Y122" i="1"/>
  <c r="W122" i="1"/>
  <c r="V122" i="1"/>
  <c r="U122" i="1"/>
  <c r="T122" i="1"/>
  <c r="S122" i="1"/>
  <c r="Q122" i="1"/>
  <c r="P122" i="1"/>
  <c r="L122" i="1"/>
  <c r="X122" i="1" s="1"/>
  <c r="AA121" i="1"/>
  <c r="Z121" i="1"/>
  <c r="Y121" i="1"/>
  <c r="W121" i="1"/>
  <c r="V121" i="1"/>
  <c r="U121" i="1"/>
  <c r="T121" i="1"/>
  <c r="S121" i="1"/>
  <c r="Q121" i="1"/>
  <c r="P121" i="1"/>
  <c r="L121" i="1"/>
  <c r="X121" i="1" s="1"/>
  <c r="E121" i="1"/>
  <c r="E120" i="1" s="1"/>
  <c r="R120" i="1" s="1"/>
  <c r="AA120" i="1"/>
  <c r="Z120" i="1"/>
  <c r="Y120" i="1"/>
  <c r="W120" i="1"/>
  <c r="V120" i="1"/>
  <c r="U120" i="1"/>
  <c r="T120" i="1"/>
  <c r="S120" i="1"/>
  <c r="Q120" i="1"/>
  <c r="P120" i="1"/>
  <c r="L120" i="1"/>
  <c r="X120" i="1" s="1"/>
  <c r="AA119" i="1"/>
  <c r="Z119" i="1"/>
  <c r="Y119" i="1"/>
  <c r="W119" i="1"/>
  <c r="V119" i="1"/>
  <c r="U119" i="1"/>
  <c r="T119" i="1"/>
  <c r="S119" i="1"/>
  <c r="Q119" i="1"/>
  <c r="P119" i="1"/>
  <c r="L119" i="1"/>
  <c r="X119" i="1" s="1"/>
  <c r="E119" i="1"/>
  <c r="E118" i="1" s="1"/>
  <c r="R118" i="1" s="1"/>
  <c r="AA118" i="1"/>
  <c r="Z118" i="1"/>
  <c r="Y118" i="1"/>
  <c r="W118" i="1"/>
  <c r="V118" i="1"/>
  <c r="U118" i="1"/>
  <c r="T118" i="1"/>
  <c r="S118" i="1"/>
  <c r="Q118" i="1"/>
  <c r="P118" i="1"/>
  <c r="AA117" i="1"/>
  <c r="Z117" i="1"/>
  <c r="Y117" i="1"/>
  <c r="W117" i="1"/>
  <c r="V117" i="1"/>
  <c r="U117" i="1"/>
  <c r="T117" i="1"/>
  <c r="S117" i="1"/>
  <c r="Q117" i="1"/>
  <c r="P117" i="1"/>
  <c r="L117" i="1"/>
  <c r="X117" i="1" s="1"/>
  <c r="E117" i="1"/>
  <c r="R117" i="1" s="1"/>
  <c r="AA116" i="1"/>
  <c r="Z116" i="1"/>
  <c r="Y116" i="1"/>
  <c r="W116" i="1"/>
  <c r="V116" i="1"/>
  <c r="U116" i="1"/>
  <c r="T116" i="1"/>
  <c r="S116" i="1"/>
  <c r="Q116" i="1"/>
  <c r="P116" i="1"/>
  <c r="L116" i="1"/>
  <c r="X116" i="1" s="1"/>
  <c r="E116" i="1"/>
  <c r="R116" i="1" s="1"/>
  <c r="AA115" i="1"/>
  <c r="Z115" i="1"/>
  <c r="Y115" i="1"/>
  <c r="W115" i="1"/>
  <c r="V115" i="1"/>
  <c r="U115" i="1"/>
  <c r="T115" i="1"/>
  <c r="S115" i="1"/>
  <c r="Q115" i="1"/>
  <c r="P115" i="1"/>
  <c r="L115" i="1"/>
  <c r="X115" i="1" s="1"/>
  <c r="E115" i="1"/>
  <c r="R115" i="1" s="1"/>
  <c r="Z114" i="1"/>
  <c r="W114" i="1"/>
  <c r="V114" i="1"/>
  <c r="T114" i="1"/>
  <c r="Q114" i="1"/>
  <c r="P114" i="1"/>
  <c r="L114" i="1"/>
  <c r="L113" i="1" s="1"/>
  <c r="X113" i="1" s="1"/>
  <c r="E114" i="1"/>
  <c r="E113" i="1" s="1"/>
  <c r="R113" i="1" s="1"/>
  <c r="AA113" i="1"/>
  <c r="Z113" i="1"/>
  <c r="Y113" i="1"/>
  <c r="W113" i="1"/>
  <c r="V113" i="1"/>
  <c r="U113" i="1"/>
  <c r="T113" i="1"/>
  <c r="S113" i="1"/>
  <c r="Q113" i="1"/>
  <c r="P113" i="1"/>
  <c r="AA110" i="1"/>
  <c r="Z110" i="1"/>
  <c r="Y110" i="1"/>
  <c r="W110" i="1"/>
  <c r="V110" i="1"/>
  <c r="U110" i="1"/>
  <c r="T110" i="1"/>
  <c r="S110" i="1"/>
  <c r="Q110" i="1"/>
  <c r="P110" i="1"/>
  <c r="X110" i="1"/>
  <c r="R110" i="1"/>
  <c r="AA109" i="1"/>
  <c r="Z109" i="1"/>
  <c r="Y109" i="1"/>
  <c r="W109" i="1"/>
  <c r="V109" i="1"/>
  <c r="U109" i="1"/>
  <c r="T109" i="1"/>
  <c r="S109" i="1"/>
  <c r="Q109" i="1"/>
  <c r="P109" i="1"/>
  <c r="L109" i="1"/>
  <c r="X109" i="1" s="1"/>
  <c r="E109" i="1"/>
  <c r="R109" i="1" s="1"/>
  <c r="AA108" i="1"/>
  <c r="Z108" i="1"/>
  <c r="Y108" i="1"/>
  <c r="W108" i="1"/>
  <c r="V108" i="1"/>
  <c r="U108" i="1"/>
  <c r="T108" i="1"/>
  <c r="S108" i="1"/>
  <c r="Q108" i="1"/>
  <c r="L108" i="1"/>
  <c r="L107" i="1" s="1"/>
  <c r="X107" i="1" s="1"/>
  <c r="E108" i="1"/>
  <c r="E107" i="1" s="1"/>
  <c r="R107" i="1" s="1"/>
  <c r="AA107" i="1"/>
  <c r="Z107" i="1"/>
  <c r="Y107" i="1"/>
  <c r="W107" i="1"/>
  <c r="V107" i="1"/>
  <c r="AI107" i="1" s="1"/>
  <c r="U107" i="1"/>
  <c r="T107" i="1"/>
  <c r="S107" i="1"/>
  <c r="Q107" i="1"/>
  <c r="P107" i="1"/>
  <c r="AA106" i="1"/>
  <c r="Z106" i="1"/>
  <c r="W106" i="1"/>
  <c r="U106" i="1"/>
  <c r="T106" i="1"/>
  <c r="Q106" i="1"/>
  <c r="P106" i="1"/>
  <c r="L106" i="1"/>
  <c r="L105" i="1" s="1"/>
  <c r="X105" i="1" s="1"/>
  <c r="E106" i="1"/>
  <c r="E105" i="1" s="1"/>
  <c r="R105" i="1" s="1"/>
  <c r="AA105" i="1"/>
  <c r="Z105" i="1"/>
  <c r="Y105" i="1"/>
  <c r="W105" i="1"/>
  <c r="V105" i="1"/>
  <c r="U105" i="1"/>
  <c r="T105" i="1"/>
  <c r="S105" i="1"/>
  <c r="Q105" i="1"/>
  <c r="P105" i="1"/>
  <c r="AA91" i="1"/>
  <c r="Z91" i="1"/>
  <c r="W91" i="1"/>
  <c r="V91" i="1"/>
  <c r="U91" i="1"/>
  <c r="T91" i="1"/>
  <c r="Q91" i="1"/>
  <c r="P91" i="1"/>
  <c r="L91" i="1"/>
  <c r="L90" i="1" s="1"/>
  <c r="X90" i="1" s="1"/>
  <c r="E91" i="1"/>
  <c r="E90" i="1" s="1"/>
  <c r="R90" i="1" s="1"/>
  <c r="AA90" i="1"/>
  <c r="Z90" i="1"/>
  <c r="Y90" i="1"/>
  <c r="W90" i="1"/>
  <c r="V90" i="1"/>
  <c r="U90" i="1"/>
  <c r="T90" i="1"/>
  <c r="S90" i="1"/>
  <c r="Q90" i="1"/>
  <c r="P90" i="1"/>
  <c r="Z89" i="1"/>
  <c r="W89" i="1"/>
  <c r="T89" i="1"/>
  <c r="Q89" i="1"/>
  <c r="L89" i="1"/>
  <c r="L88" i="1" s="1"/>
  <c r="X88" i="1" s="1"/>
  <c r="E89" i="1"/>
  <c r="E88" i="1" s="1"/>
  <c r="R88" i="1" s="1"/>
  <c r="AA88" i="1"/>
  <c r="Z88" i="1"/>
  <c r="Y88" i="1"/>
  <c r="W88" i="1"/>
  <c r="V88" i="1"/>
  <c r="U88" i="1"/>
  <c r="T88" i="1"/>
  <c r="S88" i="1"/>
  <c r="Q88" i="1"/>
  <c r="P88" i="1"/>
  <c r="AA87" i="1"/>
  <c r="Z87" i="1"/>
  <c r="W87" i="1"/>
  <c r="U87" i="1"/>
  <c r="T87" i="1"/>
  <c r="Q87" i="1"/>
  <c r="L87" i="1"/>
  <c r="E87" i="1"/>
  <c r="E86" i="1" s="1"/>
  <c r="R86" i="1" s="1"/>
  <c r="AA86" i="1"/>
  <c r="Z86" i="1"/>
  <c r="Y86" i="1"/>
  <c r="W86" i="1"/>
  <c r="V86" i="1"/>
  <c r="U86" i="1"/>
  <c r="T86" i="1"/>
  <c r="S86" i="1"/>
  <c r="Q86" i="1"/>
  <c r="P86" i="1"/>
  <c r="L86" i="1"/>
  <c r="X86" i="1" s="1"/>
  <c r="AA85" i="1"/>
  <c r="Z85" i="1"/>
  <c r="W85" i="1"/>
  <c r="U85" i="1"/>
  <c r="T85" i="1"/>
  <c r="Q85" i="1"/>
  <c r="L85" i="1"/>
  <c r="L84" i="1" s="1"/>
  <c r="X84" i="1" s="1"/>
  <c r="E85" i="1"/>
  <c r="E84" i="1" s="1"/>
  <c r="R84" i="1" s="1"/>
  <c r="AA84" i="1"/>
  <c r="Z84" i="1"/>
  <c r="Y84" i="1"/>
  <c r="W84" i="1"/>
  <c r="V84" i="1"/>
  <c r="U84" i="1"/>
  <c r="T84" i="1"/>
  <c r="S84" i="1"/>
  <c r="Q84" i="1"/>
  <c r="P84" i="1"/>
  <c r="AA83" i="1"/>
  <c r="Z83" i="1"/>
  <c r="W83" i="1"/>
  <c r="U83" i="1"/>
  <c r="T83" i="1"/>
  <c r="Q83" i="1"/>
  <c r="L83" i="1"/>
  <c r="L82" i="1" s="1"/>
  <c r="X82" i="1" s="1"/>
  <c r="E83" i="1"/>
  <c r="E82" i="1" s="1"/>
  <c r="R82" i="1" s="1"/>
  <c r="AA82" i="1"/>
  <c r="Z82" i="1"/>
  <c r="Y82" i="1"/>
  <c r="W82" i="1"/>
  <c r="V82" i="1"/>
  <c r="U82" i="1"/>
  <c r="T82" i="1"/>
  <c r="S82" i="1"/>
  <c r="Q82" i="1"/>
  <c r="P82" i="1"/>
  <c r="AA81" i="1"/>
  <c r="Z81" i="1"/>
  <c r="W81" i="1"/>
  <c r="U81" i="1"/>
  <c r="T81" i="1"/>
  <c r="Q81" i="1"/>
  <c r="L81" i="1"/>
  <c r="E81" i="1"/>
  <c r="E80" i="1" s="1"/>
  <c r="R80" i="1" s="1"/>
  <c r="AA80" i="1"/>
  <c r="Z80" i="1"/>
  <c r="Y80" i="1"/>
  <c r="W80" i="1"/>
  <c r="V80" i="1"/>
  <c r="U80" i="1"/>
  <c r="T80" i="1"/>
  <c r="S80" i="1"/>
  <c r="Q80" i="1"/>
  <c r="P80" i="1"/>
  <c r="L80" i="1"/>
  <c r="X80" i="1" s="1"/>
  <c r="AA79" i="1"/>
  <c r="Z79" i="1"/>
  <c r="W79" i="1"/>
  <c r="V79" i="1"/>
  <c r="U79" i="1"/>
  <c r="T79" i="1"/>
  <c r="Q79" i="1"/>
  <c r="P79" i="1"/>
  <c r="L79" i="1"/>
  <c r="L78" i="1" s="1"/>
  <c r="X78" i="1" s="1"/>
  <c r="E79" i="1"/>
  <c r="E78" i="1" s="1"/>
  <c r="R78" i="1" s="1"/>
  <c r="AA78" i="1"/>
  <c r="Z78" i="1"/>
  <c r="Y78" i="1"/>
  <c r="W78" i="1"/>
  <c r="V78" i="1"/>
  <c r="U78" i="1"/>
  <c r="T78" i="1"/>
  <c r="S78" i="1"/>
  <c r="Q78" i="1"/>
  <c r="P78" i="1"/>
  <c r="AA77" i="1"/>
  <c r="Z77" i="1"/>
  <c r="W77" i="1"/>
  <c r="V77" i="1"/>
  <c r="U77" i="1"/>
  <c r="T77" i="1"/>
  <c r="S77" i="1"/>
  <c r="Q77" i="1"/>
  <c r="P77" i="1"/>
  <c r="L77" i="1"/>
  <c r="L76" i="1" s="1"/>
  <c r="X76" i="1" s="1"/>
  <c r="E77" i="1"/>
  <c r="E76" i="1" s="1"/>
  <c r="R76" i="1" s="1"/>
  <c r="AA76" i="1"/>
  <c r="Z76" i="1"/>
  <c r="Y76" i="1"/>
  <c r="W76" i="1"/>
  <c r="V76" i="1"/>
  <c r="U76" i="1"/>
  <c r="T76" i="1"/>
  <c r="S76" i="1"/>
  <c r="Q76" i="1"/>
  <c r="P76" i="1"/>
  <c r="Z75" i="1"/>
  <c r="W75" i="1"/>
  <c r="T75" i="1"/>
  <c r="Q75" i="1"/>
  <c r="L75" i="1"/>
  <c r="L74" i="1" s="1"/>
  <c r="X74" i="1" s="1"/>
  <c r="E75" i="1"/>
  <c r="E74" i="1" s="1"/>
  <c r="R74" i="1" s="1"/>
  <c r="AA74" i="1"/>
  <c r="Z74" i="1"/>
  <c r="Y74" i="1"/>
  <c r="W74" i="1"/>
  <c r="V74" i="1"/>
  <c r="U74" i="1"/>
  <c r="T74" i="1"/>
  <c r="S74" i="1"/>
  <c r="Q74" i="1"/>
  <c r="P74" i="1"/>
  <c r="AA73" i="1"/>
  <c r="Z73" i="1"/>
  <c r="W73" i="1"/>
  <c r="V73" i="1"/>
  <c r="U73" i="1"/>
  <c r="T73" i="1"/>
  <c r="Q73" i="1"/>
  <c r="P73" i="1"/>
  <c r="L73" i="1"/>
  <c r="L72" i="1" s="1"/>
  <c r="X72" i="1" s="1"/>
  <c r="E73" i="1"/>
  <c r="E72" i="1" s="1"/>
  <c r="R72" i="1" s="1"/>
  <c r="AA72" i="1"/>
  <c r="Z72" i="1"/>
  <c r="Y72" i="1"/>
  <c r="W72" i="1"/>
  <c r="V72" i="1"/>
  <c r="U72" i="1"/>
  <c r="T72" i="1"/>
  <c r="S72" i="1"/>
  <c r="Q72" i="1"/>
  <c r="P72" i="1"/>
  <c r="AA71" i="1"/>
  <c r="Z71" i="1"/>
  <c r="W71" i="1"/>
  <c r="U71" i="1"/>
  <c r="T71" i="1"/>
  <c r="Q71" i="1"/>
  <c r="L71" i="1"/>
  <c r="L70" i="1" s="1"/>
  <c r="X70" i="1" s="1"/>
  <c r="E71" i="1"/>
  <c r="E70" i="1" s="1"/>
  <c r="R70" i="1" s="1"/>
  <c r="AA70" i="1"/>
  <c r="Z70" i="1"/>
  <c r="Y70" i="1"/>
  <c r="W70" i="1"/>
  <c r="V70" i="1"/>
  <c r="U70" i="1"/>
  <c r="T70" i="1"/>
  <c r="S70" i="1"/>
  <c r="Q70" i="1"/>
  <c r="P70" i="1"/>
  <c r="Z69" i="1"/>
  <c r="W69" i="1"/>
  <c r="U69" i="1"/>
  <c r="T69" i="1"/>
  <c r="Q69" i="1"/>
  <c r="L69" i="1"/>
  <c r="E69" i="1"/>
  <c r="E68" i="1" s="1"/>
  <c r="R68" i="1" s="1"/>
  <c r="AA68" i="1"/>
  <c r="Z68" i="1"/>
  <c r="Y68" i="1"/>
  <c r="W68" i="1"/>
  <c r="V68" i="1"/>
  <c r="U68" i="1"/>
  <c r="T68" i="1"/>
  <c r="S68" i="1"/>
  <c r="Q68" i="1"/>
  <c r="P68" i="1"/>
  <c r="L68" i="1"/>
  <c r="X68" i="1" s="1"/>
  <c r="AA67" i="1"/>
  <c r="Z67" i="1"/>
  <c r="W67" i="1"/>
  <c r="U67" i="1"/>
  <c r="T67" i="1"/>
  <c r="Q67" i="1"/>
  <c r="L67" i="1"/>
  <c r="L66" i="1" s="1"/>
  <c r="X66" i="1" s="1"/>
  <c r="E67" i="1"/>
  <c r="E66" i="1" s="1"/>
  <c r="R66" i="1" s="1"/>
  <c r="AA66" i="1"/>
  <c r="Z66" i="1"/>
  <c r="Y66" i="1"/>
  <c r="W66" i="1"/>
  <c r="V66" i="1"/>
  <c r="U66" i="1"/>
  <c r="T66" i="1"/>
  <c r="S66" i="1"/>
  <c r="Q66" i="1"/>
  <c r="P66" i="1"/>
  <c r="AE65" i="1"/>
  <c r="AA65" i="1"/>
  <c r="Z65" i="1"/>
  <c r="W65" i="1"/>
  <c r="U65" i="1"/>
  <c r="T65" i="1"/>
  <c r="Q65" i="1"/>
  <c r="L65" i="1"/>
  <c r="L64" i="1" s="1"/>
  <c r="X64" i="1" s="1"/>
  <c r="E65" i="1"/>
  <c r="E64" i="1" s="1"/>
  <c r="R64" i="1" s="1"/>
  <c r="AA64" i="1"/>
  <c r="Z64" i="1"/>
  <c r="Y64" i="1"/>
  <c r="W64" i="1"/>
  <c r="V64" i="1"/>
  <c r="U64" i="1"/>
  <c r="T64" i="1"/>
  <c r="S64" i="1"/>
  <c r="Q64" i="1"/>
  <c r="P64" i="1"/>
  <c r="AE63" i="1"/>
  <c r="AA63" i="1"/>
  <c r="Z63" i="1"/>
  <c r="W63" i="1"/>
  <c r="U63" i="1"/>
  <c r="T63" i="1"/>
  <c r="Q63" i="1"/>
  <c r="L63" i="1"/>
  <c r="L62" i="1" s="1"/>
  <c r="X62" i="1" s="1"/>
  <c r="E63" i="1"/>
  <c r="AA62" i="1"/>
  <c r="Z62" i="1"/>
  <c r="Y62" i="1"/>
  <c r="W62" i="1"/>
  <c r="V62" i="1"/>
  <c r="U62" i="1"/>
  <c r="T62" i="1"/>
  <c r="S62" i="1"/>
  <c r="Q62" i="1"/>
  <c r="P62" i="1"/>
  <c r="E62" i="1"/>
  <c r="R62" i="1" s="1"/>
  <c r="AA61" i="1"/>
  <c r="Z61" i="1"/>
  <c r="Y61" i="1"/>
  <c r="W61" i="1"/>
  <c r="V61" i="1"/>
  <c r="U61" i="1"/>
  <c r="T61" i="1"/>
  <c r="S61" i="1"/>
  <c r="Q61" i="1"/>
  <c r="P61" i="1"/>
  <c r="L61" i="1"/>
  <c r="X61" i="1" s="1"/>
  <c r="E61" i="1"/>
  <c r="R61" i="1" s="1"/>
  <c r="AA60" i="1"/>
  <c r="Z60" i="1"/>
  <c r="W60" i="1"/>
  <c r="V60" i="1"/>
  <c r="U60" i="1"/>
  <c r="T60" i="1"/>
  <c r="Q60" i="1"/>
  <c r="P60" i="1"/>
  <c r="L60" i="1"/>
  <c r="L59" i="1" s="1"/>
  <c r="X59" i="1" s="1"/>
  <c r="E60" i="1"/>
  <c r="E59" i="1" s="1"/>
  <c r="R59" i="1" s="1"/>
  <c r="AA59" i="1"/>
  <c r="Z59" i="1"/>
  <c r="Y59" i="1"/>
  <c r="W59" i="1"/>
  <c r="V59" i="1"/>
  <c r="U59" i="1"/>
  <c r="T59" i="1"/>
  <c r="S59" i="1"/>
  <c r="Q59" i="1"/>
  <c r="P59" i="1"/>
  <c r="AA58" i="1"/>
  <c r="Z58" i="1"/>
  <c r="Y58" i="1"/>
  <c r="W58" i="1"/>
  <c r="U58" i="1"/>
  <c r="T58" i="1"/>
  <c r="Q58" i="1"/>
  <c r="L58" i="1"/>
  <c r="L57" i="1" s="1"/>
  <c r="X57" i="1" s="1"/>
  <c r="E58" i="1"/>
  <c r="E57" i="1" s="1"/>
  <c r="R57" i="1" s="1"/>
  <c r="AA57" i="1"/>
  <c r="Z57" i="1"/>
  <c r="Y57" i="1"/>
  <c r="W57" i="1"/>
  <c r="V57" i="1"/>
  <c r="U57" i="1"/>
  <c r="T57" i="1"/>
  <c r="S57" i="1"/>
  <c r="Q57" i="1"/>
  <c r="P57" i="1"/>
  <c r="AA56" i="1"/>
  <c r="Z56" i="1"/>
  <c r="W56" i="1"/>
  <c r="V56" i="1"/>
  <c r="U56" i="1"/>
  <c r="T56" i="1"/>
  <c r="Q56" i="1"/>
  <c r="P56" i="1"/>
  <c r="L56" i="1"/>
  <c r="E56" i="1"/>
  <c r="AA55" i="1"/>
  <c r="Z55" i="1"/>
  <c r="Y55" i="1"/>
  <c r="W55" i="1"/>
  <c r="V55" i="1"/>
  <c r="U55" i="1"/>
  <c r="T55" i="1"/>
  <c r="S55" i="1"/>
  <c r="Q55" i="1"/>
  <c r="P55" i="1"/>
  <c r="L55" i="1"/>
  <c r="X55" i="1" s="1"/>
  <c r="E55" i="1"/>
  <c r="R55" i="1" s="1"/>
  <c r="AA54" i="1"/>
  <c r="Z54" i="1"/>
  <c r="W54" i="1"/>
  <c r="U54" i="1"/>
  <c r="T54" i="1"/>
  <c r="S54" i="1"/>
  <c r="Q54" i="1"/>
  <c r="P54" i="1"/>
  <c r="AB54" i="1" s="1"/>
  <c r="L54" i="1"/>
  <c r="L53" i="1" s="1"/>
  <c r="E54" i="1"/>
  <c r="E53" i="1" s="1"/>
  <c r="AA53" i="1"/>
  <c r="Z53" i="1"/>
  <c r="Y53" i="1"/>
  <c r="W53" i="1"/>
  <c r="V53" i="1"/>
  <c r="U53" i="1"/>
  <c r="T53" i="1"/>
  <c r="S53" i="1"/>
  <c r="Q53" i="1"/>
  <c r="P53" i="1"/>
  <c r="AA52" i="1"/>
  <c r="Z52" i="1"/>
  <c r="Y52" i="1"/>
  <c r="W52" i="1"/>
  <c r="V52" i="1"/>
  <c r="U52" i="1"/>
  <c r="T52" i="1"/>
  <c r="S52" i="1"/>
  <c r="Q52" i="1"/>
  <c r="P52" i="1"/>
  <c r="L45" i="1"/>
  <c r="E45" i="1"/>
  <c r="O42" i="1"/>
  <c r="O43" i="1" s="1"/>
  <c r="N42" i="1"/>
  <c r="N43" i="1" s="1"/>
  <c r="M42" i="1"/>
  <c r="M43" i="1" s="1"/>
  <c r="K42" i="1"/>
  <c r="K43" i="1" s="1"/>
  <c r="J42" i="1"/>
  <c r="J43" i="1" s="1"/>
  <c r="I42" i="1"/>
  <c r="I43" i="1" s="1"/>
  <c r="H42" i="1"/>
  <c r="H43" i="1" s="1"/>
  <c r="G42" i="1"/>
  <c r="G43" i="1" s="1"/>
  <c r="F42" i="1"/>
  <c r="F43" i="1" s="1"/>
  <c r="D42" i="1"/>
  <c r="D43" i="1" s="1"/>
  <c r="C42" i="1"/>
  <c r="C43" i="1" s="1"/>
  <c r="B42" i="1"/>
  <c r="P42" i="1" s="1"/>
  <c r="O40" i="1"/>
  <c r="N40" i="1"/>
  <c r="M40" i="1"/>
  <c r="K40" i="1"/>
  <c r="J40" i="1"/>
  <c r="I40" i="1"/>
  <c r="H40" i="1"/>
  <c r="G40" i="1"/>
  <c r="F40" i="1"/>
  <c r="D40" i="1"/>
  <c r="C40" i="1"/>
  <c r="B40" i="1"/>
  <c r="O39" i="1"/>
  <c r="N39" i="1"/>
  <c r="M39" i="1"/>
  <c r="K39" i="1"/>
  <c r="J39" i="1"/>
  <c r="I39" i="1"/>
  <c r="H39" i="1"/>
  <c r="G39" i="1"/>
  <c r="F39" i="1"/>
  <c r="D39" i="1"/>
  <c r="C39" i="1"/>
  <c r="B39" i="1"/>
  <c r="O38" i="1"/>
  <c r="N38" i="1"/>
  <c r="Z38" i="1" s="1"/>
  <c r="M38" i="1"/>
  <c r="Y38" i="1" s="1"/>
  <c r="K38" i="1"/>
  <c r="J38" i="1"/>
  <c r="J41" i="1" s="1"/>
  <c r="I38" i="1"/>
  <c r="H38" i="1"/>
  <c r="G38" i="1"/>
  <c r="F38" i="1"/>
  <c r="D38" i="1"/>
  <c r="C38" i="1"/>
  <c r="C41" i="1" s="1"/>
  <c r="B38" i="1"/>
  <c r="P38" i="1" s="1"/>
  <c r="AA37" i="1"/>
  <c r="Z37" i="1"/>
  <c r="AF37" i="1" s="1"/>
  <c r="Y37" i="1"/>
  <c r="W37" i="1"/>
  <c r="AC37" i="1" s="1"/>
  <c r="V37" i="1"/>
  <c r="U37" i="1"/>
  <c r="T37" i="1"/>
  <c r="S37" i="1"/>
  <c r="Q37" i="1"/>
  <c r="P37" i="1"/>
  <c r="L37" i="1"/>
  <c r="X37" i="1" s="1"/>
  <c r="AD37" i="1" s="1"/>
  <c r="E37" i="1"/>
  <c r="R37" i="1" s="1"/>
  <c r="AA36" i="1"/>
  <c r="Z36" i="1"/>
  <c r="AF36" i="1" s="1"/>
  <c r="Y36" i="1"/>
  <c r="W36" i="1"/>
  <c r="AC36" i="1" s="1"/>
  <c r="V36" i="1"/>
  <c r="U36" i="1"/>
  <c r="T36" i="1"/>
  <c r="S36" i="1"/>
  <c r="Q36" i="1"/>
  <c r="P36" i="1"/>
  <c r="L36" i="1"/>
  <c r="X36" i="1" s="1"/>
  <c r="AD36" i="1" s="1"/>
  <c r="E36" i="1"/>
  <c r="R36" i="1" s="1"/>
  <c r="AA35" i="1"/>
  <c r="Z35" i="1"/>
  <c r="Y35" i="1"/>
  <c r="X35" i="1"/>
  <c r="W35" i="1"/>
  <c r="V35" i="1"/>
  <c r="U35" i="1"/>
  <c r="T35" i="1"/>
  <c r="S35" i="1"/>
  <c r="R35" i="1"/>
  <c r="Q35" i="1"/>
  <c r="P35" i="1"/>
  <c r="AA34" i="1"/>
  <c r="Z34" i="1"/>
  <c r="AF34" i="1" s="1"/>
  <c r="Y34" i="1"/>
  <c r="W34" i="1"/>
  <c r="AC34" i="1" s="1"/>
  <c r="V34" i="1"/>
  <c r="U34" i="1"/>
  <c r="T34" i="1"/>
  <c r="S34" i="1"/>
  <c r="Q34" i="1"/>
  <c r="P34" i="1"/>
  <c r="L34" i="1"/>
  <c r="X34" i="1" s="1"/>
  <c r="AD34" i="1" s="1"/>
  <c r="E34" i="1"/>
  <c r="R34" i="1" s="1"/>
  <c r="AA33" i="1"/>
  <c r="Z33" i="1"/>
  <c r="AF33" i="1" s="1"/>
  <c r="Y33" i="1"/>
  <c r="W33" i="1"/>
  <c r="AC33" i="1" s="1"/>
  <c r="V33" i="1"/>
  <c r="U33" i="1"/>
  <c r="T33" i="1"/>
  <c r="S33" i="1"/>
  <c r="Q33" i="1"/>
  <c r="P33" i="1"/>
  <c r="L33" i="1"/>
  <c r="X33" i="1" s="1"/>
  <c r="AD33" i="1" s="1"/>
  <c r="E33" i="1"/>
  <c r="R33" i="1" s="1"/>
  <c r="AA32" i="1"/>
  <c r="Z32" i="1"/>
  <c r="Y32" i="1"/>
  <c r="W32" i="1"/>
  <c r="AC32" i="1" s="1"/>
  <c r="V32" i="1"/>
  <c r="U32" i="1"/>
  <c r="T32" i="1"/>
  <c r="S32" i="1"/>
  <c r="Q32" i="1"/>
  <c r="P32" i="1"/>
  <c r="L32" i="1"/>
  <c r="X32" i="1" s="1"/>
  <c r="E32" i="1"/>
  <c r="R32" i="1" s="1"/>
  <c r="AA31" i="1"/>
  <c r="Z31" i="1"/>
  <c r="Y31" i="1"/>
  <c r="W31" i="1"/>
  <c r="V31" i="1"/>
  <c r="U31" i="1"/>
  <c r="T31" i="1"/>
  <c r="S31" i="1"/>
  <c r="Q31" i="1"/>
  <c r="P31" i="1"/>
  <c r="L31" i="1"/>
  <c r="E31" i="1"/>
  <c r="AA30" i="1"/>
  <c r="Z30" i="1"/>
  <c r="Y30" i="1"/>
  <c r="X30" i="1"/>
  <c r="W30" i="1"/>
  <c r="V30" i="1"/>
  <c r="U30" i="1"/>
  <c r="T30" i="1"/>
  <c r="S30" i="1"/>
  <c r="R30" i="1"/>
  <c r="Q30" i="1"/>
  <c r="P30" i="1"/>
  <c r="AA29" i="1"/>
  <c r="Z29" i="1"/>
  <c r="Y29" i="1"/>
  <c r="W29" i="1"/>
  <c r="V29" i="1"/>
  <c r="U29" i="1"/>
  <c r="T29" i="1"/>
  <c r="S29" i="1"/>
  <c r="Q29" i="1"/>
  <c r="P29" i="1"/>
  <c r="AA28" i="1"/>
  <c r="Z28" i="1"/>
  <c r="Y28" i="1"/>
  <c r="W28" i="1"/>
  <c r="V28" i="1"/>
  <c r="U28" i="1"/>
  <c r="T28" i="1"/>
  <c r="S28" i="1"/>
  <c r="Q28" i="1"/>
  <c r="P28" i="1"/>
  <c r="E28" i="1"/>
  <c r="AA27" i="1"/>
  <c r="AG27" i="1" s="1"/>
  <c r="Z27" i="1"/>
  <c r="AF27" i="1" s="1"/>
  <c r="Y27" i="1"/>
  <c r="W27" i="1"/>
  <c r="AC27" i="1" s="1"/>
  <c r="V27" i="1"/>
  <c r="AB27" i="1" s="1"/>
  <c r="U27" i="1"/>
  <c r="S27" i="1"/>
  <c r="R27" i="1"/>
  <c r="P27" i="1"/>
  <c r="AA26" i="1"/>
  <c r="Z26" i="1"/>
  <c r="AF26" i="1" s="1"/>
  <c r="Y26" i="1"/>
  <c r="W26" i="1"/>
  <c r="V26" i="1"/>
  <c r="AB26" i="1" s="1"/>
  <c r="U26" i="1"/>
  <c r="T26" i="1"/>
  <c r="S26" i="1"/>
  <c r="Q26" i="1"/>
  <c r="P26" i="1"/>
  <c r="AA25" i="1"/>
  <c r="Z25" i="1"/>
  <c r="AF25" i="1" s="1"/>
  <c r="Y25" i="1"/>
  <c r="AE25" i="1" s="1"/>
  <c r="W25" i="1"/>
  <c r="V25" i="1"/>
  <c r="U25" i="1"/>
  <c r="T25" i="1"/>
  <c r="S25" i="1"/>
  <c r="R25" i="1"/>
  <c r="Q25" i="1"/>
  <c r="P25" i="1"/>
  <c r="AA24" i="1"/>
  <c r="AG24" i="1" s="1"/>
  <c r="Z24" i="1"/>
  <c r="Y24" i="1"/>
  <c r="W24" i="1"/>
  <c r="V24" i="1"/>
  <c r="U24" i="1"/>
  <c r="T24" i="1"/>
  <c r="S24" i="1"/>
  <c r="Q24" i="1"/>
  <c r="P24" i="1"/>
  <c r="AA23" i="1"/>
  <c r="AG23" i="1" s="1"/>
  <c r="Z23" i="1"/>
  <c r="Y23" i="1"/>
  <c r="AE23" i="1" s="1"/>
  <c r="W23" i="1"/>
  <c r="V23" i="1"/>
  <c r="U23" i="1"/>
  <c r="T23" i="1"/>
  <c r="S23" i="1"/>
  <c r="Q23" i="1"/>
  <c r="P23" i="1"/>
  <c r="AA22" i="1"/>
  <c r="AG22" i="1" s="1"/>
  <c r="Z22" i="1"/>
  <c r="Y22" i="1"/>
  <c r="AE22" i="1" s="1"/>
  <c r="W22" i="1"/>
  <c r="V22" i="1"/>
  <c r="U22" i="1"/>
  <c r="T22" i="1"/>
  <c r="S22" i="1"/>
  <c r="Q22" i="1"/>
  <c r="P22" i="1"/>
  <c r="AA21" i="1"/>
  <c r="Z21" i="1"/>
  <c r="Y21" i="1"/>
  <c r="AE21" i="1" s="1"/>
  <c r="W21" i="1"/>
  <c r="V21" i="1"/>
  <c r="U21" i="1"/>
  <c r="T21" i="1"/>
  <c r="S21" i="1"/>
  <c r="R21" i="1"/>
  <c r="Q21" i="1"/>
  <c r="P21" i="1"/>
  <c r="AA20" i="1"/>
  <c r="Z20" i="1"/>
  <c r="AF20" i="1" s="1"/>
  <c r="Y20" i="1"/>
  <c r="W20" i="1"/>
  <c r="V20" i="1"/>
  <c r="U20" i="1"/>
  <c r="T20" i="1"/>
  <c r="S20" i="1"/>
  <c r="Q20" i="1"/>
  <c r="P20" i="1"/>
  <c r="AA19" i="1"/>
  <c r="AG19" i="1" s="1"/>
  <c r="Z19" i="1"/>
  <c r="Y19" i="1"/>
  <c r="W19" i="1"/>
  <c r="V19" i="1"/>
  <c r="AB19" i="1" s="1"/>
  <c r="U19" i="1"/>
  <c r="T19" i="1"/>
  <c r="S19" i="1"/>
  <c r="Q19" i="1"/>
  <c r="P19" i="1"/>
  <c r="AA18" i="1"/>
  <c r="Z18" i="1"/>
  <c r="AF18" i="1" s="1"/>
  <c r="Y18" i="1"/>
  <c r="AE18" i="1" s="1"/>
  <c r="W18" i="1"/>
  <c r="V18" i="1"/>
  <c r="U18" i="1"/>
  <c r="T18" i="1"/>
  <c r="S18" i="1"/>
  <c r="Q18" i="1"/>
  <c r="P18" i="1"/>
  <c r="AA17" i="1"/>
  <c r="Z17" i="1"/>
  <c r="Y17" i="1"/>
  <c r="W17" i="1"/>
  <c r="V17" i="1"/>
  <c r="U17" i="1"/>
  <c r="T17" i="1"/>
  <c r="S17" i="1"/>
  <c r="R17" i="1"/>
  <c r="Q17" i="1"/>
  <c r="P17" i="1"/>
  <c r="AA16" i="1"/>
  <c r="Z16" i="1"/>
  <c r="Y16" i="1"/>
  <c r="W16" i="1"/>
  <c r="V16" i="1"/>
  <c r="U16" i="1"/>
  <c r="T16" i="1"/>
  <c r="S16" i="1"/>
  <c r="Q16" i="1"/>
  <c r="P16" i="1"/>
  <c r="AA15" i="1"/>
  <c r="Z15" i="1"/>
  <c r="Y15" i="1"/>
  <c r="W15" i="1"/>
  <c r="V15" i="1"/>
  <c r="U15" i="1"/>
  <c r="T15" i="1"/>
  <c r="S15" i="1"/>
  <c r="Q15" i="1"/>
  <c r="P15" i="1"/>
  <c r="AA14" i="1"/>
  <c r="Z14" i="1"/>
  <c r="Y14" i="1"/>
  <c r="W14" i="1"/>
  <c r="V14" i="1"/>
  <c r="U14" i="1"/>
  <c r="T14" i="1"/>
  <c r="S14" i="1"/>
  <c r="Q14" i="1"/>
  <c r="P14" i="1"/>
  <c r="AA13" i="1"/>
  <c r="Z13" i="1"/>
  <c r="Y13" i="1"/>
  <c r="W13" i="1"/>
  <c r="V13" i="1"/>
  <c r="U13" i="1"/>
  <c r="T13" i="1"/>
  <c r="S13" i="1"/>
  <c r="Q13" i="1"/>
  <c r="P13" i="1"/>
  <c r="AA12" i="1"/>
  <c r="Z12" i="1"/>
  <c r="Y12" i="1"/>
  <c r="X12" i="1"/>
  <c r="W12" i="1"/>
  <c r="V12" i="1"/>
  <c r="U12" i="1"/>
  <c r="T12" i="1"/>
  <c r="S12" i="1"/>
  <c r="Q12" i="1"/>
  <c r="P12" i="1"/>
  <c r="AA11" i="1"/>
  <c r="Z11" i="1"/>
  <c r="Y11" i="1"/>
  <c r="W11" i="1"/>
  <c r="V11" i="1"/>
  <c r="U11" i="1"/>
  <c r="T11" i="1"/>
  <c r="S11" i="1"/>
  <c r="Q11" i="1"/>
  <c r="P11" i="1"/>
  <c r="AA10" i="1"/>
  <c r="Z10" i="1"/>
  <c r="Y10" i="1"/>
  <c r="W10" i="1"/>
  <c r="V10" i="1"/>
  <c r="U10" i="1"/>
  <c r="T10" i="1"/>
  <c r="S10" i="1"/>
  <c r="Q10" i="1"/>
  <c r="P10" i="1"/>
  <c r="O9" i="1"/>
  <c r="N9" i="1"/>
  <c r="M9" i="1"/>
  <c r="K9" i="1"/>
  <c r="J9" i="1"/>
  <c r="I9" i="1"/>
  <c r="H9" i="1"/>
  <c r="G9" i="1"/>
  <c r="F9" i="1"/>
  <c r="D9" i="1"/>
  <c r="C9" i="1"/>
  <c r="B9" i="1"/>
  <c r="AJ3" i="1"/>
  <c r="AD24" i="1" l="1"/>
  <c r="AG18" i="1"/>
  <c r="AE19" i="1"/>
  <c r="AG20" i="1"/>
  <c r="AF22" i="1"/>
  <c r="AB25" i="1"/>
  <c r="AG25" i="1"/>
  <c r="AE26" i="1"/>
  <c r="AB32" i="1"/>
  <c r="AB33" i="1"/>
  <c r="AG33" i="1"/>
  <c r="AB34" i="1"/>
  <c r="AG34" i="1"/>
  <c r="AB36" i="1"/>
  <c r="AG36" i="1"/>
  <c r="AB37" i="1"/>
  <c r="AG37" i="1"/>
  <c r="AD27" i="1"/>
  <c r="AD23" i="1"/>
  <c r="AD19" i="1"/>
  <c r="AD20" i="1"/>
  <c r="AC25" i="1"/>
  <c r="AE27" i="1"/>
  <c r="AS35" i="3"/>
  <c r="AS36" i="3" s="1"/>
  <c r="AD26" i="1"/>
  <c r="AD22" i="1"/>
  <c r="AD18" i="1"/>
  <c r="AE20" i="1"/>
  <c r="AF21" i="1"/>
  <c r="AF23" i="1"/>
  <c r="AG26" i="1"/>
  <c r="AY35" i="3"/>
  <c r="AY36" i="3" s="1"/>
  <c r="AE33" i="1"/>
  <c r="AE34" i="1"/>
  <c r="AE36" i="1"/>
  <c r="AE37" i="1"/>
  <c r="AD25" i="1"/>
  <c r="R132" i="1"/>
  <c r="O35" i="3"/>
  <c r="O36" i="3" s="1"/>
  <c r="BU35" i="3"/>
  <c r="BV35" i="3" s="1"/>
  <c r="X31" i="1"/>
  <c r="AC167" i="1"/>
  <c r="AC166" i="1"/>
  <c r="I168" i="1"/>
  <c r="V168" i="1" s="1"/>
  <c r="AC15" i="1"/>
  <c r="AG165" i="1"/>
  <c r="AG16" i="1"/>
  <c r="AB21" i="1"/>
  <c r="AB20" i="1"/>
  <c r="AC21" i="1"/>
  <c r="AC20" i="1"/>
  <c r="T40" i="1"/>
  <c r="AG13" i="1"/>
  <c r="T39" i="1"/>
  <c r="L10" i="1"/>
  <c r="X10" i="1" s="1"/>
  <c r="AG10" i="1"/>
  <c r="AD149" i="1"/>
  <c r="AF105" i="1"/>
  <c r="Y39" i="1"/>
  <c r="X39" i="1"/>
  <c r="AC143" i="1"/>
  <c r="AC145" i="1"/>
  <c r="AG105" i="1"/>
  <c r="AB107" i="1"/>
  <c r="AC109" i="1"/>
  <c r="AC110" i="1"/>
  <c r="AE15" i="1"/>
  <c r="AC107" i="1"/>
  <c r="AC90" i="1"/>
  <c r="AC67" i="1"/>
  <c r="AB114" i="1"/>
  <c r="AC11" i="1"/>
  <c r="P40" i="1"/>
  <c r="R166" i="1"/>
  <c r="B166" i="1"/>
  <c r="P166" i="1" s="1"/>
  <c r="BQ35" i="3"/>
  <c r="BP36" i="3"/>
  <c r="AC12" i="1"/>
  <c r="Q39" i="1"/>
  <c r="U39" i="1"/>
  <c r="CC35" i="3"/>
  <c r="CB36" i="3"/>
  <c r="Q40" i="1"/>
  <c r="Y40" i="1"/>
  <c r="R39" i="1"/>
  <c r="V39" i="1"/>
  <c r="Z39" i="1"/>
  <c r="AH20" i="1"/>
  <c r="CG35" i="3"/>
  <c r="CG36" i="3" s="1"/>
  <c r="V40" i="1"/>
  <c r="Z40" i="1"/>
  <c r="X166" i="1"/>
  <c r="X172" i="1" s="1"/>
  <c r="I166" i="1"/>
  <c r="V166" i="1" s="1"/>
  <c r="AL14" i="1"/>
  <c r="DN35" i="3"/>
  <c r="DN36" i="3" s="1"/>
  <c r="CI35" i="3"/>
  <c r="CI36" i="3" s="1"/>
  <c r="U40" i="1"/>
  <c r="S39" i="1"/>
  <c r="W39" i="1"/>
  <c r="AA39" i="1"/>
  <c r="AB17" i="1"/>
  <c r="S40" i="1"/>
  <c r="W40" i="1"/>
  <c r="AA40" i="1"/>
  <c r="AG123" i="1"/>
  <c r="AC106" i="1"/>
  <c r="AG160" i="1"/>
  <c r="AC160" i="1"/>
  <c r="AG149" i="1"/>
  <c r="AD145" i="1"/>
  <c r="AC142" i="1"/>
  <c r="AE142" i="1"/>
  <c r="AC122" i="1"/>
  <c r="L118" i="1"/>
  <c r="X118" i="1" s="1"/>
  <c r="AD118" i="1" s="1"/>
  <c r="AG66" i="1"/>
  <c r="AG62" i="1"/>
  <c r="AB61" i="1"/>
  <c r="AD59" i="1"/>
  <c r="AC56" i="1"/>
  <c r="Z42" i="1"/>
  <c r="Z43" i="1" s="1"/>
  <c r="AD142" i="1"/>
  <c r="AF85" i="1"/>
  <c r="AC149" i="1"/>
  <c r="M3" i="1"/>
  <c r="S42" i="1"/>
  <c r="S43" i="1" s="1"/>
  <c r="W42" i="1"/>
  <c r="W43" i="1" s="1"/>
  <c r="G134" i="1"/>
  <c r="T134" i="1" s="1"/>
  <c r="T136" i="1" s="1"/>
  <c r="K134" i="1"/>
  <c r="K150" i="1" s="1"/>
  <c r="W150" i="1" s="1"/>
  <c r="AC59" i="1"/>
  <c r="AF62" i="1"/>
  <c r="AD122" i="1"/>
  <c r="AD124" i="1"/>
  <c r="AE124" i="1"/>
  <c r="AE143" i="1"/>
  <c r="X161" i="1"/>
  <c r="CP35" i="3" s="1"/>
  <c r="CP36" i="3" s="1"/>
  <c r="X162" i="1"/>
  <c r="AD162" i="1" s="1"/>
  <c r="E163" i="1"/>
  <c r="R163" i="1" s="1"/>
  <c r="AH25" i="1"/>
  <c r="AF160" i="1"/>
  <c r="AF54" i="1"/>
  <c r="AB55" i="1"/>
  <c r="AB80" i="1"/>
  <c r="AG80" i="1"/>
  <c r="AC82" i="1"/>
  <c r="AF86" i="1"/>
  <c r="AF106" i="1"/>
  <c r="AE107" i="1"/>
  <c r="AC119" i="1"/>
  <c r="AG122" i="1"/>
  <c r="AB142" i="1"/>
  <c r="AF142" i="1"/>
  <c r="AE145" i="1"/>
  <c r="AF70" i="1"/>
  <c r="AC72" i="1"/>
  <c r="AG76" i="1"/>
  <c r="AE119" i="1"/>
  <c r="AF121" i="1"/>
  <c r="AB124" i="1"/>
  <c r="AB125" i="1"/>
  <c r="AE162" i="1"/>
  <c r="AH12" i="1"/>
  <c r="AE13" i="1"/>
  <c r="AB18" i="1"/>
  <c r="Q42" i="1"/>
  <c r="Q43" i="1" s="1"/>
  <c r="O134" i="1"/>
  <c r="O150" i="1" s="1"/>
  <c r="AA150" i="1" s="1"/>
  <c r="AC55" i="1"/>
  <c r="AB64" i="1"/>
  <c r="AF72" i="1"/>
  <c r="AD76" i="1"/>
  <c r="AF79" i="1"/>
  <c r="AC118" i="1"/>
  <c r="AE122" i="1"/>
  <c r="AC123" i="1"/>
  <c r="AE125" i="1"/>
  <c r="AC144" i="1"/>
  <c r="AB149" i="1"/>
  <c r="AF149" i="1"/>
  <c r="B160" i="1"/>
  <c r="P160" i="1" s="1"/>
  <c r="AB160" i="1" s="1"/>
  <c r="X160" i="1"/>
  <c r="AG161" i="1"/>
  <c r="AG166" i="1"/>
  <c r="AE166" i="1"/>
  <c r="AF73" i="1"/>
  <c r="AB76" i="1"/>
  <c r="AB77" i="1"/>
  <c r="AC84" i="1"/>
  <c r="AI12" i="1"/>
  <c r="AC18" i="1"/>
  <c r="I134" i="1"/>
  <c r="I150" i="1" s="1"/>
  <c r="V150" i="1" s="1"/>
  <c r="AC62" i="1"/>
  <c r="AF75" i="1"/>
  <c r="AD84" i="1"/>
  <c r="AE105" i="1"/>
  <c r="AF107" i="1"/>
  <c r="AE113" i="1"/>
  <c r="AD113" i="1"/>
  <c r="AF115" i="1"/>
  <c r="AF116" i="1"/>
  <c r="AF117" i="1"/>
  <c r="AG119" i="1"/>
  <c r="AB144" i="1"/>
  <c r="AF166" i="1"/>
  <c r="AC24" i="1"/>
  <c r="AC23" i="1"/>
  <c r="AC22" i="1"/>
  <c r="L40" i="1"/>
  <c r="AI19" i="1"/>
  <c r="AD15" i="1"/>
  <c r="AG52" i="1"/>
  <c r="AB52" i="1"/>
  <c r="AF14" i="1"/>
  <c r="AC10" i="1"/>
  <c r="AE10" i="1"/>
  <c r="L39" i="1"/>
  <c r="AC13" i="1"/>
  <c r="E39" i="1"/>
  <c r="AG11" i="1"/>
  <c r="X9" i="1"/>
  <c r="AC132" i="1"/>
  <c r="AD168" i="1"/>
  <c r="AI168" i="1" s="1"/>
  <c r="AE168" i="1"/>
  <c r="AG162" i="1"/>
  <c r="AG163" i="1"/>
  <c r="AE161" i="1"/>
  <c r="B168" i="1"/>
  <c r="P168" i="1" s="1"/>
  <c r="AE167" i="1"/>
  <c r="AG168" i="1"/>
  <c r="AG167" i="1"/>
  <c r="AF167" i="1"/>
  <c r="AG164" i="1"/>
  <c r="AE164" i="1"/>
  <c r="AF164" i="1"/>
  <c r="R161" i="1"/>
  <c r="CL35" i="3" s="1"/>
  <c r="CL36" i="3" s="1"/>
  <c r="AE160" i="1"/>
  <c r="B162" i="1"/>
  <c r="P162" i="1" s="1"/>
  <c r="AB162" i="1" s="1"/>
  <c r="S163" i="1"/>
  <c r="AE163" i="1" s="1"/>
  <c r="AC168" i="1"/>
  <c r="AC161" i="1"/>
  <c r="AC164" i="1"/>
  <c r="AD143" i="1"/>
  <c r="AF143" i="1"/>
  <c r="AG142" i="1"/>
  <c r="AG143" i="1"/>
  <c r="AE149" i="1"/>
  <c r="AB143" i="1"/>
  <c r="AB145" i="1"/>
  <c r="AB147" i="1"/>
  <c r="L29" i="1"/>
  <c r="X29" i="1" s="1"/>
  <c r="DI35" i="3" s="1"/>
  <c r="X132" i="1"/>
  <c r="AD132" i="1" s="1"/>
  <c r="L52" i="1"/>
  <c r="X52" i="1" s="1"/>
  <c r="X51" i="1" s="1"/>
  <c r="AE55" i="1"/>
  <c r="AG64" i="1"/>
  <c r="AD70" i="1"/>
  <c r="AG72" i="1"/>
  <c r="AF80" i="1"/>
  <c r="AE84" i="1"/>
  <c r="AF90" i="1"/>
  <c r="AE57" i="1"/>
  <c r="AG70" i="1"/>
  <c r="AH13" i="1"/>
  <c r="AH17" i="1"/>
  <c r="AH18" i="1"/>
  <c r="AH14" i="1"/>
  <c r="L9" i="1"/>
  <c r="AH15" i="1"/>
  <c r="X21" i="1"/>
  <c r="AD21" i="1" s="1"/>
  <c r="AI16" i="1"/>
  <c r="AE11" i="1"/>
  <c r="AF15" i="1"/>
  <c r="AF11" i="1"/>
  <c r="AF13" i="1"/>
  <c r="AG14" i="1"/>
  <c r="AG15" i="1"/>
  <c r="E10" i="1"/>
  <c r="R10" i="1" s="1"/>
  <c r="E29" i="1"/>
  <c r="R29" i="1" s="1"/>
  <c r="DH35" i="3" s="1"/>
  <c r="DH36" i="3" s="1"/>
  <c r="E52" i="1"/>
  <c r="R52" i="1" s="1"/>
  <c r="AD105" i="1"/>
  <c r="AG57" i="1"/>
  <c r="AF58" i="1"/>
  <c r="AG59" i="1"/>
  <c r="AD64" i="1"/>
  <c r="AC66" i="1"/>
  <c r="AD74" i="1"/>
  <c r="AG78" i="1"/>
  <c r="AD80" i="1"/>
  <c r="AE80" i="1"/>
  <c r="AF82" i="1"/>
  <c r="AC83" i="1"/>
  <c r="AF83" i="1"/>
  <c r="AG86" i="1"/>
  <c r="AE88" i="1"/>
  <c r="AF118" i="1"/>
  <c r="AF119" i="1"/>
  <c r="AB126" i="1"/>
  <c r="AF126" i="1"/>
  <c r="AF128" i="1"/>
  <c r="AF60" i="1"/>
  <c r="AE53" i="1"/>
  <c r="AG61" i="1"/>
  <c r="AD68" i="1"/>
  <c r="AC74" i="1"/>
  <c r="AE78" i="1"/>
  <c r="AC80" i="1"/>
  <c r="AG81" i="1"/>
  <c r="AF84" i="1"/>
  <c r="AD86" i="1"/>
  <c r="AB90" i="1"/>
  <c r="AD107" i="1"/>
  <c r="AG115" i="1"/>
  <c r="AG116" i="1"/>
  <c r="AD120" i="1"/>
  <c r="AE121" i="1"/>
  <c r="AB122" i="1"/>
  <c r="AF129" i="1"/>
  <c r="AB53" i="1"/>
  <c r="AB78" i="1"/>
  <c r="AC88" i="1"/>
  <c r="AB113" i="1"/>
  <c r="AB118" i="1"/>
  <c r="AC121" i="1"/>
  <c r="AC127" i="1"/>
  <c r="AC129" i="1"/>
  <c r="AC65" i="1"/>
  <c r="AB74" i="1"/>
  <c r="AB82" i="1"/>
  <c r="AC85" i="1"/>
  <c r="AB105" i="1"/>
  <c r="AB110" i="1"/>
  <c r="AC126" i="1"/>
  <c r="AG60" i="1"/>
  <c r="AD82" i="1"/>
  <c r="AD55" i="1"/>
  <c r="AF57" i="1"/>
  <c r="AC60" i="1"/>
  <c r="AB79" i="1"/>
  <c r="AG55" i="1"/>
  <c r="AE59" i="1"/>
  <c r="AF67" i="1"/>
  <c r="AE70" i="1"/>
  <c r="AF77" i="1"/>
  <c r="AB88" i="1"/>
  <c r="AG90" i="1"/>
  <c r="AE90" i="1"/>
  <c r="AC91" i="1"/>
  <c r="AE120" i="1"/>
  <c r="AF122" i="1"/>
  <c r="AF125" i="1"/>
  <c r="B131" i="1"/>
  <c r="P131" i="1" s="1"/>
  <c r="AC52" i="1"/>
  <c r="AC53" i="1"/>
  <c r="AF55" i="1"/>
  <c r="AB57" i="1"/>
  <c r="AC58" i="1"/>
  <c r="AB59" i="1"/>
  <c r="AF59" i="1"/>
  <c r="AB60" i="1"/>
  <c r="AC61" i="1"/>
  <c r="AD62" i="1"/>
  <c r="AE62" i="1"/>
  <c r="AC63" i="1"/>
  <c r="AC64" i="1"/>
  <c r="AF65" i="1"/>
  <c r="AB66" i="1"/>
  <c r="AC68" i="1"/>
  <c r="AG71" i="1"/>
  <c r="AE72" i="1"/>
  <c r="AE74" i="1"/>
  <c r="AF76" i="1"/>
  <c r="AG77" i="1"/>
  <c r="AC78" i="1"/>
  <c r="AC79" i="1"/>
  <c r="AF81" i="1"/>
  <c r="AG82" i="1"/>
  <c r="AE82" i="1"/>
  <c r="AB86" i="1"/>
  <c r="AF88" i="1"/>
  <c r="AD88" i="1"/>
  <c r="AF89" i="1"/>
  <c r="AF91" i="1"/>
  <c r="AF113" i="1"/>
  <c r="AB115" i="1"/>
  <c r="AB116" i="1"/>
  <c r="AB117" i="1"/>
  <c r="AG118" i="1"/>
  <c r="AE118" i="1"/>
  <c r="AC120" i="1"/>
  <c r="AB120" i="1"/>
  <c r="AF120" i="1"/>
  <c r="AF123" i="1"/>
  <c r="AD125" i="1"/>
  <c r="AC125" i="1"/>
  <c r="AG125" i="1"/>
  <c r="T130" i="1"/>
  <c r="AF52" i="1"/>
  <c r="AG53" i="1"/>
  <c r="AF53" i="1"/>
  <c r="AC57" i="1"/>
  <c r="AB62" i="1"/>
  <c r="AG63" i="1"/>
  <c r="AB68" i="1"/>
  <c r="AF69" i="1"/>
  <c r="AC70" i="1"/>
  <c r="AB70" i="1"/>
  <c r="AC71" i="1"/>
  <c r="AF71" i="1"/>
  <c r="AB72" i="1"/>
  <c r="AE76" i="1"/>
  <c r="AC77" i="1"/>
  <c r="AF78" i="1"/>
  <c r="AB84" i="1"/>
  <c r="AG84" i="1"/>
  <c r="AE86" i="1"/>
  <c r="AC86" i="1"/>
  <c r="AG87" i="1"/>
  <c r="AB91" i="1"/>
  <c r="AC105" i="1"/>
  <c r="AB109" i="1"/>
  <c r="AC113" i="1"/>
  <c r="AE115" i="1"/>
  <c r="AC115" i="1"/>
  <c r="AE116" i="1"/>
  <c r="AC116" i="1"/>
  <c r="AC117" i="1"/>
  <c r="AB119" i="1"/>
  <c r="AB121" i="1"/>
  <c r="AF127" i="1"/>
  <c r="AC128" i="1"/>
  <c r="V130" i="1"/>
  <c r="AB130" i="1" s="1"/>
  <c r="E151" i="1"/>
  <c r="AB132" i="1"/>
  <c r="R9" i="1"/>
  <c r="AD13" i="1"/>
  <c r="AH19" i="1"/>
  <c r="AK19" i="1"/>
  <c r="E40" i="1"/>
  <c r="AD11" i="1"/>
  <c r="AC16" i="1"/>
  <c r="AE16" i="1"/>
  <c r="AI18" i="1"/>
  <c r="AB22" i="1"/>
  <c r="AB23" i="1"/>
  <c r="AB24" i="1"/>
  <c r="AI32" i="1"/>
  <c r="AJ32" i="1" s="1"/>
  <c r="AC14" i="1"/>
  <c r="AE14" i="1"/>
  <c r="AB29" i="1"/>
  <c r="AB16" i="1"/>
  <c r="AF10" i="1"/>
  <c r="AH11" i="1"/>
  <c r="AB10" i="1"/>
  <c r="AG29" i="1"/>
  <c r="AE29" i="1"/>
  <c r="AC29" i="1"/>
  <c r="V42" i="1"/>
  <c r="V43" i="1" s="1"/>
  <c r="AF31" i="1"/>
  <c r="T42" i="1"/>
  <c r="T43" i="1" s="1"/>
  <c r="T38" i="1"/>
  <c r="AF38" i="1" s="1"/>
  <c r="B43" i="1"/>
  <c r="P43" i="1" s="1"/>
  <c r="I41" i="1"/>
  <c r="E9" i="1"/>
  <c r="K41" i="1"/>
  <c r="M41" i="1"/>
  <c r="M134" i="1"/>
  <c r="M136" i="1" s="1"/>
  <c r="AI27" i="1"/>
  <c r="AJ27" i="1" s="1"/>
  <c r="V38" i="1"/>
  <c r="AB38" i="1" s="1"/>
  <c r="G41" i="1"/>
  <c r="O41" i="1"/>
  <c r="AI17" i="1"/>
  <c r="AC17" i="1"/>
  <c r="AH24" i="1"/>
  <c r="AI20" i="1"/>
  <c r="AF29" i="1"/>
  <c r="AJ35" i="3"/>
  <c r="AJ36" i="3" s="1"/>
  <c r="AA42" i="1"/>
  <c r="AA43" i="1" s="1"/>
  <c r="AF74" i="1"/>
  <c r="AI11" i="1"/>
  <c r="AB11" i="1"/>
  <c r="AI13" i="1"/>
  <c r="AB13" i="1"/>
  <c r="AD14" i="1"/>
  <c r="AI15" i="1"/>
  <c r="AB15" i="1"/>
  <c r="AH23" i="1"/>
  <c r="AH26" i="1"/>
  <c r="AG31" i="1"/>
  <c r="AI36" i="1"/>
  <c r="AJ36" i="1" s="1"/>
  <c r="H134" i="1"/>
  <c r="H41" i="1"/>
  <c r="U38" i="1"/>
  <c r="AD57" i="1"/>
  <c r="AC76" i="1"/>
  <c r="AI14" i="1"/>
  <c r="AB14" i="1"/>
  <c r="AH22" i="1"/>
  <c r="U42" i="1"/>
  <c r="U43" i="1" s="1"/>
  <c r="R45" i="1"/>
  <c r="AH35" i="3" s="1"/>
  <c r="AH36" i="3" s="1"/>
  <c r="L130" i="1"/>
  <c r="X53" i="1"/>
  <c r="AD61" i="1"/>
  <c r="AD66" i="1"/>
  <c r="AD72" i="1"/>
  <c r="AG73" i="1"/>
  <c r="D41" i="1"/>
  <c r="D134" i="1"/>
  <c r="Q38" i="1"/>
  <c r="AE52" i="1"/>
  <c r="AC54" i="1"/>
  <c r="AD115" i="1"/>
  <c r="R119" i="1"/>
  <c r="AD119" i="1" s="1"/>
  <c r="AJ19" i="1"/>
  <c r="AH16" i="1"/>
  <c r="AI25" i="1"/>
  <c r="AI26" i="1"/>
  <c r="AJ26" i="1" s="1"/>
  <c r="AH27" i="1"/>
  <c r="E42" i="1"/>
  <c r="AC31" i="1"/>
  <c r="AI33" i="1"/>
  <c r="AJ33" i="1" s="1"/>
  <c r="AI34" i="1"/>
  <c r="AJ34" i="1" s="1"/>
  <c r="AI37" i="1"/>
  <c r="AJ37" i="1" s="1"/>
  <c r="F134" i="1"/>
  <c r="S38" i="1"/>
  <c r="AE38" i="1" s="1"/>
  <c r="F41" i="1"/>
  <c r="N134" i="1"/>
  <c r="N41" i="1"/>
  <c r="AF61" i="1"/>
  <c r="AF64" i="1"/>
  <c r="AC73" i="1"/>
  <c r="AD78" i="1"/>
  <c r="AG79" i="1"/>
  <c r="AC108" i="1"/>
  <c r="AB161" i="1"/>
  <c r="AD116" i="1"/>
  <c r="AD117" i="1"/>
  <c r="AD16" i="1"/>
  <c r="AI22" i="1"/>
  <c r="AI23" i="1"/>
  <c r="AI24" i="1"/>
  <c r="R28" i="1"/>
  <c r="AH28" i="1" s="1"/>
  <c r="Y42" i="1"/>
  <c r="Y43" i="1" s="1"/>
  <c r="AE31" i="1"/>
  <c r="B134" i="1"/>
  <c r="B41" i="1"/>
  <c r="P41" i="1" s="1"/>
  <c r="L42" i="1"/>
  <c r="L133" i="1"/>
  <c r="AG54" i="1"/>
  <c r="AF56" i="1"/>
  <c r="AG58" i="1"/>
  <c r="AF66" i="1"/>
  <c r="AG68" i="1"/>
  <c r="AC75" i="1"/>
  <c r="R77" i="1"/>
  <c r="R121" i="1"/>
  <c r="AD121" i="1" s="1"/>
  <c r="X164" i="1"/>
  <c r="AB12" i="1"/>
  <c r="AJ12" i="1"/>
  <c r="AB31" i="1"/>
  <c r="AK35" i="1"/>
  <c r="AD90" i="1"/>
  <c r="AG106" i="1"/>
  <c r="AF161" i="1"/>
  <c r="AF162" i="1"/>
  <c r="B163" i="1"/>
  <c r="P163" i="1" s="1"/>
  <c r="Z163" i="1"/>
  <c r="AF163" i="1" s="1"/>
  <c r="L163" i="1"/>
  <c r="D131" i="1"/>
  <c r="Q131" i="1" s="1"/>
  <c r="Q165" i="1"/>
  <c r="R31" i="1"/>
  <c r="W38" i="1"/>
  <c r="AA38" i="1"/>
  <c r="E130" i="1"/>
  <c r="R53" i="1"/>
  <c r="E133" i="1"/>
  <c r="R54" i="1"/>
  <c r="AC81" i="1"/>
  <c r="AG83" i="1"/>
  <c r="AG85" i="1"/>
  <c r="AC114" i="1"/>
  <c r="AC124" i="1"/>
  <c r="S130" i="1"/>
  <c r="F131" i="1"/>
  <c r="S131" i="1" s="1"/>
  <c r="Z130" i="1"/>
  <c r="R164" i="1"/>
  <c r="B164" i="1"/>
  <c r="P164" i="1" s="1"/>
  <c r="W165" i="1"/>
  <c r="AG121" i="1"/>
  <c r="X135" i="1"/>
  <c r="L151" i="1"/>
  <c r="E165" i="1"/>
  <c r="R165" i="1" s="1"/>
  <c r="CU35" i="3" s="1"/>
  <c r="CU36" i="3" s="1"/>
  <c r="L165" i="1"/>
  <c r="X165" i="1" s="1"/>
  <c r="S165" i="1"/>
  <c r="AE165" i="1" s="1"/>
  <c r="R167" i="1"/>
  <c r="B167" i="1"/>
  <c r="P167" i="1" s="1"/>
  <c r="H131" i="1"/>
  <c r="U131" i="1" s="1"/>
  <c r="AF132" i="1"/>
  <c r="AF165" i="1"/>
  <c r="I167" i="1"/>
  <c r="V167" i="1" s="1"/>
  <c r="X167" i="1"/>
  <c r="X173" i="1" s="1"/>
  <c r="W130" i="1"/>
  <c r="AC130" i="1" s="1"/>
  <c r="AA130" i="1"/>
  <c r="AG130" i="1" s="1"/>
  <c r="Y130" i="1"/>
  <c r="X42" i="1" l="1"/>
  <c r="S35" i="12"/>
  <c r="S36" i="12" s="1"/>
  <c r="R170" i="1"/>
  <c r="R169" i="1"/>
  <c r="X171" i="1"/>
  <c r="AI109" i="1"/>
  <c r="X170" i="1"/>
  <c r="AD170" i="1" s="1"/>
  <c r="BU36" i="3"/>
  <c r="AD166" i="1"/>
  <c r="AI166" i="1" s="1"/>
  <c r="AI90" i="1"/>
  <c r="AF40" i="1"/>
  <c r="AB168" i="1"/>
  <c r="AK164" i="1"/>
  <c r="BA35" i="3"/>
  <c r="BA36" i="3" s="1"/>
  <c r="G38" i="5"/>
  <c r="G39" i="5" s="1"/>
  <c r="AI31" i="1"/>
  <c r="AJ31" i="1" s="1"/>
  <c r="AK31" i="1" s="1"/>
  <c r="V164" i="1"/>
  <c r="CJ35" i="3"/>
  <c r="AH21" i="1"/>
  <c r="X40" i="1"/>
  <c r="AB40" i="1"/>
  <c r="AG40" i="1"/>
  <c r="AE40" i="1"/>
  <c r="AC40" i="1"/>
  <c r="AE39" i="1"/>
  <c r="AB39" i="1"/>
  <c r="AF39" i="1"/>
  <c r="AC39" i="1"/>
  <c r="AL15" i="1"/>
  <c r="AD10" i="1"/>
  <c r="AG39" i="1"/>
  <c r="AB166" i="1"/>
  <c r="R42" i="1"/>
  <c r="R43" i="1" s="1"/>
  <c r="AZ35" i="3"/>
  <c r="DJ35" i="3"/>
  <c r="DI36" i="3"/>
  <c r="I165" i="1"/>
  <c r="V165" i="1" s="1"/>
  <c r="E43" i="1"/>
  <c r="B165" i="1"/>
  <c r="P165" i="1" s="1"/>
  <c r="CV35" i="3"/>
  <c r="CV36" i="3" s="1"/>
  <c r="R40" i="1"/>
  <c r="L38" i="1"/>
  <c r="X38" i="1" s="1"/>
  <c r="AE35" i="3" s="1"/>
  <c r="AD160" i="1"/>
  <c r="CN35" i="3"/>
  <c r="CN36" i="3" s="1"/>
  <c r="AD161" i="1"/>
  <c r="K136" i="1"/>
  <c r="L43" i="1"/>
  <c r="W134" i="1"/>
  <c r="G136" i="1"/>
  <c r="O136" i="1"/>
  <c r="AA134" i="1"/>
  <c r="AA136" i="1" s="1"/>
  <c r="G150" i="1"/>
  <c r="T150" i="1" s="1"/>
  <c r="I136" i="1"/>
  <c r="V134" i="1"/>
  <c r="V136" i="1" s="1"/>
  <c r="AD52" i="1"/>
  <c r="AF130" i="1"/>
  <c r="E38" i="1"/>
  <c r="E134" i="1" s="1"/>
  <c r="Y134" i="1"/>
  <c r="Y136" i="1" s="1"/>
  <c r="AI21" i="1"/>
  <c r="AH9" i="1"/>
  <c r="AD39" i="1"/>
  <c r="AK38" i="1"/>
  <c r="AB167" i="1"/>
  <c r="AD165" i="1"/>
  <c r="AD29" i="1"/>
  <c r="AI29" i="1"/>
  <c r="AJ29" i="1" s="1"/>
  <c r="AD53" i="1"/>
  <c r="X43" i="1"/>
  <c r="M150" i="1"/>
  <c r="Y150" i="1" s="1"/>
  <c r="H150" i="1"/>
  <c r="U150" i="1" s="1"/>
  <c r="AG150" i="1" s="1"/>
  <c r="H136" i="1"/>
  <c r="U134" i="1"/>
  <c r="U136" i="1" s="1"/>
  <c r="AD167" i="1"/>
  <c r="AI167" i="1" s="1"/>
  <c r="I163" i="1"/>
  <c r="V163" i="1" s="1"/>
  <c r="AB163" i="1" s="1"/>
  <c r="X163" i="1"/>
  <c r="AD163" i="1" s="1"/>
  <c r="F150" i="1"/>
  <c r="S150" i="1" s="1"/>
  <c r="F136" i="1"/>
  <c r="S134" i="1"/>
  <c r="S136" i="1" s="1"/>
  <c r="X130" i="1"/>
  <c r="AL35" i="3" s="1"/>
  <c r="L131" i="1"/>
  <c r="X131" i="1" s="1"/>
  <c r="AE130" i="1"/>
  <c r="E131" i="1"/>
  <c r="R131" i="1" s="1"/>
  <c r="R130" i="1"/>
  <c r="AK35" i="3" s="1"/>
  <c r="AK36" i="3" s="1"/>
  <c r="AD164" i="1"/>
  <c r="AI164" i="1" s="1"/>
  <c r="AD31" i="1"/>
  <c r="N150" i="1"/>
  <c r="Z150" i="1" s="1"/>
  <c r="Z134" i="1"/>
  <c r="Z136" i="1" s="1"/>
  <c r="N136" i="1"/>
  <c r="D150" i="1"/>
  <c r="Q150" i="1" s="1"/>
  <c r="AC150" i="1" s="1"/>
  <c r="Q134" i="1"/>
  <c r="D136" i="1"/>
  <c r="AC165" i="1"/>
  <c r="AG38" i="1"/>
  <c r="B150" i="1"/>
  <c r="P150" i="1" s="1"/>
  <c r="AB150" i="1" s="1"/>
  <c r="B136" i="1"/>
  <c r="P136" i="1"/>
  <c r="AM20" i="1" l="1"/>
  <c r="AK21" i="1"/>
  <c r="AI165" i="1"/>
  <c r="CW35" i="3"/>
  <c r="CW36" i="3" s="1"/>
  <c r="Q136" i="1"/>
  <c r="Q172" i="1"/>
  <c r="W136" i="1"/>
  <c r="W173" i="1"/>
  <c r="W172" i="1"/>
  <c r="AL23" i="1"/>
  <c r="AK20" i="1"/>
  <c r="AL20" i="1"/>
  <c r="AB164" i="1"/>
  <c r="AJ164" i="1"/>
  <c r="AD40" i="1"/>
  <c r="L41" i="1"/>
  <c r="E41" i="1"/>
  <c r="AM35" i="3"/>
  <c r="AL36" i="3"/>
  <c r="AE36" i="3"/>
  <c r="L134" i="1"/>
  <c r="X134" i="1" s="1"/>
  <c r="AI38" i="1"/>
  <c r="AJ38" i="1" s="1"/>
  <c r="AZ36" i="3"/>
  <c r="BB35" i="3"/>
  <c r="AF150" i="1"/>
  <c r="R38" i="1"/>
  <c r="AE150" i="1"/>
  <c r="R134" i="1"/>
  <c r="E136" i="1"/>
  <c r="E150" i="1"/>
  <c r="R150" i="1" s="1"/>
  <c r="AD130" i="1"/>
  <c r="AB165" i="1"/>
  <c r="X136" i="1" l="1"/>
  <c r="CT35" i="3"/>
  <c r="CT36" i="3" s="1"/>
  <c r="R136" i="1"/>
  <c r="CS35" i="3"/>
  <c r="CS36" i="3" s="1"/>
  <c r="L150" i="1"/>
  <c r="X150" i="1" s="1"/>
  <c r="AD150" i="1" s="1"/>
  <c r="L136" i="1"/>
  <c r="AD38" i="1"/>
  <c r="AD35" i="3"/>
  <c r="AD36" i="3" l="1"/>
  <c r="AF35" i="3"/>
</calcChain>
</file>

<file path=xl/comments1.xml><?xml version="1.0" encoding="utf-8"?>
<comments xmlns="http://schemas.openxmlformats.org/spreadsheetml/2006/main">
  <authors>
    <author>Алексей Кичёв</author>
  </authors>
  <commentList>
    <comment ref="E164" authorId="0" shapeId="0">
      <text>
        <r>
          <rPr>
            <b/>
            <sz val="9"/>
            <color indexed="81"/>
            <rFont val="Tahoma"/>
            <family val="2"/>
            <charset val="204"/>
          </rPr>
          <t>Исключил МО Мезенский район - должен поселениям</t>
        </r>
      </text>
    </comment>
  </commentList>
</comments>
</file>

<file path=xl/sharedStrings.xml><?xml version="1.0" encoding="utf-8"?>
<sst xmlns="http://schemas.openxmlformats.org/spreadsheetml/2006/main" count="2816" uniqueCount="1175">
  <si>
    <t>Приложение № 1</t>
  </si>
  <si>
    <t>Показатели</t>
  </si>
  <si>
    <t>Процент выполнения (%)</t>
  </si>
  <si>
    <t>Консоли-дирован-ный бюджет области</t>
  </si>
  <si>
    <t>в том числе бюджеты:</t>
  </si>
  <si>
    <t>из них бюджеты:</t>
  </si>
  <si>
    <t>суммы подлежащие исключению</t>
  </si>
  <si>
    <t>област-ной</t>
  </si>
  <si>
    <t>консоли-дирован-ные бюджеты МО</t>
  </si>
  <si>
    <t>в т.ч.:</t>
  </si>
  <si>
    <t>город-ские</t>
  </si>
  <si>
    <t>район-ные</t>
  </si>
  <si>
    <t>поселе-ний</t>
  </si>
  <si>
    <t>посе-лений</t>
  </si>
  <si>
    <t>А</t>
  </si>
  <si>
    <t>1</t>
  </si>
  <si>
    <t>2</t>
  </si>
  <si>
    <t>3</t>
  </si>
  <si>
    <t>7</t>
  </si>
  <si>
    <t>8</t>
  </si>
  <si>
    <t>9</t>
  </si>
  <si>
    <t>13=7/1*100</t>
  </si>
  <si>
    <t>14=8/2*100</t>
  </si>
  <si>
    <t>15=9/3*100</t>
  </si>
  <si>
    <t>16=10/4*100</t>
  </si>
  <si>
    <t>17=11/5*100</t>
  </si>
  <si>
    <t>18=12/6*100</t>
  </si>
  <si>
    <t>ДОХОДЫ (по форме 0503317)</t>
  </si>
  <si>
    <t>Доходы бюджета - ИТОГО - спрятать</t>
  </si>
  <si>
    <t>Налоговые и неналоговые доходы, из них:</t>
  </si>
  <si>
    <t>Налог на прибыль организаций</t>
  </si>
  <si>
    <t>-</t>
  </si>
  <si>
    <t>Налог на доходы физических лиц</t>
  </si>
  <si>
    <t>Акцизы</t>
  </si>
  <si>
    <t>Налоги на совокупный доход</t>
  </si>
  <si>
    <t>Налоги на имущество</t>
  </si>
  <si>
    <t>Налоги, сборы и регулярные платежи за пользование природными ресурсами</t>
  </si>
  <si>
    <t>Государственная пошлина</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</si>
  <si>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</si>
  <si>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</si>
  <si>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Платежи при пользовании природными ресурсами</t>
  </si>
  <si>
    <t>Доходы от оказания платных услуг (работ) и компенсации затрат государства</t>
  </si>
  <si>
    <t>Доходы от продажи активов</t>
  </si>
  <si>
    <t>Административные платежи и сборы</t>
  </si>
  <si>
    <t>Штрафы, санкции, возмещение ущерба</t>
  </si>
  <si>
    <t>Прочие неналоговые доходы</t>
  </si>
  <si>
    <t xml:space="preserve"> - из них: невыясненные поступления</t>
  </si>
  <si>
    <t>Поступления (перечисления) по урегулированию расчетов между бюджетами</t>
  </si>
  <si>
    <t>Безвозмездные поступления, в т.ч.:</t>
  </si>
  <si>
    <t>1. От нерезидентов</t>
  </si>
  <si>
    <t>1. От других бюджетов</t>
  </si>
  <si>
    <t>2. Безвозмездные поступления от государственных (муниципальных) организаций</t>
  </si>
  <si>
    <t>3. Безвозмездные поступления от негосударственных  организаций</t>
  </si>
  <si>
    <t>4. Прочие безвозмездные поступления</t>
  </si>
  <si>
    <t>5.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</si>
  <si>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6. Доходы от возврата целевых остатков прошлых лет</t>
  </si>
  <si>
    <t>7. Возврат целевых остатков прошлых лет</t>
  </si>
  <si>
    <t>ВСЕГО ДОХОДЫ, из них:</t>
  </si>
  <si>
    <t xml:space="preserve"> - налоговые доходы</t>
  </si>
  <si>
    <t xml:space="preserve"> - неналоговые доходы</t>
  </si>
  <si>
    <t>Контроль - спрятать</t>
  </si>
  <si>
    <t>Итого безвозмездные</t>
  </si>
  <si>
    <t>Отклонение</t>
  </si>
  <si>
    <t>Отклонения в доходах получено поселениями от районов и в расходах - отдано в районах межбюджетных</t>
  </si>
  <si>
    <t>посе-ле-ний</t>
  </si>
  <si>
    <t>РАСХОДЫ (по форме 0503317)</t>
  </si>
  <si>
    <r>
      <t xml:space="preserve">Расходы - </t>
    </r>
    <r>
      <rPr>
        <b/>
        <sz val="10"/>
        <color indexed="10"/>
        <rFont val="Arial"/>
        <family val="2"/>
        <charset val="204"/>
      </rPr>
      <t>спрятать</t>
    </r>
  </si>
  <si>
    <t>Общегосударственные вопросы (01)</t>
  </si>
  <si>
    <t>в т.ч. межбюджетные трансферты</t>
  </si>
  <si>
    <t>Национальная оборона (02)</t>
  </si>
  <si>
    <t>Национальная безопасность и правоохранительная деятельность (03)</t>
  </si>
  <si>
    <t>Национальная экономика (04), из них:</t>
  </si>
  <si>
    <t xml:space="preserve"> - общеэкономические вопросы (0401)</t>
  </si>
  <si>
    <t xml:space="preserve"> - топливно-энергетический комплекс (0402)</t>
  </si>
  <si>
    <t xml:space="preserve">   в т.ч межбюджетные трансферты</t>
  </si>
  <si>
    <t xml:space="preserve"> - сельское хозяйство и рыболовство (0405)</t>
  </si>
  <si>
    <t xml:space="preserve"> - водное хозяйство (0406)</t>
  </si>
  <si>
    <t xml:space="preserve"> - лесное хозяйство (0407)</t>
  </si>
  <si>
    <t xml:space="preserve"> - транспорт (0408)</t>
  </si>
  <si>
    <t xml:space="preserve"> - дорожное хозяйство, фонды (0409)</t>
  </si>
  <si>
    <t xml:space="preserve"> - связь и информатика (0410)</t>
  </si>
  <si>
    <t xml:space="preserve"> - другие вопросы в области национальной экономики (0412)</t>
  </si>
  <si>
    <t>Жилищно-коммунальное хозяйство (05), из них:</t>
  </si>
  <si>
    <t xml:space="preserve"> - жилищное хозяйство (0501)</t>
  </si>
  <si>
    <t xml:space="preserve"> - коммунальное хозяйство (0502)</t>
  </si>
  <si>
    <t xml:space="preserve"> - благоустройство (0503)</t>
  </si>
  <si>
    <t xml:space="preserve"> - другие вопросы в области жилищно-коммунального хозяйства (0505)</t>
  </si>
  <si>
    <t>Охрана окружающей среды (06)</t>
  </si>
  <si>
    <t>Культура, кинематография (08)</t>
  </si>
  <si>
    <t>Здравоохранение (09), из них:</t>
  </si>
  <si>
    <t xml:space="preserve"> - стационарная медицинская помощь (0901)</t>
  </si>
  <si>
    <t xml:space="preserve"> - амбулаторная помощь (0902)</t>
  </si>
  <si>
    <t xml:space="preserve"> - другие вопросы в области здравоохранения (0909)</t>
  </si>
  <si>
    <t>Социальная политика (1000), из них:</t>
  </si>
  <si>
    <t xml:space="preserve"> - социальное обслуживание населения (1002)</t>
  </si>
  <si>
    <t xml:space="preserve"> - социальное обеспечение населения (1003)</t>
  </si>
  <si>
    <t xml:space="preserve"> - охрана семьи и детства (1004)</t>
  </si>
  <si>
    <t>Физическая культура и спорт (1100)</t>
  </si>
  <si>
    <t>Средства массовой информации (1200)</t>
  </si>
  <si>
    <t>Обслуживание гос. и муниципального долга (1300)</t>
  </si>
  <si>
    <t>Межбюджетные трансферты общего характера (1400)</t>
  </si>
  <si>
    <t xml:space="preserve"> -  дотации на выравнивание бюджетной обеспеченности</t>
  </si>
  <si>
    <t xml:space="preserve"> - иные дотации</t>
  </si>
  <si>
    <t xml:space="preserve"> - прочие межбюджетные трансферты общего характера</t>
  </si>
  <si>
    <t>ВСЕГО РАСХОДЫ</t>
  </si>
  <si>
    <t>контроль - спрятать</t>
  </si>
  <si>
    <t>контроль межбюджетных - спрятать</t>
  </si>
  <si>
    <t>РЕЗУЛЬТАТ ИСПОЛНЕНИЯ БЮДЖЕТОВ:                   дефицит (-),  профицит (+)</t>
  </si>
  <si>
    <t>х</t>
  </si>
  <si>
    <t>результат по отчету - спрятать</t>
  </si>
  <si>
    <t>Контроль результата - спрятать</t>
  </si>
  <si>
    <t>Источники финансирования дефицита бюджетов (по форме 0503317), в т.ч.:</t>
  </si>
  <si>
    <t>Кредиты кредитных организаций (оборот)</t>
  </si>
  <si>
    <t>Бюджетные кредиты (оборот)</t>
  </si>
  <si>
    <t>Средства от продажи акций и иных форм участия в капитале</t>
  </si>
  <si>
    <t>Исполнение государственных и муниципальных гарантий</t>
  </si>
  <si>
    <t>Возврат бюджетных кредитов</t>
  </si>
  <si>
    <t>Операции по управлению остатками средств на единых счетах бюджетов (оборот)</t>
  </si>
  <si>
    <t>Изменение остатков средств бюджетов (оборот)</t>
  </si>
  <si>
    <t>СПРАВОЧНО:</t>
  </si>
  <si>
    <t>Изменение (+/-), млн.руб.</t>
  </si>
  <si>
    <t xml:space="preserve">  целевые (ф. 0503387), в т.ч.:</t>
  </si>
  <si>
    <t xml:space="preserve">         - федерального бюджета</t>
  </si>
  <si>
    <t xml:space="preserve">         - областного бюджета</t>
  </si>
  <si>
    <t>Внутренний долг, в т.ч.:</t>
  </si>
  <si>
    <t xml:space="preserve"> - по бюджетным кредитам</t>
  </si>
  <si>
    <t xml:space="preserve"> - по кредитам кредитных организаций</t>
  </si>
  <si>
    <t xml:space="preserve"> - по выданным гарантиям</t>
  </si>
  <si>
    <t>Остатки на счетах бюджета (сч. 202.10 ф. 0503320, 0503387), из них:</t>
  </si>
  <si>
    <t>Бюджеты</t>
  </si>
  <si>
    <t>ДОХОДЫ, всего с внутренними оборотами</t>
  </si>
  <si>
    <t>Межбюджетные трансферты в расходах - внутренние обороты (ВР 500 по разделам и подразделам)</t>
  </si>
  <si>
    <t>РАСХОДЫ, всего с внутренними оборотами</t>
  </si>
  <si>
    <t>Итого ДОХОДЫ</t>
  </si>
  <si>
    <t>Итого ДОХОДЫ - сайт Правительства АО, по месячной форме</t>
  </si>
  <si>
    <t>Итого РАСХОДЫ</t>
  </si>
  <si>
    <t>Безвозмездые поступления от других бюджетов, всего с внутренними оборотами</t>
  </si>
  <si>
    <t>Безвозмездные из областного бюджета</t>
  </si>
  <si>
    <t>Налоговые и неналоговые доходы</t>
  </si>
  <si>
    <t>Доходы от продажи материальных и нематериальных активов</t>
  </si>
  <si>
    <t>в т.ч.</t>
  </si>
  <si>
    <t>Результат исполнения бюджета</t>
  </si>
  <si>
    <t>Безвозмездные поступления ВСЕГО, с внутренними оборотами</t>
  </si>
  <si>
    <t>НДФЛ</t>
  </si>
  <si>
    <t>Назначено</t>
  </si>
  <si>
    <t>Исполнено</t>
  </si>
  <si>
    <t>%</t>
  </si>
  <si>
    <t>целевые (ф. 387)</t>
  </si>
  <si>
    <t>целевые</t>
  </si>
  <si>
    <t>целевых</t>
  </si>
  <si>
    <t>город</t>
  </si>
  <si>
    <t>район</t>
  </si>
  <si>
    <t>посел. гор.</t>
  </si>
  <si>
    <t>посел. сель</t>
  </si>
  <si>
    <t>ВСЕГО в тыс.руб.</t>
  </si>
  <si>
    <t>Неправильно отражено</t>
  </si>
  <si>
    <t>итого</t>
  </si>
  <si>
    <t>всего руб.</t>
  </si>
  <si>
    <t>Вельский район</t>
  </si>
  <si>
    <t>Верхнетоемский район</t>
  </si>
  <si>
    <t>Вилегодский район</t>
  </si>
  <si>
    <t>Виноградовский район</t>
  </si>
  <si>
    <t>Каргопольский район</t>
  </si>
  <si>
    <t>Коношский район</t>
  </si>
  <si>
    <t>Котласский район</t>
  </si>
  <si>
    <t>Красноборский район</t>
  </si>
  <si>
    <t>Ленский район</t>
  </si>
  <si>
    <t>Лешуконский район</t>
  </si>
  <si>
    <t>Мезенский район</t>
  </si>
  <si>
    <t>Няндомский район</t>
  </si>
  <si>
    <t>Онежский район</t>
  </si>
  <si>
    <t>Пинежский район</t>
  </si>
  <si>
    <t>Плесецкий район</t>
  </si>
  <si>
    <t>Приморский район</t>
  </si>
  <si>
    <t>Устьянский район</t>
  </si>
  <si>
    <t>Холмогорский район</t>
  </si>
  <si>
    <t>Шенкурский район</t>
  </si>
  <si>
    <t>Город Архангельск</t>
  </si>
  <si>
    <t>Северодвинск</t>
  </si>
  <si>
    <t>Котлас</t>
  </si>
  <si>
    <t>Город Новодвинск</t>
  </si>
  <si>
    <t>Город Коряжма</t>
  </si>
  <si>
    <t>Мирный</t>
  </si>
  <si>
    <t>Новая Земля</t>
  </si>
  <si>
    <t>Итого по МО</t>
  </si>
  <si>
    <t>Приложение № 2</t>
  </si>
  <si>
    <t>тыс.руб.</t>
  </si>
  <si>
    <t>Консолидированные бюджеты</t>
  </si>
  <si>
    <t>Доходы</t>
  </si>
  <si>
    <t>Расходы</t>
  </si>
  <si>
    <t>назначено на год</t>
  </si>
  <si>
    <t>исполнено</t>
  </si>
  <si>
    <t>Всего</t>
  </si>
  <si>
    <t>в т.ч. целевых</t>
  </si>
  <si>
    <t>3=2/1</t>
  </si>
  <si>
    <t>4</t>
  </si>
  <si>
    <t>5=4/3</t>
  </si>
  <si>
    <t>6</t>
  </si>
  <si>
    <t>10</t>
  </si>
  <si>
    <t>11</t>
  </si>
  <si>
    <t>12</t>
  </si>
  <si>
    <t>Приложение № 3</t>
  </si>
  <si>
    <t>из них:</t>
  </si>
  <si>
    <t>налог на доходы физических лиц</t>
  </si>
  <si>
    <t>налоги на совокупный доход</t>
  </si>
  <si>
    <t>налоги на имущество</t>
  </si>
  <si>
    <t>5</t>
  </si>
  <si>
    <t>13</t>
  </si>
  <si>
    <t>14</t>
  </si>
  <si>
    <t>15</t>
  </si>
  <si>
    <t>16</t>
  </si>
  <si>
    <t>17</t>
  </si>
  <si>
    <t>18</t>
  </si>
  <si>
    <t>доходы от использования миущества, находящегося в собственности</t>
  </si>
  <si>
    <t>доходы от продажи активов</t>
  </si>
  <si>
    <t>Сайт Пр-ва АО</t>
  </si>
  <si>
    <t>субсидии</t>
  </si>
  <si>
    <t>субвенции</t>
  </si>
  <si>
    <t>дотации</t>
  </si>
  <si>
    <t>иные межбюд-жетные</t>
  </si>
  <si>
    <t>ИТОГО</t>
  </si>
  <si>
    <t>Приложение № 4</t>
  </si>
  <si>
    <t>табл. Конс. Расчсетов</t>
  </si>
  <si>
    <t>отклоние</t>
  </si>
  <si>
    <t>Просроченная кредиторская задолженность (ф. 0503369)</t>
  </si>
  <si>
    <t>Внутренний долг</t>
  </si>
  <si>
    <t>7=4-1</t>
  </si>
  <si>
    <t>8=5-2</t>
  </si>
  <si>
    <t>9=6-3</t>
  </si>
  <si>
    <t>10=4/1*100-100</t>
  </si>
  <si>
    <t>11=5/2*100-100</t>
  </si>
  <si>
    <t>12=6/3*100-100</t>
  </si>
  <si>
    <t>Налоги на имущество, из них:</t>
  </si>
  <si>
    <t xml:space="preserve">  - налог на имущество физических лиц</t>
  </si>
  <si>
    <t xml:space="preserve">  - налог на имущество организаций</t>
  </si>
  <si>
    <t xml:space="preserve">  - транспортный налог</t>
  </si>
  <si>
    <t xml:space="preserve">  - земельный налог</t>
  </si>
  <si>
    <t>Налоги, сборы и регулярные платежи за пользование природными ресурсами, из них:</t>
  </si>
  <si>
    <t xml:space="preserve">  - налог на добычу полезных ископаемых в виде природных алмазов</t>
  </si>
  <si>
    <t>Платежи при пользовании природными ресурсами, из них:</t>
  </si>
  <si>
    <t xml:space="preserve">  - плата за негативное воздействие на окружающую среду</t>
  </si>
  <si>
    <t xml:space="preserve">  - платежи при пользовании недрами</t>
  </si>
  <si>
    <t xml:space="preserve">  - плата за использование лесов</t>
  </si>
  <si>
    <t xml:space="preserve">  - доходы от оказания платных услуг (работ)</t>
  </si>
  <si>
    <t xml:space="preserve">  -доходы от компенсации затрат государства</t>
  </si>
  <si>
    <t>ВСЕГО ДОХОДЫиз них:</t>
  </si>
  <si>
    <t>01 00. Общегосударственные вопросы</t>
  </si>
  <si>
    <t>01 02. Функционирование высшего должностного лица субъекта РФ и муниципального образования</t>
  </si>
  <si>
    <t>01 03. Функционирование законодательных (представительных) органов государственной власти и представительных органов муниципальных образований</t>
  </si>
  <si>
    <t>01 04. Функционирование Правительства РФ, высших исполнительных органов государственной власти субъектов РФ, местных администраций</t>
  </si>
  <si>
    <t>01 05. Судебная система</t>
  </si>
  <si>
    <t>01 06. Обеспечение деятельности финансовых, налоговых и таможенных органов и органов финансового (финансово-бюджетного) надзора</t>
  </si>
  <si>
    <t>01 07. Обеспечение проведения выборов и референдумов</t>
  </si>
  <si>
    <t>01 11. Резервные фонды</t>
  </si>
  <si>
    <t>01 12. Прикладные научные исследования в области общегосударственных вопросов</t>
  </si>
  <si>
    <t>01 13. Другие общегосударственные вопросы</t>
  </si>
  <si>
    <t>02 00. Национальная оборона</t>
  </si>
  <si>
    <t>02 03. Мобилизационная и вневойсковая подготовка</t>
  </si>
  <si>
    <t>03 00. Национальная безопасность и правоохранительная деятельность</t>
  </si>
  <si>
    <t>03 02. Органы внутренних дел</t>
  </si>
  <si>
    <t>03 09. Защита населения и территории от чрезвычайных ситуаций природного и техногенного характера, гражданская оборона</t>
  </si>
  <si>
    <t>03 10. Обеспечение пожарной безопасности</t>
  </si>
  <si>
    <t>03 14. Другие вопросы в области национальной безопасности и правоохранительной деятельности</t>
  </si>
  <si>
    <t>04 00. Национальная экономика</t>
  </si>
  <si>
    <t>04 01. Общеэкономические вопросы</t>
  </si>
  <si>
    <t>04 02. Топливно-энергетический комплекс</t>
  </si>
  <si>
    <t>04 05. Сельское хозяйство и рыболовство</t>
  </si>
  <si>
    <t>04 06. Водное хозяйство</t>
  </si>
  <si>
    <t>04 07. Лесное хозяйство</t>
  </si>
  <si>
    <t>04 08. Транспорт</t>
  </si>
  <si>
    <t>04 09. Дорожное хозяйство (дорожные фонды)</t>
  </si>
  <si>
    <t>04 10. Связь и информатика</t>
  </si>
  <si>
    <t>04 12. Другие вопросы в области национальной экономики</t>
  </si>
  <si>
    <t>05 00. Жилищно-коммунальное хозяйство</t>
  </si>
  <si>
    <t>05 01. Жилищное хозяйство</t>
  </si>
  <si>
    <t>05 02. Комунальное хозяйство</t>
  </si>
  <si>
    <t>05 03. Благоустройство</t>
  </si>
  <si>
    <t>05 05. Другие вопросы в области жилищно-коммунального хозяйства</t>
  </si>
  <si>
    <t>06 00. Охрана окружающей среды</t>
  </si>
  <si>
    <t>06 02. Сбор, удаление отходов и очистка сточных вод</t>
  </si>
  <si>
    <t>06 03. Охрана объектов растительного и животного мира и среды их обитания</t>
  </si>
  <si>
    <t>06 05. Другие вопросы в области охраны окружающей среды</t>
  </si>
  <si>
    <t>07 00. Образование</t>
  </si>
  <si>
    <t>07 01. Дошкольное образование</t>
  </si>
  <si>
    <t>07 02. Общее образование</t>
  </si>
  <si>
    <t>07 04. Среднее профессиональное образование</t>
  </si>
  <si>
    <t>07 05. Профессиональная подготовка, переподготовка и повышение квалификации</t>
  </si>
  <si>
    <t>07 08. Прикладные научные исследования в области образования</t>
  </si>
  <si>
    <t>07 09. Другие вопросы в области образования</t>
  </si>
  <si>
    <t>08 00. Культура, кинематография</t>
  </si>
  <si>
    <t>08 01. Культура</t>
  </si>
  <si>
    <t>08 04. Другие вопросы в области культуры, кинематографии</t>
  </si>
  <si>
    <t>09 00. Здравоохранение</t>
  </si>
  <si>
    <t>09 01. Стационарная медицинская помощь</t>
  </si>
  <si>
    <t>09 02. Амбулаторная помощь</t>
  </si>
  <si>
    <t>09 04. Скорая медицинская помощь</t>
  </si>
  <si>
    <t>09 05. Санаторно-оздоровительная помощь</t>
  </si>
  <si>
    <t>09 06. Заготовка, переработка, хранение и обеспечение безопасности донорской крови и её компонентов</t>
  </si>
  <si>
    <t>09 07. Санитарно-эпидемиологическое благополучие</t>
  </si>
  <si>
    <t>09 09. Другие вопросы в области здравоохранения</t>
  </si>
  <si>
    <t>10 00. Социальная политика</t>
  </si>
  <si>
    <t>10 01. Пенсионное обеспечение</t>
  </si>
  <si>
    <t>10 02. Социальное обслуживание населения</t>
  </si>
  <si>
    <t>10 04. Охрана семьи и детства</t>
  </si>
  <si>
    <t>10 06. Другие вопросы в области социальной политики</t>
  </si>
  <si>
    <t>11 00. Физическая культура и спорт</t>
  </si>
  <si>
    <t>11 01. Физическая культура</t>
  </si>
  <si>
    <t>11 02. Массовый спорт</t>
  </si>
  <si>
    <t>11 03. Спорт высших достижений</t>
  </si>
  <si>
    <t>11 05. Другие вопросы в области физической культуры и спорта</t>
  </si>
  <si>
    <t>12 00. Средства массовой информации</t>
  </si>
  <si>
    <t>12 01. Телевидение и радиовещание</t>
  </si>
  <si>
    <t>12 02. Периодическая печать и издательства</t>
  </si>
  <si>
    <t>12 04. Другие вопросы в области средств массовой информации</t>
  </si>
  <si>
    <t>13 00. Обслуживание государственного и муниципального долга</t>
  </si>
  <si>
    <t>13 01. Обслуживание государственного внутреннего и муниципального долга</t>
  </si>
  <si>
    <t>14 00. Межбюджетные трансферты общего характера бюджетам субъектов РФ и муниципальных образований</t>
  </si>
  <si>
    <t>14 01. Дотации на выравнивание бюджетной обеспеченности субъектов РФ и муниципальных образований</t>
  </si>
  <si>
    <t>14 02. Иные дотации</t>
  </si>
  <si>
    <t>14 03. Прочие межбюджетные трансферты общего характера</t>
  </si>
  <si>
    <t xml:space="preserve"> - межбюджетные</t>
  </si>
  <si>
    <t>Операции по управлению остатками средств на единых счетах бюджетов</t>
  </si>
  <si>
    <t>09 03. Медицинская помощь в дневных стационарах всех типов</t>
  </si>
  <si>
    <t>Наименование</t>
  </si>
  <si>
    <t>ДОХОДЫ</t>
  </si>
  <si>
    <t>РАСХОДЫ</t>
  </si>
  <si>
    <t>бюд-жетные</t>
  </si>
  <si>
    <t>Областные учреждения</t>
  </si>
  <si>
    <t>Всего по области</t>
  </si>
  <si>
    <t>бюджетные</t>
  </si>
  <si>
    <t>Итого</t>
  </si>
  <si>
    <t>Дебиторская задолженность</t>
  </si>
  <si>
    <t>Кредиторская задолженность</t>
  </si>
  <si>
    <t>ВСЕГО</t>
  </si>
  <si>
    <t>из нее:</t>
  </si>
  <si>
    <t>Бюд-жетные</t>
  </si>
  <si>
    <t>просро-ченная</t>
  </si>
  <si>
    <t>всего</t>
  </si>
  <si>
    <t>в т.ч. просроч.</t>
  </si>
  <si>
    <t>Кредиторская задолженность, ф. 369, в тыс.руб., исключен счет 302.51 поселений</t>
  </si>
  <si>
    <t>Всего, (+,-) в %</t>
  </si>
  <si>
    <t>Уд. вес. просро-ченной, в %</t>
  </si>
  <si>
    <t>3=2/1%</t>
  </si>
  <si>
    <t>6=5/4%</t>
  </si>
  <si>
    <t>7=4/1%-100</t>
  </si>
  <si>
    <t>8=5/2%-100</t>
  </si>
  <si>
    <t>просро-ченной, (+,-) в %</t>
  </si>
  <si>
    <t>Уд. веса просро-ченной, (+,-) % пунктов</t>
  </si>
  <si>
    <t>07 03. Дополнительное образование детей</t>
  </si>
  <si>
    <t>07 07. Молодежная политика</t>
  </si>
  <si>
    <t>10 03. Социальное обеспечение населения</t>
  </si>
  <si>
    <t xml:space="preserve"> - дошкольное образование (0701)</t>
  </si>
  <si>
    <t xml:space="preserve"> - общее образование (0702)</t>
  </si>
  <si>
    <t xml:space="preserve"> - дополнительное образование детей (0703)</t>
  </si>
  <si>
    <t xml:space="preserve"> - среднее профессиональное образование (0704)</t>
  </si>
  <si>
    <t xml:space="preserve"> - профессиональная подготовка, переподготовка и повышение квалификации (0705)</t>
  </si>
  <si>
    <t xml:space="preserve"> - молодежная политика (0707)</t>
  </si>
  <si>
    <t xml:space="preserve"> - прикладные научные исследования в области образования (0708)</t>
  </si>
  <si>
    <t xml:space="preserve"> - другие вопросы в области образования (0709)</t>
  </si>
  <si>
    <t xml:space="preserve"> - скорая медицинская помощь (0904)</t>
  </si>
  <si>
    <t>Образование (07), из них:</t>
  </si>
  <si>
    <t>иные</t>
  </si>
  <si>
    <t>субси-дии</t>
  </si>
  <si>
    <t>дота-ции</t>
  </si>
  <si>
    <t>уд. вес.</t>
  </si>
  <si>
    <t>субсидии (911)</t>
  </si>
  <si>
    <t>субвенции (912)</t>
  </si>
  <si>
    <t>дотации (913)</t>
  </si>
  <si>
    <t>иные межбюд-жетные (914)</t>
  </si>
  <si>
    <t>суб-вен-ции</t>
  </si>
  <si>
    <t>Рост, снижение в % к аналогичному периоду прошлого года</t>
  </si>
  <si>
    <t>ф. 317 доходы</t>
  </si>
  <si>
    <t xml:space="preserve">  - единый сельскохозяйственный налог</t>
  </si>
  <si>
    <t xml:space="preserve"> - налог, взимаемый в связи с применением упрощенной системы налогообложения</t>
  </si>
  <si>
    <t xml:space="preserve"> - единый налог на вмененный доход для отдельных видов деятельности</t>
  </si>
  <si>
    <t xml:space="preserve">  - налог, взимаемый в связи с применением патентной системы налогообложения</t>
  </si>
  <si>
    <t xml:space="preserve"> +,- к прошлому периоду</t>
  </si>
  <si>
    <t>иные межбюджетные</t>
  </si>
  <si>
    <t>Налоги на совокупный доход, из них:</t>
  </si>
  <si>
    <t>Доходы от оказания платных услуг (работ) и компенсации затрат государства, из них:</t>
  </si>
  <si>
    <t>Приложение № 8</t>
  </si>
  <si>
    <t>Приложение № 7</t>
  </si>
  <si>
    <t>Приложение № 9</t>
  </si>
  <si>
    <t>Приложение № 10</t>
  </si>
  <si>
    <t>% выполнения к годовому плану</t>
  </si>
  <si>
    <t>Приложение № 6</t>
  </si>
  <si>
    <t>млн.рублей</t>
  </si>
  <si>
    <t>Областной бюджет</t>
  </si>
  <si>
    <t>вн. Обороты</t>
  </si>
  <si>
    <t>Показатели на 01.01.2018 год (руб.)</t>
  </si>
  <si>
    <t>Показатели на 01.01.2018 года (млн.руб.)</t>
  </si>
  <si>
    <t>Внутренний долг на 01.01.2018</t>
  </si>
  <si>
    <t>Изменение остатков за  2017</t>
  </si>
  <si>
    <t>на 01.01.2018</t>
  </si>
  <si>
    <t>Единый сельскохозяйственный налог (исполнено)</t>
  </si>
  <si>
    <t>Изменения за  год</t>
  </si>
  <si>
    <t>Изменение за год</t>
  </si>
  <si>
    <t>собствен-нные и ОМС</t>
  </si>
  <si>
    <t>на гос. задание</t>
  </si>
  <si>
    <t>на гос. и муниц. задание</t>
  </si>
  <si>
    <t>иные цели</t>
  </si>
  <si>
    <t>Остатки средств, с учетом в пути, без временного распоряжения</t>
  </si>
  <si>
    <t>собст-вен-нные и ОМС</t>
  </si>
  <si>
    <t>из них субсидии:</t>
  </si>
  <si>
    <t>Минстрой</t>
  </si>
  <si>
    <t>Минлеспром</t>
  </si>
  <si>
    <t>Минздрав</t>
  </si>
  <si>
    <t>Инспекция по памятникам</t>
  </si>
  <si>
    <t>Минкультуры</t>
  </si>
  <si>
    <t>Минсвязи</t>
  </si>
  <si>
    <t>Минобрнауки</t>
  </si>
  <si>
    <t>Минагропромторг</t>
  </si>
  <si>
    <t>Минтранс</t>
  </si>
  <si>
    <t>Минэкономразвития</t>
  </si>
  <si>
    <t>Минтрудсоцразвития</t>
  </si>
  <si>
    <t>Минимущество</t>
  </si>
  <si>
    <t>Агентство ГПС и ГЗ</t>
  </si>
  <si>
    <t>Агенство по спорту</t>
  </si>
  <si>
    <t>Администрация ГАО и ПАО</t>
  </si>
  <si>
    <t>Контрактное агентство</t>
  </si>
  <si>
    <t>Инспекция по ветнадзору</t>
  </si>
  <si>
    <t>Бюджетные</t>
  </si>
  <si>
    <t>Собствен-ные и ОМС</t>
  </si>
  <si>
    <t>06 04. Прикладные научные исследования в области охраны окружающей среды</t>
  </si>
  <si>
    <t>Дебиторская задолженность, ф. 369, в тыс.руб., исключен счет 205.51 и 206.51 районы</t>
  </si>
  <si>
    <t>Безвозмедные поступления ВСЕГО, без вн. оборотов</t>
  </si>
  <si>
    <t>по счету 205.11 "Расчеты с плательщиками налоговых доходов" дебиторская задолженность, ф. 369, в тыс.руб.</t>
  </si>
  <si>
    <t>Утверждено по отчету на 2018 год (руб.)</t>
  </si>
  <si>
    <t>Исполнено за 1 полугодие 2018 года (руб.)</t>
  </si>
  <si>
    <t>Утверждено по отчету на 2018 год (млн.руб.)</t>
  </si>
  <si>
    <t>Исполнено за 1 полугодие 2018 года (млн.руб.)</t>
  </si>
  <si>
    <t>Показатели на 01.07.2018 год (руб.)</t>
  </si>
  <si>
    <t>Показатели на 01.07.2018 года (млн.руб.)</t>
  </si>
  <si>
    <t>Исполнено за 6 мес. 2017 года, млн.руб.</t>
  </si>
  <si>
    <t>Исполнено за 6 мес. 2018 год, млн.руб.</t>
  </si>
  <si>
    <t>Рост, снижение к 01.07.2017, (+,-) в %</t>
  </si>
  <si>
    <t>Рост, снижение к 01.07.2017, (+,-) в млн.руб.</t>
  </si>
  <si>
    <t>Остатки средств на 01.01.2018 (баланс)</t>
  </si>
  <si>
    <t>Внутренний долг на 01.07.2018</t>
  </si>
  <si>
    <t>Изменение внутреннего долга за 6 мес. 2018</t>
  </si>
  <si>
    <t>5. Доходы от возврата целевых остатков прошлых лет</t>
  </si>
  <si>
    <t>6. Возврат целевых остатков прошлых лет</t>
  </si>
  <si>
    <t>Сведения об исполнении консолидированного бюджета Архангельской области за 6 месяцев 2018 года, согласно отчетам, представленным в Минфин России по ф. 0503317, 0503387 и 0503369</t>
  </si>
  <si>
    <t>Остатки средств на 01.07.2018  (ф. 387))</t>
  </si>
  <si>
    <t>на 01.07.2018</t>
  </si>
  <si>
    <t>Состояние кредиторской задолженности бюджетов муниципальных образований, с учетом казенных учреждений (без бюджетных и автономных учреждений), согласно отчетам по ф. 0503369 на 01.07.2018</t>
  </si>
  <si>
    <t>Назначено на 2018</t>
  </si>
  <si>
    <t>Исполнено на 01.07.2018</t>
  </si>
  <si>
    <t>(+,-) к 2017</t>
  </si>
  <si>
    <t>(+,-) в % к 2017</t>
  </si>
  <si>
    <t>Исполнено на 01.07.2017</t>
  </si>
  <si>
    <t>На 01.07.2017</t>
  </si>
  <si>
    <t>На 01.07.2018</t>
  </si>
  <si>
    <t>Утверждено</t>
  </si>
  <si>
    <t>по счету 205.21 "Расчеты по доходам от операционной аренды" дебиторская задолженность, ф. 369, в тыс.руб.</t>
  </si>
  <si>
    <t>по счету 205.41 "Расчеты по доходам от штрафных санкций за нарушение законодательства о закупках" дебиторская задолженность, ф. 369, в тыс.руб.</t>
  </si>
  <si>
    <t>по счету 205.71 Расчеты по доходам от операций с основными средствами" дебиторская задолженность, ф. 369, в тыс.руб.</t>
  </si>
  <si>
    <t>Остатки средств на 01.07.2018</t>
  </si>
  <si>
    <t>Изменение остатков за 1 полугодие 2018 г.</t>
  </si>
  <si>
    <t>изменение за 6 мес. 2018 г. (+,-)</t>
  </si>
  <si>
    <t>Исполнено за 1 полугодие 2017 г.</t>
  </si>
  <si>
    <t>Исполнено за 1 полугодие 2018 г.</t>
  </si>
  <si>
    <t>Состояние дебиторской задолженности бюджетов муниципальных образований, с учетом казенных учреждений (без бюджетных и автономных учреждений), согласно отчетам по ф. 0503369 на 01.07.2018</t>
  </si>
  <si>
    <t>Межбюджетные трансферты из областного бюджета в бюджеты городских огругов и муниципальных районов за 1 полугидие 2017 года и за 1 полугодие 2018 годы, согласно отчету по ф. 0503317 "Таблица консолидируемых расчетов", представленному в Минфин России (код. 910, 911, 912, 913, 914)</t>
  </si>
  <si>
    <t>Всего за 1 полугод. 2018 года (910)</t>
  </si>
  <si>
    <t>Всего за 1 полуг. 2017 года</t>
  </si>
  <si>
    <t>317 - доходы, от др. бюджетов</t>
  </si>
  <si>
    <t>Исполнение областного бюджета за 1 полугодие 2018 года в разрезе программ</t>
  </si>
  <si>
    <t>Акцизы, из них:</t>
  </si>
  <si>
    <t xml:space="preserve">  - акцизы на пиво</t>
  </si>
  <si>
    <t xml:space="preserve">  - доходы от уплаты акцизов на алкогольную продукцию с объемной долей этилового спирта свыше 9 процентов</t>
  </si>
  <si>
    <t xml:space="preserve"> - доходы от уплаты акцизов на дизельное топливо</t>
  </si>
  <si>
    <t xml:space="preserve"> - доходы от уплаты акцизов на моторные масла для дизельных и (или) карбюраторных (инжекторных) двигателей</t>
  </si>
  <si>
    <t xml:space="preserve"> - доходы от уплаты акцизов на автомобильный бензин</t>
  </si>
  <si>
    <t xml:space="preserve"> - доходы от уплаты акцизов на прямогонный бензин</t>
  </si>
  <si>
    <t xml:space="preserve"> - акцизы на средние дистилляты</t>
  </si>
  <si>
    <t>Результат исполнения (дефицит "-", 
профицит "+")</t>
  </si>
  <si>
    <t>Изменения за 6 месяцев 2018 г. (+,-)</t>
  </si>
  <si>
    <t>Выполнение планов финансово-хозяйственной деятельности государственных, муниципальных бюджетных и автономных учреждений за 6 месяцев 2018 года, согласно отчетам по ф. 0503779 и 0503737, в тыс.руб.</t>
  </si>
  <si>
    <t>Выполнение планов финансово-хозяйственной деятельности государственных бюджетных и автономных учреждений за 6 месяцев 2018 года, в разрезе главных распорядителей, согласно отчетам по ф. 0503779 и 0503737, в тыс.руб.</t>
  </si>
  <si>
    <t>Изменения за 6 месяцев 2018 года (+,-)</t>
  </si>
  <si>
    <t>Исполнено на 01.07.20108</t>
  </si>
  <si>
    <t>Изменения за 6 месяцев 2018 года</t>
  </si>
  <si>
    <t>Состояние задолженности государственных и муниципальных бюджетных, автономных учреждений на 01.07.2018, без учета средств во временном распоряжении, согласно отчетам по ф. 0503769, в тыс.руб.</t>
  </si>
  <si>
    <t>Состояние задолженности государственных бюджетных и автономных учреждений на 01.07.2018, согласно отчетам по ф. 0503769, без учета средств во временном распоряжении</t>
  </si>
  <si>
    <t>на 01.07.2017</t>
  </si>
  <si>
    <t>иные (рост в раз)</t>
  </si>
  <si>
    <t>по счету 302.25 "Расчеты по работам, услугам по содержанию имущества" кредиторская задолженность, ф. 369, в тыс.руб.</t>
  </si>
  <si>
    <t>изменение</t>
  </si>
  <si>
    <t>по счету 302.31 "Расчеты по приобретению основных средств" кредиторская задолженность, ф. 369, в тыс.руб.</t>
  </si>
  <si>
    <t>по счету 302.42 "Расчеты по безвозмездным перечислениям организациям, за исключением государственных и муниципальных организаций" кредиторская задолженность, ф. 369, в тыс.руб.</t>
  </si>
  <si>
    <t>по счету 302.96 "Расчеты по иным расходам" кредиторская задолженность, ф. 369, в тыс.руб.</t>
  </si>
  <si>
    <t>Приложение № 5</t>
  </si>
  <si>
    <t>Сводная бюджетная роспись на 2018 год по состоянию на 30.06.2018</t>
  </si>
  <si>
    <t>План кассовых выплат                        на 1 полугодие                           2018 года</t>
  </si>
  <si>
    <t>Процент исполнения</t>
  </si>
  <si>
    <t>к сводной бюджетной росписи на год</t>
  </si>
  <si>
    <t>к плану кассовых выплат на 1 полугодия</t>
  </si>
  <si>
    <t>ГОСУДАРСТВЕННЫЕ ПРОГРАММЫ АРХАНГЕЛЬСКОЙ ОБЛАСТИ</t>
  </si>
  <si>
    <t>в том числе:</t>
  </si>
  <si>
    <t>Государственная программа Архангельской области "Развитие здравоохранения Архангельской области (2013 – 2020 годы)"</t>
  </si>
  <si>
    <t>Государственная программа Архангельской области "Развитие образования и науки Архангельской области (2013 – 2020 годы)"</t>
  </si>
  <si>
    <t>Государственная программа Архангельской области "Социальная поддержка граждан в Архангельской области (2013 – 2020 годы)"</t>
  </si>
  <si>
    <t>Государственная программа Архангельской области "Культура Русского Севера (2013 – 2020 годы)"</t>
  </si>
  <si>
    <t>Государственная программа развития сельского хозяйства и регулирования рынков сельскохозяйственной продукции, сырья и продовольствия Архангельской области на 2013 – 2020 годы</t>
  </si>
  <si>
    <t>Государственная программа Архангельской области "Обеспечение качественным, доступным жильем и объектами инженерной инфраструктуры населения Архангельской области (2014 – 2020 годы)"</t>
  </si>
  <si>
    <t>Государственная программа Архангельской области "Содействие занятости населения Архангельской области, улучшение условий и охраны труда (2014 – 2020 годы)"</t>
  </si>
  <si>
    <t>Государственная программа Архангельской области "Обеспечение общественного порядка, профилактика преступности, коррупции, терроризма, экстремизма и незаконного потребления наркотических средств и психотропных веществ в Архангельской области (2014 – 2020 годы)"</t>
  </si>
  <si>
    <t>Государственная программа Архангельской области "Защита населения и территорий Архангельской области от чрезвычайных ситуаций, обеспечение пожарной безопасности и безопасности на водных объектах (2014 – 2020 годы)"</t>
  </si>
  <si>
    <t>Государственная программа Архангельской области "Охрана окружающей среды, воспроизводство и использование природных ресурсов Архангельской области (2014 – 2020 годы)"</t>
  </si>
  <si>
    <t>Государственная программа Архангельской области "Патриотическое воспитание, развитие физической культуры, спорта, туризма и повышение эффективности реализации молодежной политики в Архангельской области (2014 – 2020 годы)"</t>
  </si>
  <si>
    <t>Государственная программа Архангельской области "Экономическое развитие и инвестиционная деятельность в Архангельской области (2014 – 2020 годы)"</t>
  </si>
  <si>
    <t>Государственная программа архангельской области "Формирование современной городской среды в Архангельской области (2018-2022 годы)"</t>
  </si>
  <si>
    <t>Государственная программа Архангельской области "Развитие торговли в Архангельской области (2014 – 2020 годы)"</t>
  </si>
  <si>
    <t>Государственная программа Архангельской области "Развитие лесного комплекса Архангельской области (2014 – 2020 годы)"</t>
  </si>
  <si>
    <t>Государственная программа Архангельской области "Развитие энергетики и жилищно-коммунального хозяйства Архангельской области (2014 – 2020 годы)"</t>
  </si>
  <si>
    <t>Государственная программа Архангельской области "Развитие местного самоуправления в Архангельской области и государственная поддержка социально ориентированных некоммерческих организаций (2014 – 2020 годы)"</t>
  </si>
  <si>
    <t>Государственная программа Архангельской области "Развитие транспортной системы Архангельской области (2014 – 2020 годы)"</t>
  </si>
  <si>
    <t>Государственная программа Архангельской области "Развитие инфраструктуры Соловецкого архипелага (2014 – 2020 годы)"</t>
  </si>
  <si>
    <t>Государственная программа Архангельской области "Развитие имущественно-земельных отношений Архангельской области (2014 – 2018 годы)"</t>
  </si>
  <si>
    <t>Государственная программа Архангельской области "Управление государственными финансами и государственным долгом Архангельской области (2014 – 2020 годы)"</t>
  </si>
  <si>
    <t>Государственная программа Архангельской области "Эффективное государственное управление в Архангельской области (2014 – 2020 годы)"</t>
  </si>
  <si>
    <t>Государственная программа Архангельской области "Устойчивое развитие сельских территорий Архангельской области (2014 – 2020 годы)"</t>
  </si>
  <si>
    <t>АДРЕСНЫЕ ПРОГРАММЫ АРХАНГЕЛЬСКОЙ ОБЛАСТИ</t>
  </si>
  <si>
    <t>Обеспечение мероприятий по капитальному ремонту многоквартирных домов, переселению граждан из аварийного жилищного фонда и переселению граждан из аварийного жилищного фонда с учетом необходимости развития малоэтажного жилищного строительства</t>
  </si>
  <si>
    <t>ИНЫЕ ПРОГРАММЫ АРХАНГЕЛЬСКОЙ ОБЛАСТИ</t>
  </si>
  <si>
    <t>Региональная программа "Повышение уровня финансовой грамотности населения и развитие финансового образования в Архангельской области в 2014 – 2019 годах"</t>
  </si>
  <si>
    <t>Социальная программа Архангельской области на предоставление из бюджета Пенсионного фонда Российской Федерации субсидии на укрепление материально-технической базы учреждений социального обслуживания населения Архангельской области и обучение компьютерной грамотности неработающих пенсионеров</t>
  </si>
  <si>
    <t>Региональная программа Архангельской области по оказанию комплексной медико-социальной и психолого-педагогической помощи детям с расстройствами аутистического спектра, проживающим в Архангельской области, "ТЫ НЕ ОДИН!"</t>
  </si>
  <si>
    <t>Номер мероприятия</t>
  </si>
  <si>
    <t>Наименование программы, подпрограммы, мероприятия</t>
  </si>
  <si>
    <t>Ответственный исполнитель, соисполнители</t>
  </si>
  <si>
    <t>Объемы финансирования государственной программы, тыс. руб.</t>
  </si>
  <si>
    <t>Оценка соблюдения сроков выполнения основных этапов мероприятия и (или) достижения показателей реализации мероприятия</t>
  </si>
  <si>
    <t>Причины невыполнения мероприятия</t>
  </si>
  <si>
    <t>федеральный бюджет</t>
  </si>
  <si>
    <t>областной бюджет</t>
  </si>
  <si>
    <t>бюджеты муниципальных образований Архангельской области</t>
  </si>
  <si>
    <t>внебюджетные источники</t>
  </si>
  <si>
    <t>освоено</t>
  </si>
  <si>
    <t>план на год</t>
  </si>
  <si>
    <t>кассовые расходы</t>
  </si>
  <si>
    <t>Основные этапы выполнения мероприятия и (или) показатели реализации мероприятия, ед. изм.</t>
  </si>
  <si>
    <t>план на 1 квартал</t>
  </si>
  <si>
    <t>факт за 1 квартал</t>
  </si>
  <si>
    <t xml:space="preserve">план на 1 полугодие </t>
  </si>
  <si>
    <t>факт за 1 полугодие</t>
  </si>
  <si>
    <t>план на 9 месяцев</t>
  </si>
  <si>
    <t>факт за 9 месяцев</t>
  </si>
  <si>
    <t>план на 12 месяцев</t>
  </si>
  <si>
    <t>факт за 12 месяцев</t>
  </si>
  <si>
    <t>ГП АО "Развитие здравоохранения Архангельской области (2013 – 2020 годы)"</t>
  </si>
  <si>
    <t>Подпрограмма №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</si>
  <si>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2.1.</t>
  </si>
  <si>
    <t>Совершенствование оказания медицинской помощи лицам, инфицированным вирусом иммунодефицита человека, гепатитами B и C</t>
  </si>
  <si>
    <t>Министерство здравоохранения Архангельской области</t>
  </si>
  <si>
    <t>Объем первичной специализированной медицинской помощи в амбулаторных условиях; посещение</t>
  </si>
  <si>
    <t>2000</t>
  </si>
  <si>
    <t>4560</t>
  </si>
  <si>
    <t>2478</t>
  </si>
  <si>
    <t>Объем первичной специализированной медицинской помощи в амбулаторных условиях составил 2478 посещений (план – 4560 посещений), что связано с присоединением ГБУЗ Архангельской области «Архангельский клинический центр по профилактике и борьбе со СПИД и инфекционными заболеваниями» к ГБУЗ Архангельской области «Архангельский клинический кожно-венерологический диспансер» и изменением подходов к формированию значений показателей государственного задания.</t>
  </si>
  <si>
    <t>2.2.</t>
  </si>
  <si>
    <t>Развитие специализированной дерматовенерологической медицинской помощи</t>
  </si>
  <si>
    <t>800</t>
  </si>
  <si>
    <t>799</t>
  </si>
  <si>
    <t>1800</t>
  </si>
  <si>
    <t>1355</t>
  </si>
  <si>
    <t>Объем первичной специализированной медицинской помощи, оказанной в амбулаторных условиях в I полугодии текущего года, составил 1355 посещений (план – 1800 посещений), 3136 обращений (план – 6000) в связи со значительным уменьшением количества пациентов с заболеваниями, передаваемыми половым путем.</t>
  </si>
  <si>
    <t>Совершенствование системы оказания стационарной медицинской помощи</t>
  </si>
  <si>
    <t>Объем первичной специализированной медицинской помощи в амбулаторных условиях; обращение</t>
  </si>
  <si>
    <t>12670</t>
  </si>
  <si>
    <t>13050</t>
  </si>
  <si>
    <t>28800</t>
  </si>
  <si>
    <t>27249</t>
  </si>
  <si>
    <t>Объем первичной специализированной медицинской помощи в амбулаторных условиях составил 27249 обращений (план 28800 обращений) по причине  недостатка врачей-специалистов в ГБУЗ Архангельской области «Красноборская центральная районная больница» и «Верхнетоемская центральная районная больница», а также в связи с активной работой страховых медицинских организаций и медицинских организаций, оказывающих первичную медико-санитарную помощь, значительно уменьшилось количество пациентов, не имеющих страховой медицинский полис, соответственно уменьшился объем оказания медицинской помощи указанной категории граждан.</t>
  </si>
  <si>
    <t>Подпрограмма 7 «Кадровое обеспечение системы здравоохранения»</t>
  </si>
  <si>
    <t>2.1</t>
  </si>
  <si>
    <t>Единовременные денежные выплаты специалистам, окончившим образовательные организации высшего образования и профессиональные образовательные организации в сфере здравоохранения, трудоустроившимся в государственные медицинские организации</t>
  </si>
  <si>
    <t>количество врачей в возрасте до 50 лет, трудоустроившихся в государственные  медицинские организации , расположенные в сельских населенных пунктах, либо рабочих поселках, либо поселках городского типа, либо городах с численностью населения до 50 тыс. человек (в соответствии с программным реестром должностей) получивших единовременную денежную выплату в размере 1 млн. руб.; человек</t>
  </si>
  <si>
    <t>Мероприятие носит заявительный характер, нарушение плана реализации связано, в том числе с изменением сроков трудоустройства специалистов, запланированных на выплаты от трудоустройства в конкретные медицинские организации.</t>
  </si>
  <si>
    <t>Подпрограмма № 10 «Совершенствование системы территориального планирования Архангельской области»</t>
  </si>
  <si>
    <t>7.1.</t>
  </si>
  <si>
    <t>Обеспечение деятельности министерства здравоохранения как ответственного исполнителя государственной программы</t>
  </si>
  <si>
    <t>Исполнение бюджета к утвержденному плану года; процентов</t>
  </si>
  <si>
    <t>25</t>
  </si>
  <si>
    <t>21</t>
  </si>
  <si>
    <t>50</t>
  </si>
  <si>
    <t>75</t>
  </si>
  <si>
    <t>5.1</t>
  </si>
  <si>
    <t>Предоставление мер социальной поддержки квалифицированным специалистам государственных медицинских организаций Архангельской области (за исключением педагогических работников) и фармацевтических организаций Архангельской области, в том числе вышедшим на пенсию, проживающим и работающим в сельских населенных пунктах, рабочих поселках (поселках городского типа), специалистам муниципальных учреждений здравоохранения, переданных в государственную собственность Архангельской области, вышедшим на пенсию до 31 декабря 2011 года и проживающим в сельской местности, рабочих поселках (поселках городского типа) на территории Архангельской области, предоставление мер социальной поддержки педагогическим работникам государственных медицинских организаций Архангельской области в сельских населенных пунктах, рабочих поселках (поселках городского типа) Архангельской области, а также финансовое обеспечение права работников государственных медицинских организаций на компенсацию иных расходов (за исключением работников государственных бюджетных и автономных учреждений здравоохранения Архангельской области, участвующих в реализации территориальной программы обязательного медицинского страхования на территории Архангельской области</t>
  </si>
  <si>
    <t>количество специалистов фармацевтических организаций Архангельской области получивших меры социальной поддержки; человек</t>
  </si>
  <si>
    <t>387</t>
  </si>
  <si>
    <t>322</t>
  </si>
  <si>
    <t>355</t>
  </si>
  <si>
    <t>Количество специалистов фармацевтических организаций Архангельской области, получивших меры социальной поддержки, меньше запланированно (план – 387 человек, факт – 355 человек) в связи с тем, что документы для компенсации оплаты жилищно-коммунальных услуг за 1 полугодие поступят из районов области в централизованную бухгалтерию ГУП АО «Фармация» в 3 квартале 2018 года.</t>
  </si>
  <si>
    <t>1.1.7.</t>
  </si>
  <si>
    <t>Строительство фельдшерско-акушерских пунктов</t>
  </si>
  <si>
    <t>Заключение государственного контракта на проведение ремонтных работ; срок завершения</t>
  </si>
  <si>
    <t>19 мая</t>
  </si>
  <si>
    <t>Сроки реализации мероприятия перенесены в связи с корректировкой перечня фельдшерско-акушерских пунктов, для которых в текущем году планируется приобретение модульных конструкций, в том числе за счет средств федерального бюджета, предоставленных в соответствии с распоряжением Правительства РФ от 03 марта 2018 года № 369-р.</t>
  </si>
  <si>
    <t>1.1.11.</t>
  </si>
  <si>
    <t>Разработка проектно-сметной документации и строительство больницы в пос. Березник, Виноградовский район</t>
  </si>
  <si>
    <t>Государственный контракт на проведение работ не заключен в связи с необходимостью корректировкой проектной документации на строительство больницы и изменением стоимости строительно-монтажных работ на возведение объекта.</t>
  </si>
  <si>
    <t>1.2.</t>
  </si>
  <si>
    <t>Проведение текущих и капитальных ремонтов, обследований строительных конструкций, технологических присоединений линий электроснабжения, разработка проектно-сметной документации в государственных медицинских организациях Архангельской области</t>
  </si>
  <si>
    <t>-заключение государственного контракта на проведение работ; срок завершения</t>
  </si>
  <si>
    <t>20 апреля</t>
  </si>
  <si>
    <t>06 июня</t>
  </si>
  <si>
    <t>государственный контракт на проведение ремонтных работ в ГБУЗ Архангельской области «Верхнетоемская центральная районная больница» заключен позже запланированной срока (план – 20 апреля, факт – 6 июня) по причине отмены проведения аукциона в связи с выявленными ошибками в сметах и необходимостью проведения повторного аукциона.
аукцион на ремонтные работы приемного соматического отделения в ГБУЗ Архангельской области «Архангельская областная детская клиническая больница им. П.Г. Выжлецова» отменен в связи с предписанием прокуратуры города Архангельска;
заявка на размещение заказа по проведению ремонтных работ зданий и помещений ГБУЗ Архангельской области «Архангельская городская клиническая поликлиника №2») не сформирована (плановый срок – 20 июня) по причине невыполнения подрядной организацией своих обязательств по разработке проектной документации (договор был заключен 28 апреля 2018 года, срок оказания услуг – 45 дней);
государственный контракт на проведения ремонтных работ в ГБУЗ Архангельской области «Архангельская областная клиническая больница» не заключен в связи с необходимостью  внесения изменений в проектно-сметную документацию. Заявки в контрактное агентство Архангельской области будут направлены в 3 квартале;
государственный контракт на проведения ремонтных работ в ГБУЗ Архангельской области «Архангельская городская клиническая больница
№ 7» не заключен в связи с необходимостью  внесения изменений в проектно-сметную документацию. Заявка в контрактное агентство Архангельской области будет направлена в августе текущего года.</t>
  </si>
  <si>
    <t>44,0</t>
  </si>
  <si>
    <t>Исполнение бюджета к утвержденному плану года составило 44 процента (план – 50 процентов) в связи с тем, что часть денежных средств оставлена на выплату заработной платы и налогов (срок выплаты заработной платы – 5 июля). Расходы на содержание аппарата осуществляются в соответствии с Положением о министерстве здравоохранения Архангельской области.</t>
  </si>
  <si>
    <t>8.</t>
  </si>
  <si>
    <t>Обеспечение независимой оценки качества оказания медицинских услуг в части сбора, обобщения и анализа информации</t>
  </si>
  <si>
    <t>Заключение государственного контракта с организацией-оператором на выполнение работ , оказание услуг по сбору и обобщению информации о качестве условий оказания услуг медицинскими организациями  Архангельской области; срок завершения</t>
  </si>
  <si>
    <t>30 июня</t>
  </si>
  <si>
    <t>Государственный контракт не заключен в связи с тем, что по состоянию на 1 июля 2018 года министерством труда и социальной защиты Российской Федерации не утвержден единый порядок расчета показателей, характеризующих общие критерии оценки качества условий оказания услуг организациями в сфере культуры, охраны здоровья, образования, социального обслуживания и федеральными учреждениями медико-социальной экспертизы.</t>
  </si>
  <si>
    <t>ГП АО "Развитие образования и науки Архангельской области (2013 – 2018 годы)"</t>
  </si>
  <si>
    <t xml:space="preserve">Подпрограмма № 1
«Развитие дошкольного, общего
и дополнительного образования детей»
</t>
  </si>
  <si>
    <t>Проведение системы областных и межрегиональных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и иной направленности</t>
  </si>
  <si>
    <t>Количество областных мероприятий; Единица</t>
  </si>
  <si>
    <t>39</t>
  </si>
  <si>
    <t>71</t>
  </si>
  <si>
    <t>65</t>
  </si>
  <si>
    <t>Отменено проведение четырех всероссийских этапов соревнований обучающихся в общеобразовательных организациях (баскетбол, мини-футбол, легкая атлетика, лыжные гонки).   Агентству по спорту Архангельской области переданы полномочия по проведению двух мероприятий (Открытый чемпионат Архангельской области по художественной гимнастике среди обучающихся, 6-й открытый международный турнир на кубок «Арктики» по греко-римской борьбе среди обучающихся).</t>
  </si>
  <si>
    <t xml:space="preserve">Подпрограмма № 4 «Совершенствование системы предоставления услуг в сфере образования»
</t>
  </si>
  <si>
    <t>3.3</t>
  </si>
  <si>
    <t>Обеспечение деятельности министерства образования и науки Архангельской области как ответственного исполнителя государственной программы</t>
  </si>
  <si>
    <t>министерство образования и науки Архангельской области</t>
  </si>
  <si>
    <t>Исполнение бюджета к утвержденному плану года; Процент</t>
  </si>
  <si>
    <t>20</t>
  </si>
  <si>
    <t>16,9</t>
  </si>
  <si>
    <t>44,8</t>
  </si>
  <si>
    <t>Экономия 
при проведении конкурсных процедур</t>
  </si>
  <si>
    <t xml:space="preserve">Подпрограмма № 4 «Совершенствование системы предоставления услуг в сфере образования»
</t>
  </si>
  <si>
    <t>17,4</t>
  </si>
  <si>
    <t>43,9</t>
  </si>
  <si>
    <t>68,2</t>
  </si>
  <si>
    <t>Экономия при проведении конкурсных процедур</t>
  </si>
  <si>
    <t xml:space="preserve">Подпрограмма № 7«Строительство и капитальный ремонт объектов инфраструктуры системы образования в Архангельской области»
</t>
  </si>
  <si>
    <t>2.12</t>
  </si>
  <si>
    <t>Строительство начальной общеобразовательной школы на 320 учащихся в с. Красноборск Архангельской области</t>
  </si>
  <si>
    <t>министерство строительства и архитектуры Архангельской области</t>
  </si>
  <si>
    <t>Благоустройство территории; Срок завершения</t>
  </si>
  <si>
    <t>ГП АО "Социальная поддержка граждан в Архангельской области (2013 – 2018 годы)"</t>
  </si>
  <si>
    <t>Подпрограмма № 1 «Организация работы по социальному обслуживанию граждан и социальной защите населения Архангельской области»</t>
  </si>
  <si>
    <t>3.2.</t>
  </si>
  <si>
    <t>Перевозка несовершеннолетних, самовольно ушедших из семей, организаций для детей-сирот 
и детей, оставшихся без попечения родителей, специальных учебно-воспитательных учреждений открытого типа или иных организаций, осуществляющих образовательную деятельность</t>
  </si>
  <si>
    <t>министерство труда, занятости и социального развития Архангельской области</t>
  </si>
  <si>
    <t>Количество несовершеннолетних, перевезенных к месту проживания, возвращенных в семьи, организации для детей-сирот и детей, оставшихся без попечения родителей, специальные учебно-воспитательные учреждения открытого типа или иные организации, осуществляющие образовательную деятельность; человек</t>
  </si>
  <si>
    <t>0</t>
  </si>
  <si>
    <t>Отсутствие потребности.</t>
  </si>
  <si>
    <t xml:space="preserve">Подпрограмма № 2 «Меры социальной поддержки 
отдельным категориям граждан, проживающим 
на территории Архангельской области»
</t>
  </si>
  <si>
    <t>1.9.</t>
  </si>
  <si>
    <t>Предоставление мер социальной поддержки по оплате жилищно-коммунальных услуг (Федеральный закон от 12 января 1995 года № 5-ФЗ «О ветеранах», от 24 ноября 1995 года № 181-ФЗ «О социальной защите инвалидов в Российской Федерации», Закон Российской Федерации от 15 мая 1991 года № 1244-1 
«О социальной защите граждан, подвергшихся воздействию радиации вследствие катастрофы на Чернобыльской АЭС»)</t>
  </si>
  <si>
    <t>количество получателей мер социальной поддержки (на конец отчетного периода); человек</t>
  </si>
  <si>
    <t>103700</t>
  </si>
  <si>
    <t>101823</t>
  </si>
  <si>
    <t>98068</t>
  </si>
  <si>
    <t>1.12.</t>
  </si>
  <si>
    <t>Расходы кредитных организаций по перечислению денежных средств на жилье инвалидам (Федеральный закон 
от 24 ноября 1995 года № 181-ФЗ 
«О социальной защите инвалидов в Российской Федерации»)</t>
  </si>
  <si>
    <t>1.15.</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</si>
  <si>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 (Федеральный закон 
от 19 мая 1995 года № 81-ФЗ 
«О государственных пособиях гражданам, имеющим детей»)</t>
  </si>
  <si>
    <t>35</t>
  </si>
  <si>
    <t>42</t>
  </si>
  <si>
    <t>47</t>
  </si>
  <si>
    <t>1.16.</t>
  </si>
  <si>
    <t>Обеспечение жильем отдельных категорий граждан (федеральные законы от 12 января 
1995 года № 5-ФЗ «О ветеранах», 
от 24 ноября 1995 года 
№ 181-ФЗ «О социальной защите инвалидов в Российской Федерации»)</t>
  </si>
  <si>
    <t>1.21.</t>
  </si>
  <si>
    <t>Предоставление отдельных мер социальной поддержки гражданам, подвергшимся воздействию радиации (Закон Российской Федерации от 15 мая 1991 года № 1244-1 «О социальной защите граждан, подвергшихся воздействию радиации вследствие 
катастрофы на Чернобыльской АЭС», Федеральный закон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Федеральный закон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</si>
  <si>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600</t>
  </si>
  <si>
    <t>560</t>
  </si>
  <si>
    <t>566</t>
  </si>
  <si>
    <t xml:space="preserve">Подпрограмма № 4
«Развитие системы отдыха и оздоровления детей»
</t>
  </si>
  <si>
    <t>1.1</t>
  </si>
  <si>
    <t>Круглогодичное оздоровление детей на базе государственного автономного учреждения здравоохранения Архангельской области «Санаторий «Сольвычегодск»</t>
  </si>
  <si>
    <t>министерство здравоохранения Архангельской области</t>
  </si>
  <si>
    <t>количество оздоровленных детей; человек</t>
  </si>
  <si>
    <t>615</t>
  </si>
  <si>
    <t>423</t>
  </si>
  <si>
    <t>Заявительный характер.</t>
  </si>
  <si>
    <t>2.2</t>
  </si>
  <si>
    <t>Оздоровление детей в детских санаториях, детских санаторных оздоровительных лагерях круглогодичного действия</t>
  </si>
  <si>
    <t>количество оздоровленных детей, находящихся в трудной жизненной ситуации; человек</t>
  </si>
  <si>
    <t>300</t>
  </si>
  <si>
    <t>202</t>
  </si>
  <si>
    <t>2.7</t>
  </si>
  <si>
    <t>Оздоровление детей в оздоровительных лагерях с дневным пребыванием, лагерях палаточного типа, организованных государственными учреждениями социального обслуживания семьи и детей</t>
  </si>
  <si>
    <t>130</t>
  </si>
  <si>
    <t>120</t>
  </si>
  <si>
    <t>4.6</t>
  </si>
  <si>
    <t>Создание и обеспечение деятельности службы организации сопровождения групп детей к местам отдыха и обратно на базе государственного автономного учреждения Архангельской области «Центр детского отдыха «Северный Артек», организация сопровождения к местам отдыха и обратно групп детей, имеющих хронические заболевания, и детей, находящихся в трудной жизненной ситуации</t>
  </si>
  <si>
    <t>количество детей, обеспеченных услугами сопровождения к месту отдыха и обратно; человек</t>
  </si>
  <si>
    <t>1150</t>
  </si>
  <si>
    <t>456</t>
  </si>
  <si>
    <t xml:space="preserve">Подпрограмма № 5
«Семья и дети в Архангельской области»
</t>
  </si>
  <si>
    <t>Приобретение автотранспорта 
и комплектующих для оснащения государственных организаций социального обслуживания семьи и детей, 
в том числе отделений профилактики безнадзорности 
и семейного неблагополучия государственных организаций социального обслуживания</t>
  </si>
  <si>
    <t>заключение государственных контрактов (договоров) на приобретение автотранспорта и комплектующих; срок завершения</t>
  </si>
  <si>
    <t>Аукцион признан не состоявшимся (отсутствие заявок), проведение повторного аукциона запланировано на III квартал 2018 года.</t>
  </si>
  <si>
    <t xml:space="preserve">Подпрограмма № 6 «Повышение качества
жизни граждан пожилого возраста и инвалидов 
в Архангельской области»
</t>
  </si>
  <si>
    <t>4.10.</t>
  </si>
  <si>
    <t>Организация сопровождения совершеннолетних граждан, нуждающихся в посторонней помощи, государственным бюджетным учреждением социального обслуживания населения Архангельской области "Центр помощи совершеннолетним гражданам с ментальными особенностями"</t>
  </si>
  <si>
    <t>Количество обслуженных граждан; человек</t>
  </si>
  <si>
    <t>121</t>
  </si>
  <si>
    <t>123</t>
  </si>
  <si>
    <t>Отсутствие заявлений.</t>
  </si>
  <si>
    <t>4.15.</t>
  </si>
  <si>
    <t>Улучшение социально-бытового положения отдельных категорий граждан из числа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07 мая 2008 года № 714 “Об обеспечении жильем ветеранов Великой Отечественной войны 1941 – 1945 годов”, и ветеранов боевых действий</t>
  </si>
  <si>
    <t>Количество ветеранов Великой Отечественной (участников, инвалидов, ЖБЛ, несовершеннолетних узников, членов семей погибших (умерших) участников Великой Отечественной войны, которым оказана адресная социальная помощь; человек</t>
  </si>
  <si>
    <t>63</t>
  </si>
  <si>
    <t>32</t>
  </si>
  <si>
    <t>124</t>
  </si>
  <si>
    <t>54</t>
  </si>
  <si>
    <t>Количество ветеранов боевых действий, которым оказана социальная помощь; человек</t>
  </si>
  <si>
    <t>24</t>
  </si>
  <si>
    <t>Улучшение социально-бытового положения отдельных категорий граждан из числа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07 мая 2008 года № 714 
“Об обеспечении жильем ветеранов Великой Отечественной войны 1941 – 1945 годов”, и ветеранов боевых действий</t>
  </si>
  <si>
    <t>40</t>
  </si>
  <si>
    <t>33</t>
  </si>
  <si>
    <t>Подпрограмма № 9 «Право быть равным»</t>
  </si>
  <si>
    <t>5.6.</t>
  </si>
  <si>
    <t>Организация и проведение круглых столов для родителей, воспитывающих детей-инвалидов, по вопросам абилитации и реабилитации детей-инвалидов и детей с ограниченными возможностями здоровья; интеграции детей-инвалидов и семей, воспитывающих детей-инвалидов, в общество</t>
  </si>
  <si>
    <t>Количество проведенных круглых столов для родителей, воспитывающих детей-инвалидов; единиц</t>
  </si>
  <si>
    <t>Мероприятие перенесено на 3 квартал 2018 года в связи с периодом отпусков заинтересованных лиц.</t>
  </si>
  <si>
    <t>ГП АО "Культура Русского Севера (2013 – 2020 годы)"</t>
  </si>
  <si>
    <t>2.9</t>
  </si>
  <si>
    <t>Модернизация и развитие, обследование и ремонт учреждений культуры, муниципальных учреждений культуры, школ искусств, образовательных организаций в сфере культуры и искусства</t>
  </si>
  <si>
    <t>Министерство культуры Архангельской области</t>
  </si>
  <si>
    <t>заключение соглашений с победителями конкурса; срок завершения</t>
  </si>
  <si>
    <t>10 апреля</t>
  </si>
  <si>
    <t>15 мая</t>
  </si>
  <si>
    <t>В связи с техническими сложностями, возникшими у муниципальных образований Архангельской области при заключении соглашений в системе «Электронный бюджет», соглашения заключены 15 мая 2018 года.</t>
  </si>
  <si>
    <t>Проведение конкурсных процедур по текущему ремонту – замене окон в здании ГБУАО «Государственный архив Архангельской области» по адресу Архангельск, ул. Федота Шубина, 1; срок завершения</t>
  </si>
  <si>
    <t>31 июля</t>
  </si>
  <si>
    <t>24 августа</t>
  </si>
  <si>
    <t>Обеспечение деятельности министерства культуры Архангельской области
 и инспекции по охране объектов культурного наследия Архангельской области</t>
  </si>
  <si>
    <t>Разработка проекта методических рекомендации по развитию сети организаций культуры и обеспеченности населения услугами организаций культуры муниципальных образований Архангельской области в соответствии с социальными нормативами (далее – методические рекомендации) и согласовать  с муниципальными образованиями Архангельской области; срок завершения</t>
  </si>
  <si>
    <t>30 июля</t>
  </si>
  <si>
    <t>29 августа</t>
  </si>
  <si>
    <t>ГП АО "Развития сельского хозяйства и регулирования рынков сельскохозяйственной продукции, сырья и продовольствия Архангельской области на 2013 – 2020 годы"</t>
  </si>
  <si>
    <t xml:space="preserve">Подпрограмма № 1 «Развитие агропромышленного комплекса 
Архангельской области»
</t>
  </si>
  <si>
    <t>Создание условий по обеспечению финансовой устойчивости сельскохозяйственных товаропроизводителей</t>
  </si>
  <si>
    <t>доля прибыльных коллективных хозяйств в Архангельской области к общему количеству коллективных хозяйств; процент</t>
  </si>
  <si>
    <t>84,5</t>
  </si>
  <si>
    <t>87,5</t>
  </si>
  <si>
    <t>71,4</t>
  </si>
  <si>
    <t>3.1.1</t>
  </si>
  <si>
    <t>Поддержка элитного семеноводства</t>
  </si>
  <si>
    <t>картофеля; тонн</t>
  </si>
  <si>
    <t>400</t>
  </si>
  <si>
    <t>140</t>
  </si>
  <si>
    <t>Сократились объемы приобретения элитных семян в связи с недостаточностью средств у сельскохозяйственных товаропроизводителей.</t>
  </si>
  <si>
    <t>Мероприятия по коренному улучшению земель</t>
  </si>
  <si>
    <t>размер посевных площадей, занятых под зерновыми, зернобобовыми и кормовыми сельскохозяйственными культурами в Архангельской области; тыс. гектаров</t>
  </si>
  <si>
    <t>62</t>
  </si>
  <si>
    <t>Не выполнено в связи с сокращением посевных площадей в хозяйствах населения.</t>
  </si>
  <si>
    <t>5.6</t>
  </si>
  <si>
    <t>Обеспечение продвижения продукции АПК на рынках Архангельской области и за ее пределами</t>
  </si>
  <si>
    <t>количество проведенных областных конкурсов в сфере сельского хозяйства; единиц</t>
  </si>
  <si>
    <t>Не выполнено по причине не состоявшегося в июне областного конкурса мастеров животноводства, ввиду отсутствия желающих принять участие сельскохозяйственных товаропроизводителей.</t>
  </si>
  <si>
    <t>Подпрограмма № 2 «Развитие рыбохозяйственного комплекса Архангельской области»</t>
  </si>
  <si>
    <t>1.3</t>
  </si>
  <si>
    <t>Проведение конкурсов на право заключения договоров о предоставлении рыбопромысловых участков для осуществления промышленного и прибрежного рыболовства</t>
  </si>
  <si>
    <t>министерство агропромышленного комплекса и торговли Архангельской области</t>
  </si>
  <si>
    <t>Количество заключенных договоров пользования рыбопромысловым участком; единиц</t>
  </si>
  <si>
    <t>Не выполнено по причине проведения мероприятий по внесению дополнений в перечень рыбопромысловых участков, по которым могут быть заключены договоры пользования рыбопромысловыми участками.</t>
  </si>
  <si>
    <t>Поддержка развития организаций, крестьянских (фермерских) хозяйств (индивидуальных предпринимателей), осуществляющих товарное рыбоводство</t>
  </si>
  <si>
    <t>Количество организаций, получивших субсидии на компенсацию части затрат на корма и рыбопосадочный материал для целей товарного рыбоводства; единиц</t>
  </si>
  <si>
    <t>В связи с поздним направлением заявки на получение субсидии, субсидии выплачены в третьем квартале 2018 года.</t>
  </si>
  <si>
    <t>2.3</t>
  </si>
  <si>
    <t>Определение границ рыбоводных участков</t>
  </si>
  <si>
    <t>Количество новых сформированных рыбоводных участков; единиц</t>
  </si>
  <si>
    <t>Не выполнено в связи с отсутствием заявок на формирование рыбоводных участков.</t>
  </si>
  <si>
    <t>Подпрограмма № 3 «Создание условий для реализации государственной программы»</t>
  </si>
  <si>
    <t>Осуществление функций в сфере сельского и рыбного хозяйства</t>
  </si>
  <si>
    <t>Исполнение кассового плана финансирования деятельности министерства агропромышленного комплекса и торговли Архангельской области как ответственного исполнителя государственной программы к утвержденному плану года; процентов</t>
  </si>
  <si>
    <t>47,2</t>
  </si>
  <si>
    <t>Не полностью израсходованы средства областного бюджета в связи с экономией расходов на оплату труда ввиду оплаты листов нетрудоспособности за счет средств фонда социального страхования.</t>
  </si>
  <si>
    <t>Осуществление функций в сфере ветеринарии</t>
  </si>
  <si>
    <t>инспекция по ветеринарному надзору Архангельской области</t>
  </si>
  <si>
    <t>Исполнение кассового плана финансирования деятельности инспекции по ветеринарному надзору Архангельской области как соисполнителя государственной программы к утвержденному плану года; процентов</t>
  </si>
  <si>
    <t>48,5</t>
  </si>
  <si>
    <t>1.2</t>
  </si>
  <si>
    <t>Обеспечение деятельности государственных бюджетных учреждений Архангельской области, подведомственных министерству агропромышленного комплекса и торговли</t>
  </si>
  <si>
    <t>Исполнение кассового плана финансирования деятельности государственных бюджетных учреждений Архангельской области, подведомственных министерству агропромышленного комплекса и торговли Архангельской области, к утвержденному плану года; процентов</t>
  </si>
  <si>
    <t>В связи с внесением изменений в ведомственный перечень государственных услуг (работ), оказываемых (выполняемых) государственными учреждениями Архангельской области, подведомственными министерству агропромышленного комплекса и торговли Архангельской области, работы выполнены позднее.</t>
  </si>
  <si>
    <t>68,9</t>
  </si>
  <si>
    <t>Неполное исполнение кассового плана 9 месяцев 2017 года на осуществление функций в сфере ветеринарии в связи с тем, что проводились конкурсные процедуры на замещение вакантных должностей государственной гражданской службы Архангельской области (консультанта, главного специалиста-эксперта отдела государственного ветеринарного надзора инспекции по ветеринарному надзору Архангельской области) состоялись в 3 квартале 2017 года.</t>
  </si>
  <si>
    <t>ГП АЛО "Обеспечение качественным, доступным жильем и инженерной инфраструктуры населения Архангельской области (2014 – 2020 годы)"</t>
  </si>
  <si>
    <t>Подпрограмма № 1 «Создание условий для обеспечения доступным и комфортным жильем жителей Архангельской области»</t>
  </si>
  <si>
    <t>Предоставление доступного и комфортного жилья 60 процентам семей, проживающих в Архангельской области и желающих улучшить свои жилищные условия, включая граждан-членов жилищно-строительных кооперативов, и ветеранам Великой Отечественной войны (строительство и приобретение жилья, в том числе для использования в качестве маневренного жилищного фонда, и объектов инженерной инфраструктуры)</t>
  </si>
  <si>
    <t>строительство магистральных водопроводных сетей; срок завершения</t>
  </si>
  <si>
    <t>16 августа</t>
  </si>
  <si>
    <t>5.1.</t>
  </si>
  <si>
    <t xml:space="preserve"> Разработка документов территориального планирования муниципальных образований Архангельской области (внесение в них изменений), внесение изменений в схему территориального планирования Архангельской области, координатное описание границ Архангельской области, муниципальных образований Архангельской области</t>
  </si>
  <si>
    <t>Заключение муниципальных контрактов по итогам проведения конкурсных процедур; срок завершения</t>
  </si>
  <si>
    <t>На мартовской сессии Архангельского областного Собрания депутатов средства областного бюджета перераспределены на мероприятия по внесению изменений в схему территориального планирования Архангельской области и координатному описанию границ муниципальных образований Архангельской области. По результатам осуществленного в последующем сбора заявок от муниципальных образований Архангельской области на разработку генеральных планов (внесение в них изменений) распределение субсидий бюджетам муниципальных образований на указанные цели утверждено постановлением Правительства Архангельской области от 19 июня 2018 года № 275-пп. Бюджетные ассигнования из областного бюджета доведены до муниципальных образований 26 июня 2018 года. Планируемый срок заключения муниципальных контрактов - конец августа 2018 года.</t>
  </si>
  <si>
    <t>Подпрограмма № 2 «Обеспечение жильем молодых семей»</t>
  </si>
  <si>
    <t>1.1.</t>
  </si>
  <si>
    <t>Предоставление социальных выплат молодым семьям</t>
  </si>
  <si>
    <t>администрация Губернатора Архангельской области и Правительства Архангельской области</t>
  </si>
  <si>
    <t>Количество молодых семей, получивших свидетельства о праве на получение социальной выплаты на приобретение (строительство) жилого помещения; единиц</t>
  </si>
  <si>
    <t>В связи с необходимостью замены ряда семей, включенных в список семей – претендентов на получение социальных выплат в 2017 году, ввиду их отказа от участия в подпрограмме в 2017 году, а также выявления несоответствия ряда семей условиям участия в подпрограмме после проверки представленных ими документов.</t>
  </si>
  <si>
    <t>ГП АО «Обеспечение общественного порядка, профилактика преступности, коррупции, терроризма и незаконного потребления наркотических средств и психотропных веществ в Архангельской области (2014 – 2020 годах)»</t>
  </si>
  <si>
    <t>Подпрограмма № 1 «Профилактика незаконного потребления наркотических средств и психотропных веществ, реабилитация и ресоциализация потребителей наркотических средств и психотропных веществ»</t>
  </si>
  <si>
    <t>Организация и проведение выездных семинаров для специалистов образовательных организаций по вопросам профилактики незаконного потребления наркотических средств и психотропных веществ в образовательной среде</t>
  </si>
  <si>
    <t>количество проведенных семинаров; единиц</t>
  </si>
  <si>
    <t>По причине наступления каникулярного периода. Мероприятия будут продолжены в новом учебном году.</t>
  </si>
  <si>
    <t>Подпрограмма № 4 «Профилактика экстремизма и терроризма в Архангельской области»</t>
  </si>
  <si>
    <t>2.6</t>
  </si>
  <si>
    <t>Установка ограждений территории образовательных организаций</t>
  </si>
  <si>
    <t>проведение конкурсных процедур на установку ограждений; срок завершения</t>
  </si>
  <si>
    <t>Не завершены конкурсные процедуры, в сроки предусмотренные планом реализации, по причине отсутствия экспертного заключения ГАУ АО «Архангельский региональный центр по ценообразованию в строительстве».</t>
  </si>
  <si>
    <t>ГП АО "Содействие занятости населения Архангельской области, улучшение условий и охраны труда (2014 – 2020 годы)"</t>
  </si>
  <si>
    <t>Подпрограмма № 1 «Активная политика занятости и социальная поддержка безработных граждан (2014 – 2020 годы)»</t>
  </si>
  <si>
    <t>1.4.</t>
  </si>
  <si>
    <t>Организация временного трудоустройства несовершеннолетних граждан в возрасте от 14 до 18 лет в свободное от учебы время</t>
  </si>
  <si>
    <t>численность несовершеннолетних граждан, трудоустроенных на условиях временной занятости в свободное от учебы время; человек</t>
  </si>
  <si>
    <t>453</t>
  </si>
  <si>
    <t>193</t>
  </si>
  <si>
    <t>1836</t>
  </si>
  <si>
    <t>1537</t>
  </si>
  <si>
    <t>Снижение численности несовершеннолетних граждан, обратившихся за предоставлением государственной услуги по организации временного трудоустройства с 2501 человека в I полугодии 2017 года до 2076 человек в I полугодии 2018 года.</t>
  </si>
  <si>
    <t>1.6.</t>
  </si>
  <si>
    <t>Содействие самозанятости безработных граждан, в том числе оказание финансовой поддержки при открытии собственного дела</t>
  </si>
  <si>
    <t>численность безработных граждан, получивших финансовую поддержку при открытии собственного дела; человек</t>
  </si>
  <si>
    <t>41</t>
  </si>
  <si>
    <t>36</t>
  </si>
  <si>
    <t>Техническая ошибка в плане реализации государственной программы. В государственной программе показатель по численности граждан, получивших финансовую поддержку составляет ежегодно не менее 50 человек (с учетом поквартальной разбивки на 2018 год установлен: I квартал – 12 человек, 6 месяцев – 32 человека, 9 месяцев – 44 человека, 2018 год – 50 человек). В плане ошибочно была указана численность безработных граждан, открывших собственное дело.</t>
  </si>
  <si>
    <t>2.4.</t>
  </si>
  <si>
    <t>Содействие трудоустройству молодежи</t>
  </si>
  <si>
    <t>количество созданных или сохраненных рабочих мест для трудоустройства молодежи; единиц</t>
  </si>
  <si>
    <t>Снижение численности молодежи от 16 до 29 лет, признанных безработными в 2017 году по сравнению с 2016 годом на 17,5%, ужесточение порядка и условий предоставления субсидий работодателям на выплату компенсации расходов на трудоустройство молодого гражданина.</t>
  </si>
  <si>
    <t>4.3.</t>
  </si>
  <si>
    <t>Возмещение затрат Пенсионному фонду Российской Федерации за выплаченные пенсии, назначенные по предложениям центров занятости населения на период до наступления возраста, дающего право на установление страховой пенсии по старости, в том числе досрочно назначаемой страховой пенсии по старости</t>
  </si>
  <si>
    <t>среднемесячная численность получателей пенсий, назначенных досрочно; человек</t>
  </si>
  <si>
    <t>110</t>
  </si>
  <si>
    <t>92</t>
  </si>
  <si>
    <t>90</t>
  </si>
  <si>
    <t>Снижение численности обратившихся граждан, претендующих на получение досрочной пенсии: граждан предпенсионного возраста – c 1417 человек в I полугодии 2017 года до 1332 человек в I полугодии 2018 года; уволенных в связи с ликвидацией организации, либо сокращением численности или штата работников 
организации  – c 1715 человек в I полугодии 2017 года до 1488 человек в I полугодии 2018 года, персонифицированная работа с гражданами, подбор вариантов для трудоустройства.</t>
  </si>
  <si>
    <t>6.2.</t>
  </si>
  <si>
    <t>Обеспечение деятельности министерства труда, занятости и социального развития как ответственного исполнителя государственной программы</t>
  </si>
  <si>
    <t>исполнение бюджета к утвержденному плану года; процентов</t>
  </si>
  <si>
    <t>14,4</t>
  </si>
  <si>
    <t>39,6</t>
  </si>
  <si>
    <t>Предоставление документов на оплату фактических расходов на командировки меньше запланированных, экономия в результате конкурсных процедур.</t>
  </si>
  <si>
    <t>ГП АО "Защита населения и территории Архангельской области от чрезвычайных ситуаций, обеспечение пожарной безопасности и безопасности людей на водных объектах (2014 – 2017 годы)"</t>
  </si>
  <si>
    <t>Подпрограмма № 2. «Снижение рисков и смягчение последствий чрезвычайных ситуаций, а также обеспечение безопасности людей на водных объектах»</t>
  </si>
  <si>
    <t>2.9.</t>
  </si>
  <si>
    <t>Финансовое обеспечение деятельности государственного казенного учреждения «Центр обеспечения мероприятий гражданской защиты»</t>
  </si>
  <si>
    <t>исполнение бюджета к утвержденному плану года; процент</t>
  </si>
  <si>
    <t>45</t>
  </si>
  <si>
    <t>35,8</t>
  </si>
  <si>
    <t>Связано с тем, что заработная плата и страховые взносы работникам противопожарной службы за июнь будут выплачена 2-го июля 2018 года, т.е. в третьем квартале.</t>
  </si>
  <si>
    <t>233</t>
  </si>
  <si>
    <t>126</t>
  </si>
  <si>
    <t>134</t>
  </si>
  <si>
    <t>Подпрограмма № 3 «Обеспечение деятельности агентства государственной противопожарной службы и гражданской защиты Архангельской области, как ответственного исполнителя»</t>
  </si>
  <si>
    <t>Обеспечение деятельности агентства государственной противопожарной службы и гражданской защиты Архангельской области как ответственного исполнителя государственной программы</t>
  </si>
  <si>
    <t>агентство ГПС и ГЗ Архангельской области</t>
  </si>
  <si>
    <t>25,8</t>
  </si>
  <si>
    <t>22,3</t>
  </si>
  <si>
    <t>53,0</t>
  </si>
  <si>
    <t>52,4</t>
  </si>
  <si>
    <t>78,6</t>
  </si>
  <si>
    <t>70,2</t>
  </si>
  <si>
    <t>Неполное освоение средств обусловлено резервированием средств на командировочные расходы отдела государственного регионального надзора на 4 квартал 2017 года, оплатой компенсации стоимости проезда в отпуск работников за 3 квартал 2017 года в октябре месяце.</t>
  </si>
  <si>
    <t>ГП АО "Охрана окружающей среды, воспроизводство и использование природных ресурсов в Архангельской области (2014 – 2020 годы)"</t>
  </si>
  <si>
    <t>Подпрограмма № 1 «Охрана окружающей среды и обеспечение экологической безопасности Архангельской области»</t>
  </si>
  <si>
    <t>Проведение мероприятий, направленных на развитие ООПТ</t>
  </si>
  <si>
    <t>Министерство природных ресурсов и лесопромышленного комплекса Архангельской области</t>
  </si>
  <si>
    <t>количество заключенных  контрактов на поставку транспортных средств  и оборудования; единиц</t>
  </si>
  <si>
    <t>Не заключено два контракта на приобретение транспортного средства и оборудования  для Сийского государственного природного биологического заказника регионального значения   ввиду отсутствия заявок на участие в торгах, аукционы были признаны несостоявшимися.</t>
  </si>
  <si>
    <t xml:space="preserve">Подпрограмма № 3 «Развитие водохозяйственного комплекса Архангельской области»
</t>
  </si>
  <si>
    <t>Выполнение мероприятий по обеспечению исполнения отдельных полномочий Российской Федерации в области водных отношений</t>
  </si>
  <si>
    <t>количество заключенных  государственных контрактов; единиц</t>
  </si>
  <si>
    <t>Не заключено два государственных контракта  на выполнение работ по определению границ водных объектов (береговых линий), их водоохранных зон и прибрежных защитных полос в бассейне р. Пинега на участке от истока р. Пинега до устья р. Шоча  и в бассейне рек, впадающих в Белое море  на участке от устья р. Унежма до устья р. Бабья (без р. Онега) в связи с тем, что на участие в торгах подана  одна  заявка, конкурсы признаны несостоявшимися.</t>
  </si>
  <si>
    <t>4.1.</t>
  </si>
  <si>
    <t>Ведение мониторинга состояния берегов водных объектов</t>
  </si>
  <si>
    <t>количество заключенных государственных  контрактов; единиц</t>
  </si>
  <si>
    <t>Не заключено два государственных контракта на выполнение работ по мониторингу водных объектов в связи с тем, что извещение о проведении запроса котировок не было размещено на электронной площадке из-за отсутствия потенциальных участников выполнения работ. Работа по поиску потенциальных участников ведется с апреля текущего года.</t>
  </si>
  <si>
    <t>Подготовка предложений по определению границ зон затопления (подтопления) Архангельской области</t>
  </si>
  <si>
    <t>заключение государственного контракта; срок завершения</t>
  </si>
  <si>
    <t>30 мая</t>
  </si>
  <si>
    <t>Не заключен государственный контракт на проведение работ по определению границ зон затопления, подтопления на территории муниципального образования «Котлас» Архангельской области ввиду отклонения конкурсной комиссией заявки от единственного поставщика.</t>
  </si>
  <si>
    <t>ГП АО "Патриотическое воспитание, развитие физической культуры, спорта, туризма и повышение эффективности реализации молодежной политики в Архангельской области (2014 – 2020 годы)"</t>
  </si>
  <si>
    <t xml:space="preserve">Подпрограмма № 2 «Молодежь Архангельской области 
(2014 –2020 годы)»
</t>
  </si>
  <si>
    <t>3.4.</t>
  </si>
  <si>
    <t>Субсидии подведомственным учреждениям на иные цели в части обеспечения их основной деятельности</t>
  </si>
  <si>
    <t>исполнение бюджета к утвержденному плану; проценты</t>
  </si>
  <si>
    <t>Подпрограмма № 3 «Гражданско-патриотическое воспитание граждан Российской Федерации и допризывная подготовка молодежи в Архангельской области (2014 – 2020 годы)»</t>
  </si>
  <si>
    <t>Проведение финалов военно-спортивных игр «Зарничка» и «Зарница», обеспечение участия школьников во Всероссийских играх и соревнованиях</t>
  </si>
  <si>
    <t>Количество участников военно-спортивных игр; человек</t>
  </si>
  <si>
    <t>80</t>
  </si>
  <si>
    <t>В I полугодии проведена игра «Зарница». Игра «Зарничка» будет проводится во II полугодии. По итогам проведения финалов количество участников увеличится.</t>
  </si>
  <si>
    <t>1.7.</t>
  </si>
  <si>
    <t>Выделение субсидий общественным поисковым объединениям и общественным объединениям патриотической направленности</t>
  </si>
  <si>
    <t>Количество субсидий; единиц</t>
  </si>
  <si>
    <t>Конкурс на получения субсидий объявлен с 13 по 29 июня. Заявки поступили. Заседание комиссии перенесено на 16 июля 2018 года в связи с отсутствием кворума.</t>
  </si>
  <si>
    <t>1.8</t>
  </si>
  <si>
    <t>Развитие юнармейского движения на территории Архангельской области</t>
  </si>
  <si>
    <t>проведение профильных юнармейских смен в детских оздоровительных лагерях; единиц</t>
  </si>
  <si>
    <t>Не выполнено в связи с переносом  открытия смены в ДОЛ «Лесная поляна»</t>
  </si>
  <si>
    <t>3.3.</t>
  </si>
  <si>
    <t>Субсидия государственному автономному учреждению Архангельской области "Региональный центр патриотического воспитания и подготовки граждан (молодежи) к военной службе" на иные цели в части обеспечения их основной деятельности</t>
  </si>
  <si>
    <t>Субсидия направляется на компенсацию проезда к месту отдыха. По состоянию на 01 июля 2018 года по заявлениям работников выплачено только 25% от запланированной суммы. Показатель скорректируется по итогам 3 квартала.</t>
  </si>
  <si>
    <t>Подпрограмма № 5 «Создание условий для реализации государственной программы»</t>
  </si>
  <si>
    <t>Осуществление функций в сфере физической культуры и спорта, молодежной политики, патриотического воспитания граждан</t>
  </si>
  <si>
    <t>Исполнение бюджета к утвержденному плану года; процент</t>
  </si>
  <si>
    <t>24,4</t>
  </si>
  <si>
    <t>49,1</t>
  </si>
  <si>
    <t>Не выполнено по причине того, что в начале июля 2018 г. не состоялись запланированные командировки сотрудников и перечисления налоговых платежей.</t>
  </si>
  <si>
    <t>ГП АО "Экономическое развитие и инвестиционная деятельность в Архангельской области (2014 - 2020 годы)"</t>
  </si>
  <si>
    <t>Подпрограмма № 1 «Формирование благоприятной среды для развития инвестиционной деятельности»</t>
  </si>
  <si>
    <t>1.3.</t>
  </si>
  <si>
    <t>Создание благоприятной административной среды для осуществления инвестиционной деятельности</t>
  </si>
  <si>
    <t>агентство стратегических разработок Архангельской области (далее - агентство стратегических разработок)</t>
  </si>
  <si>
    <t>организация и проведение заседаний рабочей группы по рассмотрению инвестиционных проектов; единиц</t>
  </si>
  <si>
    <t>Рассмотрение всех заявок об инвестиционных проектах состоялось в рамках одного заседания рабочей группы. Необходимость в организации второго заседания рабочей группы отсутствовала.</t>
  </si>
  <si>
    <t>Подпрограмма № 2 «Развитие субъектов малого и среднего предпринимательства в Архангельской области»</t>
  </si>
  <si>
    <t>1.2.9</t>
  </si>
  <si>
    <t>Оказание консультационных услуг молодым предпринимателям</t>
  </si>
  <si>
    <t>министерство экономического развития</t>
  </si>
  <si>
    <t>количество оказанных консультаций  физическим лицам в возрасте до 30 лет (включительно) участвующих в образовательным программах, направленных на приобретение навыков ведения бизнеса и создания малых и средних предприятий, а так жк субъектам малого и среднего предпринимательства в возрасте до 30 лет (включительно); единиц</t>
  </si>
  <si>
    <t>Консультации оказываются по запросам молодых предпринимателей, но необходимого количества запросов не поступило.</t>
  </si>
  <si>
    <t>1.2.1</t>
  </si>
  <si>
    <t>Проведение информационной кампании по повышению престижа предпринимательской деятельности, в том числе публикации в средствах массовой информации, направленные на популяризацию положительного образа молодого предпринимателя; вовлечение молодежи в мероприятия по молодежному предпринимательству</t>
  </si>
  <si>
    <t>количество  выходов материалов, сюжетов, анонсов, новостей в средствах массовой информации; единиц</t>
  </si>
  <si>
    <t>55</t>
  </si>
  <si>
    <t>53</t>
  </si>
  <si>
    <t>95</t>
  </si>
  <si>
    <t>91</t>
  </si>
  <si>
    <t>1.2.5</t>
  </si>
  <si>
    <t>Проведение игровых и тренинговых мероприятий, образовательных курсов, конкурсов среди старшеклассников в возрасте 14-17 лет</t>
  </si>
  <si>
    <t>количество  тренинговых и иных мероприятий, образовательных курсов, конкурсов среди старшеклассников в возрасте 14-17 лет; единиц</t>
  </si>
  <si>
    <t>1.2.10</t>
  </si>
  <si>
    <t>Осуществление мониторинга эффективности мероприятий, направленных на вовлечение молодежи в предпринимательскую деятельность</t>
  </si>
  <si>
    <t>количество субъектов малого предпринимательства, созданных физическими лицами в возрасте до 30 лет (включительно), вовлеченными в реализацию мероприятий; единиц</t>
  </si>
  <si>
    <t>количество вновь созданных рабочих мест (включая вновь зарегистрированных индивидуальных предпринимателей) субъектами молодежного предпринимательства, получившими государственную поддержку; единиц</t>
  </si>
  <si>
    <t xml:space="preserve">Подпрограмма № 4 «Совершенствование организации государственных закупок в Архангельской области»
</t>
  </si>
  <si>
    <t>Разработка, создание, поэтапное внедрение в работу и развитие региональной информационной системы</t>
  </si>
  <si>
    <t>приемка результатов исполнения государственного контракта на создание региональной информационной системы управления закупками Архангельской области; срок завершения</t>
  </si>
  <si>
    <t>Договор на создание, поэтапное внедрение в работу Системы заключен 19.06.2017 между ГАУ АО «Управление ИКТ АО» (заказчик) и АО «Когнитив» (подрядчик). На отчетную дату работы по договору подрядчиком не завершены (плановая дата окончания работ в соответствии с договором – 15.12.2017). Договором предусмотрено выполнение работ в четыре этапа. Работы первого и второго этапа подрядчиком завершены, подписаны акты сдачи-приемки этапов работ (второй этап сдан с просрочкой). Работы третьего этапа выполняются подрядчиком с нарушением срока.</t>
  </si>
  <si>
    <t xml:space="preserve">Подпрограмма № 4 «Совершенствование организации государственных закупок в Архангельской области»
</t>
  </si>
  <si>
    <t>Обеспечение деятельности контрактного агентства как ответственного исполнителя подпрограммы</t>
  </si>
  <si>
    <t>контрактное агентство</t>
  </si>
  <si>
    <t>исполнение бюджета к плану года; процент</t>
  </si>
  <si>
    <t>24,6</t>
  </si>
  <si>
    <t>48,3</t>
  </si>
  <si>
    <t>69</t>
  </si>
  <si>
    <t>Дата выплаты заработной платы и налогов – 01 октября 2017 года</t>
  </si>
  <si>
    <t>ГП АО "Развитие лесного комплекса Архангельской области (2014 – 2020 годы)"</t>
  </si>
  <si>
    <t>Подпрограмма № 1 «Обеспечение использования лесов»</t>
  </si>
  <si>
    <t>Организация использования лесов</t>
  </si>
  <si>
    <t>создание лесных дорог (кроме противопожарного назначения); км</t>
  </si>
  <si>
    <t xml:space="preserve">В установленные сроки не был заключён контракт на выполнение работ по разработке проекта Лесного плана Архангельской области на 2017-2027 годы, в связи с тем, что Минприроды Российской Федерации не приняты «Правила ухода за лесом» учитывающие особенности ведения лесного хозяйства в Двинско-Вычегодском таежном районе.
</t>
  </si>
  <si>
    <t>Проведение мероприятий лесоустройства</t>
  </si>
  <si>
    <t>заключение государственного контракта на проведение лесоустройства земель лесного фонда Архангельской области; срок завершения</t>
  </si>
  <si>
    <t>1 июля</t>
  </si>
  <si>
    <t>14 июля</t>
  </si>
  <si>
    <t>Подпрограмма № 2 «Воспроизводство лесов»</t>
  </si>
  <si>
    <t>Осуществление лесовосстановления 
и лесоразведения</t>
  </si>
  <si>
    <t>площадь проведенной обработки почвы под лесные культуры; га</t>
  </si>
  <si>
    <t>1300</t>
  </si>
  <si>
    <t>1680</t>
  </si>
  <si>
    <t>В целях выполнения объемов работ министерством в марте отправлена заявка на выделение дополнительного финансирования из областного бюджета, так как дополнительные средства не были выделены до срока проведения работ объемы не выполнены.</t>
  </si>
  <si>
    <t>Подпрограмма № 3 «Охрана и защита лесов»</t>
  </si>
  <si>
    <t>Предупреждение возникновения 
и распространения лесных пожаров</t>
  </si>
  <si>
    <t>создание лесных дорог, предназначенных для охраны лесов от пожаров; км</t>
  </si>
  <si>
    <t>4,32</t>
  </si>
  <si>
    <t>Фактическое значение показателя указано на основании предоставленных оперативных данных. Отчет об охране лесов, содержащий данный показатель, предоставляется лицами, использующими леса, ежеквартально до 10 числа месяца следующего за отчетным. После обработки отчетов данный показатель будет уточнен.</t>
  </si>
  <si>
    <t>Проведение профилактики возникновения, локализация и ликвидация очагов вредных организмов</t>
  </si>
  <si>
    <t>площадь проведения лесопатологического обследования территории лесного фонда Архангельской области; га</t>
  </si>
  <si>
    <t>500</t>
  </si>
  <si>
    <t>37,0</t>
  </si>
  <si>
    <t>Проведение биотехнических и санитарно–оздоровительных мероприятий возможно только по результатам проведения лесопатологических обследований, согласованных Департаментом лесного хозяйства по Северо–Западному федеральному округу. В 2017 году Департаментом лесного хозяйства по Северо-Западному федеральному округу согласовано 30 актов лесопатологических обследований на общую площадь санитарно-оздоровительных мероприятий 900 га, в т.ч. сплошная санитарная рубка – 400 га, выборочная санитарная рубка – 450 га, без назначения – 50 га, из которых проведено сплошных санитарных рубок – 895,5 га, выборочных санитарных рубок – 419,7 га. Практически весь объем обследованных насаждений пройден санитарно-оздоровительными мероприятиями, поэтому в 2018 году проведение санитарно-оздоровительных мероприятий возможно только по вновь обследованным и согласованным участкам.</t>
  </si>
  <si>
    <t>Подпрограмма № 4. «Обеспечение реализации государственной программы Архангельской области «Развитие лесного комплекса Архангельской области (2014 – 2020 годы)»</t>
  </si>
  <si>
    <t>Обеспечение деятельности исполнительного органа государственной власти Архангельской области, осуществляющего руководство 
и управление в сфере установленных функций</t>
  </si>
  <si>
    <t>Исполнение бюджета к утвержденному плану года; проценты</t>
  </si>
  <si>
    <t>20,5</t>
  </si>
  <si>
    <t>47,7</t>
  </si>
  <si>
    <t>38,4</t>
  </si>
  <si>
    <t>72,7</t>
  </si>
  <si>
    <t>65,6</t>
  </si>
  <si>
    <t xml:space="preserve"> - излишне заявленные средства на выплату заработной платы 
и начисления на оплату труда, а также средства на выплату отпускных по сроку с 1 по 05 число, следующее за отчетным периодом;
- экономия по оплате работникам  проезда к месту отдыха и обратно, авансовые отчеты предъявлены на меньшие, чем планировалось суммы;
- не заключен договор на  экологическую экспертизу;
- остаток средств по уплате налога на имущество, транспортного налога, в связи с уточнением сумм налогов за соответствующий период.
</t>
  </si>
  <si>
    <t>Обеспечение деятельности подведомственных учреждений</t>
  </si>
  <si>
    <t>20,2</t>
  </si>
  <si>
    <t>18,1</t>
  </si>
  <si>
    <t>45,9</t>
  </si>
  <si>
    <t>41,8</t>
  </si>
  <si>
    <t>70,1</t>
  </si>
  <si>
    <t>66,5</t>
  </si>
  <si>
    <t xml:space="preserve">Фактическая потребность территориальных органов и государственных казенных учреждений министерства в объемах финансирования за 9 месяцев сложилась меньше запланированной в виду следующих причин: 
- излишне заявленные средства на выплату заработной платы 
и начисления на оплату труда, а также средства на выплату отпускных по сроку с 1 по 05 число, следующее за отчетным периодом;
- экономия по оплате работникам  проезда к месту отдыха и обратно, авансовые отчеты предъявлены на меньшие, чем планировалось суммы;
не заключен договор на  экологическую экспертизу;
- остаток средств на материально-техническое обеспечение деятельности 28 государственных казенных учреждений, 2 территориальных органов 
и аппарата министерства - излишне заявленные средства на оплату услуг 
и поставку товаров;
- остаток средств по уплате налога на имущество, земельного налога, транспортного налога, в связи с уточнением суммы налога за соответствующий период.
</t>
  </si>
  <si>
    <t>Подпрограмма № 4 «Обеспечение реализации государственной программы Архангельской области «Развитие лесного комплекса Архангельской области (2014 – 2020 годы)»</t>
  </si>
  <si>
    <t>19,5</t>
  </si>
  <si>
    <t>16,2</t>
  </si>
  <si>
    <t>39,2</t>
  </si>
  <si>
    <t>18,9</t>
  </si>
  <si>
    <t>19,1</t>
  </si>
  <si>
    <t>40,5</t>
  </si>
  <si>
    <t>Излишне заявленные средства на выплату заработной платы и начисления на оплату труда, а также средства на выплату отпускных по сроку с 1 по 05 число, следующее за отчетным периодом;
- не предъявлены авансовые отчеты для оплаты проезда к месту отдыха и обратно; 
- остаток средств по начислениям на выплаты по оплате  труда в связи с возвратом средств из ФСС по больничным листам;
- остаток средств на материально-техническое обеспечение деятельности 28 государственных казенных учреждений;                                                                                                                                                                                                                                                                                                        - излишне заявленные средства на оплату услуг 
и поставку товаров;
- остаток средств по уплате налога на имущество, земельного налога, транспортного налога, в связи с уточнением суммы налога за соответствующий период.</t>
  </si>
  <si>
    <t>ГП АО "Развитие энергетики, связи и жилищно-коммунального хозяйства Архангельской области (2014 - 2020 годы)"</t>
  </si>
  <si>
    <t>Подпрограмма №3 «Формирование и реализация региональной политики в сфере энергетики, связи и жилищно-коммунального хозяйства Архангельской области»</t>
  </si>
  <si>
    <t>3.1.</t>
  </si>
  <si>
    <t>Субсидии на возмещение недополученных доходов, возникающих в результате государственного регулирования розничных цен на сжиженный газ, реализуемый для нужд населения</t>
  </si>
  <si>
    <t>министерство ТЭК и ЖКХ АО</t>
  </si>
  <si>
    <t>количество организаций, в адрес которых представлены субсидии; единиц</t>
  </si>
  <si>
    <t>Финансирование осуществляется по заключенным договорам и по поступившим от ресурсонабжающих организаций заявкам.</t>
  </si>
  <si>
    <t>Субсидии на возмещение недополученных доходов, возникающих в результате государственного регулирования тарифов на тепловую энергию, поставляемую населению и потребителем к населению, на нужды теплоснабжения</t>
  </si>
  <si>
    <t>96</t>
  </si>
  <si>
    <t>100</t>
  </si>
  <si>
    <t>97</t>
  </si>
  <si>
    <t>3.5.</t>
  </si>
  <si>
    <t>Субсидии на возмещение недополученных доходов, возникающих в результате государственного регулирования тарифов на холодную воду и водоотведение для населения и потребителей, приравненных к населению</t>
  </si>
  <si>
    <t>73</t>
  </si>
  <si>
    <t>82</t>
  </si>
  <si>
    <t>76</t>
  </si>
  <si>
    <t>3.10.</t>
  </si>
  <si>
    <t>Обеспечение деятельности государственной жилищной инспекции</t>
  </si>
  <si>
    <t>исполнение бюджета к утвержденному плану на год; проценты</t>
  </si>
  <si>
    <t>19</t>
  </si>
  <si>
    <t>52</t>
  </si>
  <si>
    <t>3.13.</t>
  </si>
  <si>
    <t>Обеспечение деятельности ГКУ АО "Региональный центр по энергосбережению"</t>
  </si>
  <si>
    <t>27</t>
  </si>
  <si>
    <t>51</t>
  </si>
  <si>
    <t>46,4</t>
  </si>
  <si>
    <t>Экономия по заработной плате по причине наличия вакантных должностей.</t>
  </si>
  <si>
    <t>3.9.</t>
  </si>
  <si>
    <t>Обеспечение деятельности министерства ТЭК и ЖКХ</t>
  </si>
  <si>
    <t>21,5</t>
  </si>
  <si>
    <t>25.3</t>
  </si>
  <si>
    <t>51,2</t>
  </si>
  <si>
    <t>76,5</t>
  </si>
  <si>
    <t>73,1</t>
  </si>
  <si>
    <t>Часть запланированных командировок перенесена на 4 квартал 2017 года</t>
  </si>
  <si>
    <t>ГЖИ</t>
  </si>
  <si>
    <t>48</t>
  </si>
  <si>
    <t>74</t>
  </si>
  <si>
    <t>Экономия по заработной плате по причине наличия вакантных должностей</t>
  </si>
  <si>
    <t>Обеспечение выполнения государственного задания ГКУ Архангельской области «Региональный центр по энергосбережению"</t>
  </si>
  <si>
    <t>26,9</t>
  </si>
  <si>
    <t>22</t>
  </si>
  <si>
    <t>42,3</t>
  </si>
  <si>
    <t>79,5</t>
  </si>
  <si>
    <t>61,9</t>
  </si>
  <si>
    <t>ГП АО "Развитие местного самоуправления Архангельской области и государственная поддержка социально-ориентированных некоммерческих организаций (2014 – 2020 годы)"</t>
  </si>
  <si>
    <t>Подпрограмма № 1 «Государственная поддержка социально ориентированных некоммерческих организаций»</t>
  </si>
  <si>
    <t>Реализация целевых проектов социально ориентированных некоммерческих организаций (на конкурсной основе)</t>
  </si>
  <si>
    <t>Заключение договоров по итогам конкурса и перечисление субсидий; срок завершения</t>
  </si>
  <si>
    <t>31 июня</t>
  </si>
  <si>
    <t>В связи с внесением изменений в постановление Правительства Архангельской области от 20 сентября 2011 года № 334-пп «Об утверждении Положения о конкурсах целевых проектов социально ориентированных некоммерческих организаций и порядке предоставления субсидий из областного бюджета социально ориентированным некоммерческим организациям» смещены сроки проведения конкурса.</t>
  </si>
  <si>
    <t>4.3</t>
  </si>
  <si>
    <t>Поддержка интернет-портала в информационно-телекоммуникационной сети "Интернет" администрации Губернатора и Правительства для поддержки и развития социально ориентированных некоммерческих организаций</t>
  </si>
  <si>
    <t>Расширение функционала сайта в части обеспечения подачи заявок в электронном виде (техническая готовность); процентов</t>
  </si>
  <si>
    <t>Неполное выполнение мероприятия связано с отдельными техническими сложностями, возникшими в ходе внедрения на указанном интернет-портале единой формы заявки для конкурсов целевых проектов социально ориентированных некоммерческих организаций.</t>
  </si>
  <si>
    <t>ГП АО "Развитие транспортной системы Архангельской области (2014 - 2020 годы)"</t>
  </si>
  <si>
    <t>Подпрограмма № 2 «Развитие общественного пассажирского транспорта и транспортной инфраструктуры Архангельской области»</t>
  </si>
  <si>
    <t>1.10.</t>
  </si>
  <si>
    <t>Проектирование и строительство транспортных развязок в муниципальном образовании "Город Архангельск"</t>
  </si>
  <si>
    <t>министерство транспорта  Архангельской области</t>
  </si>
  <si>
    <t>Выполнение конкурсных процедур и заключение контрактов на разработку проектной документации по двум транспортным развязкам; срок завершения</t>
  </si>
  <si>
    <t>26 сентября</t>
  </si>
  <si>
    <t xml:space="preserve">Выполнение конкурсных процедур и заключение контрактов на разработку проектной документации перенесено на 2 полугодие 2017 года в связи с реорганизационными процедурами в мэрии города Архангельска и изменением заказчика 
по мероприятию.
</t>
  </si>
  <si>
    <t>Обеспечение деятельности министерства транспорта Архангельской области</t>
  </si>
  <si>
    <t>Количество приобретенных речных судов; единиц</t>
  </si>
  <si>
    <t xml:space="preserve">Признание торгов не состоявшимися. </t>
  </si>
  <si>
    <t>Подпрограмма № 3 «Развитие и совершенствование сети автомобильных дорог общего пользования регионального значения»</t>
  </si>
  <si>
    <t>4.4.</t>
  </si>
  <si>
    <t>Строительство (реконструкция) автомобильной дороги Усть-Ваеньга - Осиново - Фалюки</t>
  </si>
  <si>
    <t>Архангельскавтодор</t>
  </si>
  <si>
    <t>Экспертиза проектной документации; срок завершения</t>
  </si>
  <si>
    <t>Подпрограмма № 4 «Улучшение эксплуатационного состояния автомобильных дорог общего пользования регионального значения за счет ремонта, капитального ремонта и содержания»</t>
  </si>
  <si>
    <t>Разработка проектной документации на капитальный ремонт и ремонт мостов</t>
  </si>
  <si>
    <t>Количество разработанных проектных документаций; единиц</t>
  </si>
  <si>
    <t>Капитальный ремонт и ремонт мостов</t>
  </si>
  <si>
    <t>Техническая готовность вводных объектов (I квартал: подготовка документации для размещения государственного заказа, торги; II-IV квартал: заключение государственных контрактов, выполнение работ по капитальному ремонту и ремонту мостов); процент</t>
  </si>
  <si>
    <t>Устройство линий искусственного освещения в рамках обеспечения безопасности движения по региональным автомобильным дорогам</t>
  </si>
  <si>
    <t>Готовность проектной документации (I-II квартал: разработка проектной документации; III квартал  проведение экспертизы проектной документации); процент</t>
  </si>
  <si>
    <t>Устройство автобусных остановок в рамках обеспечения безопасности движения по региональным автомобильным дорогам</t>
  </si>
  <si>
    <t>Количество устроенных автобусных остановок; единиц</t>
  </si>
  <si>
    <t>Подпрограмма № 5 «Создание условий для реализации государственной программы и осуществления иных расходов»</t>
  </si>
  <si>
    <t>Количество зарегистрированных самоходных машин и прицепов к ним; единиц</t>
  </si>
  <si>
    <t>60</t>
  </si>
  <si>
    <t>135</t>
  </si>
  <si>
    <t>83</t>
  </si>
  <si>
    <t>Количество выданных удостоверений тракториста-машиниста; единиц</t>
  </si>
  <si>
    <t>145</t>
  </si>
  <si>
    <t>Обеспечение деятельности учреждений, осуществляющих управление в сфере дорожного хозяйства</t>
  </si>
  <si>
    <t>ГП АО "Развитие инфраструктуры Соловецкого архипелага (2014 – 2019 годы)"</t>
  </si>
  <si>
    <t>37</t>
  </si>
  <si>
    <t>Финансовое обеспечение деятельности агентства по развитию Соловецкого архипелага Архангельской области как ответственного исполнителя государственной программы</t>
  </si>
  <si>
    <t>агентство по развитию Соловецкого архипелага Архангельской области</t>
  </si>
  <si>
    <t>23</t>
  </si>
  <si>
    <t>Отклонение кассовых расходов от плановых показателей объемов финансирования связано с разницей по отчислениям в социальные фонды на начисления на выплаты по оплате труда, по оплате расходов на служебные командировки и компенсации расходов на оплату стоимости проезда и провоза багажа к месту использования отпуска и обратно, оплатой коммунальных услуг за июнь 2018 года в июле 2018 года.</t>
  </si>
  <si>
    <t>37.</t>
  </si>
  <si>
    <t>42,5</t>
  </si>
  <si>
    <t>Фактические выплаты по оплате командировочных расходов и выплаты по компенсации расходов на оплату стоимости проезда к месту отдыха и обратно оказались меньше запланированного объема, а также оплата коммунальных расходов, расходов на услуги связи и расходов на содержание имущества за сентябрь 2017 года будут произведены в октябре 2017 года в связи с поздним предоставление счетов и актов выполненных работ.</t>
  </si>
  <si>
    <t>38.</t>
  </si>
  <si>
    <t>Расходы на обеспечение деятельности подведомственных учреждений</t>
  </si>
  <si>
    <t>40,2</t>
  </si>
  <si>
    <t>66,4</t>
  </si>
  <si>
    <t xml:space="preserve">Выплаты по заработной плате и начислениям по ФОТ за сентябрь 2017 года произведены 
в октябре 2017 года.
</t>
  </si>
  <si>
    <t>ГП АО "Развитие имущественно-земельных отношений в Архангельской области (2014 - 2018 годы)"</t>
  </si>
  <si>
    <t>1.5.</t>
  </si>
  <si>
    <t>Определение целевых функций для объектов управления государственным имуществом</t>
  </si>
  <si>
    <t>Количество унитарных предприятий; единиц</t>
  </si>
  <si>
    <t>Исключена из реестра юридических лиц государственное унитарное предприятие Архангельской области «Столовая Россиянка» в связи с ликвидацией.</t>
  </si>
  <si>
    <t>ГП АО "Управление государственными финансами и государственным долгом Архангельской области (2014 - 2017 годы)"</t>
  </si>
  <si>
    <t xml:space="preserve">Подпрограмма № 1 «Организация и обеспечение бюджетного процесса 
и развитие информационных систем управления финансами 
в Архангельской области»
</t>
  </si>
  <si>
    <t>5.2.</t>
  </si>
  <si>
    <t>Обеспечение деятельности министерства финансов как главного администратора расходов областного бюджета</t>
  </si>
  <si>
    <t>министерство финансов Архангельской области</t>
  </si>
  <si>
    <t>Отношение доведенных предельных объемов финансирования к утвержденному плану года по расходам на предоставление субсидий муниципальным образованиям на доставку муки и лекарственных средств в районы Крайнего Севера и приравненные к ним местности с ограниченными сроками завоза грузов; процент</t>
  </si>
  <si>
    <t>3,5</t>
  </si>
  <si>
    <t>56,3</t>
  </si>
  <si>
    <t>39,5</t>
  </si>
  <si>
    <t>Недовыполнение по показателю обусловлено изменением квартальной потребности и соответственно отсутствием заявок органов местного самоуправления МО «Ленский муниципальный район», МО «Пинежский муниципальный район» на перечисление указанных субсидий, а также тем, что только частично профинансированы МО «Приморский муниципальный район и МО «Шенкурский муниципальный район».</t>
  </si>
  <si>
    <t>ГП АО "Эффективное государственное управление в Архангельской области (2014 – 2018 годы)"</t>
  </si>
  <si>
    <t xml:space="preserve">Подпрограмма № 3 «Создание систем электронного правительства, 
развитие информационного общества Архангельской области»
</t>
  </si>
  <si>
    <t>2.3.</t>
  </si>
  <si>
    <t>Создание интегрированной региональной информационно-аналитической системы для целей прогнозирования, моделирования и проектирования сценарных вариантов развития региона</t>
  </si>
  <si>
    <t>проведение закупочных процедур и заключение договора; срок завершения</t>
  </si>
  <si>
    <t>Создание интернет-портала для разработки стратегии социально-экономического развития Архангельской области</t>
  </si>
  <si>
    <t>Подпрограмма № 4 «Поддержка и развитие печатных средств массовой информации, обеспечение информирования населения о социально-экономическом развитии Архангельской области»</t>
  </si>
  <si>
    <t>Производство и размещение информации в средствах массовой информации</t>
  </si>
  <si>
    <t>длительность  вещания на радиоканалах; минут</t>
  </si>
  <si>
    <t>27,2</t>
  </si>
  <si>
    <t>В связи закрытием отчетного периода по полугодию казначейством 30 июня 2018 года. Фактически запланированная услуга оказана, но счета за услугу выставлены 06 июля, соответственно, оплата по выставленным счетам не произведена, и показатели не вошли в отчет за I полугодие</t>
  </si>
  <si>
    <t>Публикация отчетов депутатов Архангельского областного Собрания депутатов (далее - депутатов) и информирование о законотворческой деятельности депутатов</t>
  </si>
  <si>
    <t>агентство  по печати и СМИ</t>
  </si>
  <si>
    <t>количество опубликованных полос формата А3; единиц</t>
  </si>
  <si>
    <t>36,5</t>
  </si>
  <si>
    <t>125</t>
  </si>
  <si>
    <t>109,1</t>
  </si>
  <si>
    <t>В связи с отсутствием потребности за 6 месяцев 2018 года в публикации большего объема информационных материалов о законотворческой деятельности депутатов.</t>
  </si>
  <si>
    <t>Производство и выпуск сетевого издания</t>
  </si>
  <si>
    <t>количество просмотров сайта; тыс. единиц</t>
  </si>
  <si>
    <t>750</t>
  </si>
  <si>
    <t>80,916</t>
  </si>
  <si>
    <t>Подпрограмма № 5 «Развитие отдельных направлений системы государственного управления Архангельской области»</t>
  </si>
  <si>
    <t>Обеспечение деятельности агентства записи актов гражданского состояния Архангельской области (далее – агентство ЗАГС)</t>
  </si>
  <si>
    <t>агентство записи актов гражданского состояния Архангельской области</t>
  </si>
  <si>
    <t>В 2018 году в рамках единой субвенции агентству выделены дополнительные средства на перевод в электронную форму книг государственной регистрации актов гражданского состояния (далее - актовые книги)</t>
  </si>
  <si>
    <t>4.2</t>
  </si>
  <si>
    <t>Обеспечение проведения официальных мероприятий 
с участием Губернатора Архангельской области 
и заместителей Губернатора Архангельской области</t>
  </si>
  <si>
    <t>13,6</t>
  </si>
  <si>
    <t>31,5</t>
  </si>
  <si>
    <t>Уточнение плана официальных мероприятий.</t>
  </si>
  <si>
    <t>4.4</t>
  </si>
  <si>
    <t>Обеспечение деятельности государственного казенного учреждения Архангельской области «Хозяйственное управление»</t>
  </si>
  <si>
    <t>9,5</t>
  </si>
  <si>
    <t>24,7</t>
  </si>
  <si>
    <t>Перенос сроков оплаты по заключенным контрактам в связи досрочным исполнением обязательств по контрактам, внесением изменений в план закупок в связи с согласованием проектно-сметной документации на проведение капитального ремонта.</t>
  </si>
  <si>
    <t>6.1.</t>
  </si>
  <si>
    <t>Обеспечение деятельности министерства связи и информационных технологий Архангельской области</t>
  </si>
  <si>
    <t>20,7</t>
  </si>
  <si>
    <t>43,7</t>
  </si>
  <si>
    <t>Позднее предоставление документов поставщиков, подрядчиков за оказанные услуги, работы во втором квартале 2018 года, в начале июля также запланированы расходы по выплате отпусков сотрудников министерства согласно графику отпусков, в том числе с начисленной материальной помощью и единовременной выплатой к отпуску.</t>
  </si>
  <si>
    <t>ГП АО "Устойчивое развитие сельских территорий Архангельской области (2014 - 2017 годы)"</t>
  </si>
  <si>
    <t>Улучшение жилищных условий граждан, проживающих в сельской местности</t>
  </si>
  <si>
    <t>министерство агропромышленного комплекса
и торговли</t>
  </si>
  <si>
    <t>Площадь построенного и приобретенного жилья семьями, проживающими в сельской местности; тыс.кв.м.</t>
  </si>
  <si>
    <t>Обеспечение жильем в сельской местности молодых семей и молодых специалистов</t>
  </si>
  <si>
    <t>Площадь построенного и приобретенного жилья сельской местности молодыми семьями и молодыми специалистами; тыс.кв.м.</t>
  </si>
  <si>
    <t>Фактическое значение поставлено по данным сводной бухгалтерской отчетности сельскохозяйственных организаций за 1 квартал 2018 года (по итогам полугодие отчетные данные будут после 15 августа). 
Значение данного показателя следует считать промежуточным, так как все затраты сельскохозяйственных товаропроизводителей будут учтены по итогам года.</t>
  </si>
  <si>
    <t>Субсидия  предполагает два направления расходования: 
выплату компенсации проезда к месту проведения отпуска и оплату ремонтных работ учреждений . В отчетный период документы на оплату были предоставлены только 1 сотрудником, оплату ремонтных работгосударственных учреждений планируется произвести во втором полугодии 2018 года.</t>
  </si>
  <si>
    <t>Излишне заявленные средства на выплату заработной платы и начисления на оплату труда, а также средства на выплату отпускных по сроку с 1 по 05 число, следующее за отчетным периодом;                                                                                                                                                - не предъявлены авансовые отчеты для оплаты проезда к месту отдыха и обратно; 
- остаток средств по начислениям на выплаты по оплате  труда в связи с возвратом средств из ФСС по больничным листам;
- остаток средств на материально-техническое обеспечение деятельности  2 территориальных органов и аппарата министерства                                                                                                                                                                                                                                                                                           - излишне заявленные средства на оплату услуг и поставку товаров;
- остаток средств по уплате налога на имущество, земельного налога, транспортного налога, в связи с уточнением суммы налога за соответствующий период.</t>
  </si>
  <si>
    <t>В связи с сокращением штатной численности инженеров-инспекторов.</t>
  </si>
  <si>
    <t>В связи с затянувшимися сроками подписания соглашения по данному мероприятию. Постановление правительства Архангельской области от 11 октября 2013 г. N 477-пп «Об утверждении государственной программы Архангельской области «Эффективное государственное управление в Архангельской области (2014 – 2020 годы»(в ред. от 27.03.2018 г. №138 –пп) вступило в силу со дня его официального опубликования 04.04.2018, а дополнительное соглашение было подписано  04 июня. Поэтому в отчет по мероприятию вошли показатели только за июнь 2018 года.</t>
  </si>
  <si>
    <t>Сведения об исполнении консолидированных бюджетов муниципальных образований в Архангельской области на 01.07.20108, согласно отчетам по ф. 0503317 и 0503387, представленным в Минфин России</t>
  </si>
  <si>
    <t>Налоговые и неналоговые доходы консолидированных бюджетов муниципальных образований Архангельской области за 1 полугодие 2018 года, согласно отчету, представленному в Минфин России по ф. 0503317</t>
  </si>
  <si>
    <t>Межбюджетные трансферты из областного бюджета в бюджеты городских округов и муниципальных районов на 01.07.2017 и на 01.07.2018, согласно отчету по ф. 0503317 "Таблица консолидируемых расчетов", представленному в Минфин России</t>
  </si>
  <si>
    <t>Информация о невыполнении мероприятий или показателей реализации мероприятий государственных программ Архангельской области по состоянию на 01.07.2018</t>
  </si>
  <si>
    <t>Приложение № 11</t>
  </si>
  <si>
    <t>Приложение № 12</t>
  </si>
  <si>
    <t>Приложение № 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</si>
</sst>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0_ ;[Red]\-#,##0.00\ "/>
    <numFmt numFmtId="165" formatCode="#,##0.0_ ;[Red]\-#,##0.0\ "/>
    <numFmt numFmtId="166" formatCode="#,##0.000000_ ;[Red]\-#,##0.000000\ "/>
    <numFmt numFmtId="167" formatCode="#,##0.000000000000_ ;[Red]\-#,##0.000000000000\ "/>
    <numFmt numFmtId="168" formatCode="#,##0.00000000000_ ;[Red]\-#,##0.00000000000\ "/>
    <numFmt numFmtId="169" formatCode="#,##0.00000_ ;[Red]\-#,##0.00000\ "/>
    <numFmt numFmtId="170" formatCode="#,##0_ ;[Red]\-#,##0\ "/>
    <numFmt numFmtId="171" formatCode="#,##0.0"/>
    <numFmt numFmtId="172" formatCode="#,##0.00_ ;[Red]\-#,##0.00"/>
    <numFmt numFmtId="173" formatCode="_-* #,##0.00&quot;р.&quot;_-;\-* #,##0.00&quot;р.&quot;_-;_-* &quot;-&quot;??&quot;р.&quot;_-;_-@_-"/>
    <numFmt numFmtId="174" formatCode="#,##0.000_ ;[Red]\-#,##0.000\ "/>
    <numFmt numFmtId="175" formatCode="#,##0_ ;\-#,##0\ "/>
    <numFmt numFmtId="176" formatCode="#,##0.00_ ;\-#,##0.00\ "/>
    <numFmt numFmtId="177" formatCode="#,##0.000"/>
  </numFmts>
  <fonts count="36" x14ac:knownFonts="1">
    <font>
      <sz val="10"/>
      <color theme="1"/>
      <name val="Arial"/>
      <family val="2"/>
      <charset val="204"/>
    </font>
    <font>
      <sz val="10"/>
      <color theme="1"/>
      <name val="Arial"/>
      <family val="2"/>
      <charset val="204"/>
    </font>
    <font>
      <sz val="10"/>
      <color rgb="FFFF0000"/>
      <name val="Arial"/>
      <family val="2"/>
      <charset val="204"/>
    </font>
    <font>
      <b/>
      <sz val="10"/>
      <color theme="1"/>
      <name val="Arial"/>
      <family val="2"/>
      <charset val="204"/>
    </font>
    <font>
      <sz val="10"/>
      <name val="Arial"/>
      <family val="2"/>
      <charset val="204"/>
    </font>
    <font>
      <b/>
      <sz val="12"/>
      <name val="Arial"/>
      <family val="2"/>
      <charset val="204"/>
    </font>
    <font>
      <sz val="10"/>
      <color indexed="9"/>
      <name val="Arial"/>
      <family val="2"/>
      <charset val="204"/>
    </font>
    <font>
      <sz val="8"/>
      <name val="Arial"/>
      <family val="2"/>
      <charset val="204"/>
    </font>
    <font>
      <b/>
      <sz val="10"/>
      <name val="Arial"/>
      <family val="2"/>
      <charset val="204"/>
    </font>
    <font>
      <b/>
      <sz val="9"/>
      <name val="Arial"/>
      <family val="2"/>
      <charset val="204"/>
    </font>
    <font>
      <b/>
      <sz val="8"/>
      <name val="Arial"/>
      <family val="2"/>
      <charset val="204"/>
    </font>
    <font>
      <b/>
      <sz val="10"/>
      <name val="Arial Cyr"/>
      <charset val="204"/>
    </font>
    <font>
      <b/>
      <sz val="9"/>
      <name val="Arial Cyr"/>
      <charset val="204"/>
    </font>
    <font>
      <i/>
      <sz val="10"/>
      <color rgb="FFFF0000"/>
      <name val="Arial"/>
      <family val="2"/>
      <charset val="204"/>
    </font>
    <font>
      <i/>
      <sz val="10"/>
      <name val="Arial"/>
      <family val="2"/>
      <charset val="204"/>
    </font>
    <font>
      <b/>
      <sz val="10"/>
      <color rgb="FFFF0000"/>
      <name val="Arial"/>
      <family val="2"/>
      <charset val="204"/>
    </font>
    <font>
      <b/>
      <sz val="10"/>
      <color indexed="10"/>
      <name val="Arial"/>
      <family val="2"/>
      <charset val="204"/>
    </font>
    <font>
      <sz val="10"/>
      <color rgb="FF000000"/>
      <name val="Arial"/>
      <family val="2"/>
      <charset val="204"/>
    </font>
    <font>
      <b/>
      <sz val="12"/>
      <color theme="1"/>
      <name val="Arial"/>
      <family val="2"/>
      <charset val="204"/>
    </font>
    <font>
      <b/>
      <sz val="8"/>
      <color theme="1"/>
      <name val="Arial"/>
      <family val="2"/>
      <charset val="204"/>
    </font>
    <font>
      <b/>
      <sz val="9"/>
      <color theme="1"/>
      <name val="Arial"/>
      <family val="2"/>
      <charset val="204"/>
    </font>
    <font>
      <b/>
      <sz val="11"/>
      <color theme="1"/>
      <name val="Arial"/>
      <family val="2"/>
      <charset val="204"/>
    </font>
    <font>
      <sz val="8"/>
      <color rgb="FF000000"/>
      <name val="Arial"/>
      <family val="2"/>
      <charset val="204"/>
    </font>
    <font>
      <b/>
      <i/>
      <sz val="10"/>
      <color rgb="FFFF0000"/>
      <name val="Arial"/>
      <family val="2"/>
      <charset val="204"/>
    </font>
    <font>
      <sz val="10"/>
      <color rgb="FF000000"/>
      <name val="Arial Cyr"/>
    </font>
    <font>
      <sz val="8"/>
      <color theme="1"/>
      <name val="Arial"/>
      <family val="2"/>
      <charset val="204"/>
    </font>
    <font>
      <sz val="11"/>
      <color theme="1"/>
      <name val="Calibri"/>
      <family val="2"/>
      <charset val="204"/>
      <scheme val="minor"/>
    </font>
    <font>
      <b/>
      <sz val="11"/>
      <color rgb="FF000000"/>
      <name val="Arial"/>
      <family val="2"/>
      <charset val="204"/>
    </font>
    <font>
      <b/>
      <sz val="10"/>
      <color rgb="FF000000"/>
      <name val="Arial"/>
      <family val="2"/>
      <charset val="204"/>
    </font>
    <font>
      <sz val="9"/>
      <color theme="1"/>
      <name val="Arial"/>
      <family val="2"/>
      <charset val="204"/>
    </font>
    <font>
      <sz val="8"/>
      <color rgb="FF000000"/>
      <name val="Times New Roman"/>
      <family val="1"/>
      <charset val="204"/>
    </font>
    <font>
      <b/>
      <sz val="10"/>
      <color rgb="FF000000"/>
      <name val="Arial Cyr"/>
    </font>
    <font>
      <b/>
      <sz val="9"/>
      <color indexed="81"/>
      <name val="Tahoma"/>
      <family val="2"/>
      <charset val="204"/>
    </font>
    <font>
      <b/>
      <sz val="10"/>
      <color theme="0"/>
      <name val="Arial"/>
      <family val="2"/>
      <charset val="204"/>
    </font>
    <font>
      <sz val="10"/>
      <name val="Tahoma"/>
      <family val="2"/>
      <charset val="204"/>
    </font>
    <font>
      <i/>
      <sz val="10"/>
      <color theme="1"/>
      <name val="Arial"/>
      <family val="2"/>
      <charset val="204"/>
    </font>
  </fonts>
  <fills count="13">
    <fill>
      <patternFill patternType="none"/>
    </fill>
    <fill>
      <patternFill patternType="gray125"/>
    </fill>
    <fill>
      <patternFill patternType="solid">
        <fgColor indexed="43"/>
        <bgColor indexed="64"/>
      </patternFill>
    </fill>
    <fill>
      <patternFill patternType="solid">
        <fgColor indexed="11"/>
        <bgColor indexed="64"/>
      </patternFill>
    </fill>
    <fill>
      <patternFill patternType="solid">
        <fgColor rgb="FF65FFAB"/>
        <bgColor indexed="64"/>
      </patternFill>
    </fill>
    <fill>
      <patternFill patternType="solid">
        <fgColor rgb="FFFFFF99"/>
        <bgColor indexed="64"/>
      </patternFill>
    </fill>
    <fill>
      <patternFill patternType="solid">
        <fgColor rgb="FF92D050"/>
        <bgColor indexed="64"/>
      </patternFill>
    </fill>
    <fill>
      <patternFill patternType="solid">
        <fgColor rgb="FFFFFFCC"/>
        <bgColor indexed="64"/>
      </patternFill>
    </fill>
    <fill>
      <patternFill patternType="solid">
        <fgColor rgb="FFFFFF00"/>
        <bgColor indexed="64"/>
      </patternFill>
    </fill>
    <fill>
      <patternFill patternType="solid">
        <fgColor rgb="FF00B050"/>
        <bgColor indexed="64"/>
      </patternFill>
    </fill>
    <fill>
      <patternFill patternType="solid">
        <fgColor rgb="FF00FF00"/>
        <bgColor indexed="64"/>
      </patternFill>
    </fill>
    <fill>
      <patternFill patternType="solid">
        <fgColor rgb="FFFFFFFF"/>
      </patternFill>
    </fill>
    <fill>
      <patternFill patternType="solid">
        <fgColor theme="0"/>
        <bgColor indexed="64"/>
      </patternFill>
    </fill>
  </fills>
  <borders count="30">
    <border>
      <left/>
      <right/>
      <top/>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diagonal/>
    </border>
    <border>
      <left style="thin">
        <color rgb="FF000000"/>
      </left>
      <right style="thin">
        <color rgb="FF000000"/>
      </right>
      <top/>
      <bottom style="thin">
        <color rgb="FF000000"/>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double">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s>
  <cellStyleXfs count="12">
    <xf numFmtId="0" fontId="0" fillId="0" borderId="0"/>
    <xf numFmtId="4" fontId="22" fillId="0" borderId="18">
      <alignment horizontal="right"/>
    </xf>
    <xf numFmtId="172" fontId="24" fillId="11" borderId="23">
      <alignment horizontal="center" vertical="center" shrinkToFit="1"/>
    </xf>
    <xf numFmtId="0" fontId="26" fillId="0" borderId="0"/>
    <xf numFmtId="4" fontId="22" fillId="0" borderId="18">
      <alignment horizontal="right"/>
    </xf>
    <xf numFmtId="4" fontId="22" fillId="0" borderId="24">
      <alignment horizontal="right"/>
    </xf>
    <xf numFmtId="0" fontId="30" fillId="11" borderId="24">
      <alignment horizontal="center" vertical="center" wrapText="1"/>
    </xf>
    <xf numFmtId="0" fontId="31" fillId="0" borderId="28">
      <alignment horizontal="left" vertical="center" wrapText="1"/>
    </xf>
    <xf numFmtId="4" fontId="22" fillId="0" borderId="24">
      <alignment horizontal="right"/>
    </xf>
    <xf numFmtId="0" fontId="24" fillId="0" borderId="24">
      <alignment horizontal="left" vertical="top" wrapText="1"/>
    </xf>
    <xf numFmtId="0" fontId="26" fillId="0" borderId="0"/>
    <xf numFmtId="0" fontId="34" fillId="0" borderId="0"/>
  </cellStyleXfs>
  <cellXfs count="600">
    <xf numFmtId="0" fontId="0" fillId="0" borderId="0" xfId="0"/>
    <xf numFmtId="0" fontId="4" fillId="0" borderId="0" xfId="0" applyFont="1" applyAlignment="1">
      <alignment vertical="center" wrapText="1"/>
    </xf>
    <xf numFmtId="164" fontId="4" fillId="0" borderId="0" xfId="0" applyNumberFormat="1" applyFont="1" applyAlignment="1">
      <alignment vertical="center" shrinkToFit="1"/>
    </xf>
    <xf numFmtId="164" fontId="4" fillId="0" borderId="0" xfId="0" applyNumberFormat="1" applyFont="1" applyAlignment="1">
      <alignment vertical="center" wrapText="1"/>
    </xf>
    <xf numFmtId="0" fontId="5" fillId="0" borderId="0" xfId="0" applyFont="1" applyAlignment="1">
      <alignment horizontal="center" vertical="center" wrapText="1"/>
    </xf>
    <xf numFmtId="164" fontId="6" fillId="0" borderId="0" xfId="0" applyNumberFormat="1" applyFont="1" applyAlignment="1">
      <alignment vertical="center" shrinkToFit="1"/>
    </xf>
    <xf numFmtId="165" fontId="7" fillId="0" borderId="0" xfId="0" applyNumberFormat="1" applyFont="1" applyAlignment="1">
      <alignment vertical="center" wrapText="1"/>
    </xf>
    <xf numFmtId="165" fontId="4" fillId="0" borderId="0" xfId="0" applyNumberFormat="1" applyFont="1" applyAlignment="1">
      <alignment vertical="center" wrapText="1"/>
    </xf>
    <xf numFmtId="165" fontId="1" fillId="0" borderId="1" xfId="0" applyNumberFormat="1" applyFont="1" applyBorder="1" applyAlignment="1">
      <alignment vertical="center" wrapText="1"/>
    </xf>
    <xf numFmtId="165" fontId="4" fillId="0" borderId="1" xfId="0" applyNumberFormat="1" applyFont="1" applyBorder="1" applyAlignment="1">
      <alignment vertical="center" wrapText="1"/>
    </xf>
    <xf numFmtId="0" fontId="8" fillId="0" borderId="0" xfId="0"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5" xfId="0" applyFont="1" applyFill="1" applyBorder="1" applyAlignment="1">
      <alignment horizontal="center" vertical="center" shrinkToFit="1"/>
    </xf>
    <xf numFmtId="49" fontId="10" fillId="0" borderId="6" xfId="0" applyNumberFormat="1" applyFont="1" applyFill="1" applyBorder="1" applyAlignment="1">
      <alignment horizontal="center" vertical="center" shrinkToFit="1"/>
    </xf>
    <xf numFmtId="4" fontId="10" fillId="0" borderId="6" xfId="0" applyNumberFormat="1"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10"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7" fillId="0" borderId="0" xfId="0" applyFont="1" applyAlignment="1">
      <alignment vertical="center" wrapText="1"/>
    </xf>
    <xf numFmtId="0" fontId="8" fillId="0" borderId="5" xfId="0" applyFont="1" applyFill="1" applyBorder="1" applyAlignment="1">
      <alignment horizontal="center" vertical="center" wrapText="1"/>
    </xf>
    <xf numFmtId="164" fontId="4" fillId="0" borderId="6" xfId="0" applyNumberFormat="1" applyFont="1" applyBorder="1" applyAlignment="1">
      <alignment vertical="center" shrinkToFit="1"/>
    </xf>
    <xf numFmtId="0" fontId="4" fillId="0" borderId="6" xfId="0" applyFont="1" applyBorder="1" applyAlignment="1">
      <alignment vertical="center" wrapText="1"/>
    </xf>
    <xf numFmtId="165" fontId="6" fillId="0" borderId="6" xfId="0" applyNumberFormat="1" applyFont="1" applyBorder="1" applyAlignment="1">
      <alignment vertical="center" wrapText="1"/>
    </xf>
    <xf numFmtId="0" fontId="6" fillId="0" borderId="6" xfId="0" applyFont="1" applyBorder="1" applyAlignment="1">
      <alignment vertical="center" wrapText="1"/>
    </xf>
    <xf numFmtId="0" fontId="4" fillId="0" borderId="10" xfId="0" applyFont="1" applyBorder="1" applyAlignment="1">
      <alignment vertical="center" wrapText="1"/>
    </xf>
    <xf numFmtId="165" fontId="4" fillId="0" borderId="0" xfId="0" applyNumberFormat="1" applyFont="1" applyBorder="1" applyAlignment="1">
      <alignment vertical="center" wrapText="1"/>
    </xf>
    <xf numFmtId="165" fontId="4" fillId="0" borderId="6" xfId="0" applyNumberFormat="1" applyFont="1" applyBorder="1" applyAlignment="1">
      <alignment vertical="center" wrapText="1"/>
    </xf>
    <xf numFmtId="165" fontId="1" fillId="0" borderId="6" xfId="0" applyNumberFormat="1" applyFont="1" applyBorder="1" applyAlignment="1">
      <alignment vertical="center" wrapText="1"/>
    </xf>
    <xf numFmtId="165" fontId="4" fillId="0" borderId="10" xfId="0" applyNumberFormat="1" applyFont="1" applyBorder="1" applyAlignment="1">
      <alignment vertical="center" wrapText="1"/>
    </xf>
    <xf numFmtId="0" fontId="8" fillId="0" borderId="5" xfId="0" applyFont="1" applyFill="1" applyBorder="1" applyAlignment="1">
      <alignment vertical="center" wrapText="1"/>
    </xf>
    <xf numFmtId="165" fontId="8" fillId="0" borderId="6" xfId="0" applyNumberFormat="1" applyFont="1" applyBorder="1" applyAlignment="1">
      <alignment vertical="center" wrapText="1"/>
    </xf>
    <xf numFmtId="165" fontId="8" fillId="0" borderId="10" xfId="0" applyNumberFormat="1" applyFont="1" applyBorder="1" applyAlignment="1">
      <alignment vertical="center" wrapText="1"/>
    </xf>
    <xf numFmtId="165" fontId="8" fillId="0" borderId="0" xfId="0" applyNumberFormat="1" applyFont="1" applyBorder="1" applyAlignment="1">
      <alignment vertical="center" wrapText="1"/>
    </xf>
    <xf numFmtId="166" fontId="8" fillId="0" borderId="0" xfId="0" applyNumberFormat="1" applyFont="1" applyAlignment="1">
      <alignment vertical="center" wrapText="1"/>
    </xf>
    <xf numFmtId="164" fontId="8" fillId="0" borderId="0" xfId="0" applyNumberFormat="1" applyFont="1" applyAlignment="1">
      <alignment vertical="center" wrapText="1"/>
    </xf>
    <xf numFmtId="0" fontId="4" fillId="0" borderId="5" xfId="0" applyFont="1" applyFill="1" applyBorder="1" applyAlignment="1">
      <alignment vertical="center" wrapText="1"/>
    </xf>
    <xf numFmtId="165" fontId="1" fillId="0" borderId="6" xfId="0" applyNumberFormat="1" applyFont="1" applyBorder="1" applyAlignment="1">
      <alignment horizontal="center" vertical="center" wrapText="1"/>
    </xf>
    <xf numFmtId="165" fontId="1" fillId="0" borderId="10" xfId="0" applyNumberFormat="1" applyFont="1" applyBorder="1" applyAlignment="1">
      <alignment horizontal="center" vertical="center" wrapText="1"/>
    </xf>
    <xf numFmtId="165" fontId="1" fillId="0" borderId="10" xfId="0" applyNumberFormat="1" applyFont="1" applyBorder="1" applyAlignment="1">
      <alignment vertical="center" wrapText="1"/>
    </xf>
    <xf numFmtId="164" fontId="4" fillId="2" borderId="6" xfId="0" applyNumberFormat="1" applyFont="1" applyFill="1" applyBorder="1" applyAlignment="1">
      <alignment vertical="center" wrapText="1"/>
    </xf>
    <xf numFmtId="164" fontId="4" fillId="5" borderId="6" xfId="0" applyNumberFormat="1" applyFont="1" applyFill="1" applyBorder="1" applyAlignment="1">
      <alignment vertical="center" wrapText="1"/>
    </xf>
    <xf numFmtId="165" fontId="4" fillId="0" borderId="10" xfId="0" applyNumberFormat="1" applyFont="1" applyBorder="1" applyAlignment="1">
      <alignment horizontal="center" vertical="center" wrapText="1"/>
    </xf>
    <xf numFmtId="167" fontId="4" fillId="0" borderId="0" xfId="0" applyNumberFormat="1" applyFont="1" applyAlignment="1">
      <alignment vertical="center" wrapText="1"/>
    </xf>
    <xf numFmtId="165" fontId="4" fillId="0" borderId="6" xfId="0" applyNumberFormat="1" applyFont="1" applyFill="1" applyBorder="1" applyAlignment="1">
      <alignment vertical="center" wrapText="1"/>
    </xf>
    <xf numFmtId="165" fontId="4" fillId="0" borderId="6" xfId="0" applyNumberFormat="1" applyFont="1" applyBorder="1" applyAlignment="1">
      <alignment horizontal="center" vertical="center" wrapText="1"/>
    </xf>
    <xf numFmtId="168" fontId="4" fillId="0" borderId="0" xfId="0" applyNumberFormat="1" applyFont="1" applyAlignment="1">
      <alignment vertical="center" wrapText="1"/>
    </xf>
    <xf numFmtId="0" fontId="13" fillId="6" borderId="5" xfId="0" applyFont="1" applyFill="1" applyBorder="1" applyAlignment="1">
      <alignment vertical="center" wrapText="1"/>
    </xf>
    <xf numFmtId="165" fontId="13" fillId="6" borderId="6" xfId="0" applyNumberFormat="1" applyFont="1" applyFill="1" applyBorder="1" applyAlignment="1">
      <alignment vertical="center" wrapText="1"/>
    </xf>
    <xf numFmtId="165" fontId="13" fillId="6" borderId="0" xfId="0" applyNumberFormat="1" applyFont="1" applyFill="1" applyAlignment="1">
      <alignment vertical="center" wrapText="1"/>
    </xf>
    <xf numFmtId="164" fontId="13" fillId="6" borderId="0" xfId="0" applyNumberFormat="1" applyFont="1" applyFill="1" applyAlignment="1">
      <alignment vertical="center" wrapText="1"/>
    </xf>
    <xf numFmtId="165" fontId="2" fillId="0" borderId="6" xfId="0" applyNumberFormat="1" applyFont="1" applyBorder="1" applyAlignment="1">
      <alignment vertical="center" wrapText="1"/>
    </xf>
    <xf numFmtId="165" fontId="2" fillId="0" borderId="6" xfId="0" applyNumberFormat="1" applyFont="1" applyBorder="1" applyAlignment="1">
      <alignment horizontal="center" vertical="center" wrapText="1"/>
    </xf>
    <xf numFmtId="165" fontId="2" fillId="0" borderId="0" xfId="0" applyNumberFormat="1" applyFont="1" applyFill="1" applyAlignment="1">
      <alignment vertical="center" wrapText="1"/>
    </xf>
    <xf numFmtId="164" fontId="2" fillId="0" borderId="0" xfId="0" applyNumberFormat="1" applyFont="1" applyFill="1" applyAlignment="1">
      <alignment vertical="center" wrapText="1"/>
    </xf>
    <xf numFmtId="165" fontId="8" fillId="0" borderId="0" xfId="0" applyNumberFormat="1" applyFont="1" applyAlignment="1">
      <alignment vertical="center" wrapText="1"/>
    </xf>
    <xf numFmtId="0" fontId="2" fillId="0" borderId="5" xfId="0" applyFont="1" applyFill="1" applyBorder="1" applyAlignment="1">
      <alignment vertical="center" wrapText="1"/>
    </xf>
    <xf numFmtId="165" fontId="2" fillId="0" borderId="10" xfId="0" applyNumberFormat="1" applyFont="1" applyBorder="1" applyAlignment="1">
      <alignment horizontal="center" vertic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vertical="center" wrapText="1"/>
    </xf>
    <xf numFmtId="164" fontId="2" fillId="0" borderId="0" xfId="0" applyNumberFormat="1" applyFont="1" applyAlignment="1">
      <alignment vertical="center" wrapText="1"/>
    </xf>
    <xf numFmtId="164" fontId="15" fillId="0" borderId="0" xfId="0" applyNumberFormat="1" applyFont="1" applyAlignment="1">
      <alignment vertical="center" wrapText="1"/>
    </xf>
    <xf numFmtId="164" fontId="1" fillId="0" borderId="0" xfId="0" applyNumberFormat="1" applyFont="1" applyAlignment="1">
      <alignment vertical="center" wrapText="1"/>
    </xf>
    <xf numFmtId="165" fontId="4" fillId="0" borderId="0" xfId="0" applyNumberFormat="1" applyFont="1" applyBorder="1" applyAlignment="1">
      <alignment horizontal="center" vertical="center" wrapText="1"/>
    </xf>
    <xf numFmtId="165" fontId="8" fillId="7" borderId="11" xfId="0" applyNumberFormat="1" applyFont="1" applyFill="1" applyBorder="1" applyAlignment="1">
      <alignment vertical="center" wrapText="1"/>
    </xf>
    <xf numFmtId="165" fontId="8" fillId="7" borderId="14" xfId="0" applyNumberFormat="1" applyFont="1" applyFill="1" applyBorder="1" applyAlignment="1">
      <alignment vertical="center" wrapText="1"/>
    </xf>
    <xf numFmtId="165" fontId="8" fillId="7" borderId="0" xfId="0" applyNumberFormat="1" applyFont="1" applyFill="1" applyBorder="1" applyAlignment="1">
      <alignment vertical="center" wrapText="1"/>
    </xf>
    <xf numFmtId="165" fontId="8" fillId="7" borderId="6" xfId="0" applyNumberFormat="1" applyFont="1" applyFill="1" applyBorder="1" applyAlignment="1">
      <alignment vertical="center" wrapText="1"/>
    </xf>
    <xf numFmtId="0" fontId="2" fillId="0" borderId="15" xfId="0" applyFont="1" applyBorder="1" applyAlignment="1">
      <alignment vertical="center" wrapText="1"/>
    </xf>
    <xf numFmtId="164" fontId="2" fillId="0" borderId="12" xfId="0" applyNumberFormat="1" applyFont="1" applyBorder="1" applyAlignment="1">
      <alignment vertical="center" shrinkToFit="1"/>
    </xf>
    <xf numFmtId="164" fontId="2" fillId="0" borderId="12" xfId="0" applyNumberFormat="1" applyFont="1" applyBorder="1" applyAlignment="1">
      <alignment vertical="center" wrapText="1"/>
    </xf>
    <xf numFmtId="164" fontId="2" fillId="0" borderId="16" xfId="0" applyNumberFormat="1" applyFont="1" applyBorder="1" applyAlignment="1">
      <alignment vertical="center" wrapText="1"/>
    </xf>
    <xf numFmtId="164" fontId="2" fillId="0" borderId="0" xfId="0" applyNumberFormat="1" applyFont="1" applyBorder="1" applyAlignment="1">
      <alignment vertical="center" wrapText="1"/>
    </xf>
    <xf numFmtId="0" fontId="2" fillId="0" borderId="17" xfId="0" applyFont="1" applyBorder="1" applyAlignment="1">
      <alignment vertical="center" wrapText="1"/>
    </xf>
    <xf numFmtId="164" fontId="2" fillId="0" borderId="17" xfId="0" applyNumberFormat="1" applyFont="1" applyBorder="1" applyAlignment="1">
      <alignment vertical="center" shrinkToFit="1"/>
    </xf>
    <xf numFmtId="164" fontId="2" fillId="0" borderId="17" xfId="0" applyNumberFormat="1" applyFont="1" applyBorder="1" applyAlignment="1">
      <alignment vertical="center" wrapText="1"/>
    </xf>
    <xf numFmtId="0" fontId="2" fillId="0" borderId="0" xfId="0" applyFont="1" applyBorder="1" applyAlignment="1">
      <alignment vertical="center" wrapText="1"/>
    </xf>
    <xf numFmtId="164" fontId="2" fillId="0" borderId="0" xfId="0" applyNumberFormat="1" applyFont="1" applyBorder="1" applyAlignment="1">
      <alignment vertical="center" shrinkToFit="1"/>
    </xf>
    <xf numFmtId="165" fontId="2" fillId="0" borderId="0" xfId="0" applyNumberFormat="1" applyFont="1" applyBorder="1" applyAlignment="1">
      <alignment vertical="center" shrinkToFit="1"/>
    </xf>
    <xf numFmtId="164" fontId="15" fillId="0" borderId="0" xfId="0" applyNumberFormat="1" applyFont="1" applyFill="1" applyBorder="1" applyAlignment="1">
      <alignment vertical="center" shrinkToFit="1"/>
    </xf>
    <xf numFmtId="169" fontId="15" fillId="0" borderId="0" xfId="0" applyNumberFormat="1" applyFont="1" applyFill="1" applyBorder="1" applyAlignment="1">
      <alignment vertical="center" shrinkToFit="1"/>
    </xf>
    <xf numFmtId="165" fontId="2" fillId="0" borderId="0" xfId="0" applyNumberFormat="1" applyFont="1" applyBorder="1" applyAlignment="1">
      <alignment vertical="center" wrapText="1"/>
    </xf>
    <xf numFmtId="164" fontId="4" fillId="0" borderId="0" xfId="0" applyNumberFormat="1" applyFont="1" applyBorder="1" applyAlignment="1">
      <alignment vertical="center" wrapText="1"/>
    </xf>
    <xf numFmtId="0" fontId="8" fillId="8" borderId="5" xfId="0" applyFont="1" applyFill="1" applyBorder="1" applyAlignment="1">
      <alignment vertical="center" wrapText="1"/>
    </xf>
    <xf numFmtId="165" fontId="8" fillId="8" borderId="6" xfId="0" applyNumberFormat="1" applyFont="1" applyFill="1" applyBorder="1" applyAlignment="1">
      <alignment vertical="center" wrapText="1"/>
    </xf>
    <xf numFmtId="165" fontId="8" fillId="8" borderId="10" xfId="0" applyNumberFormat="1" applyFont="1" applyFill="1" applyBorder="1" applyAlignment="1">
      <alignment vertical="center" wrapText="1"/>
    </xf>
    <xf numFmtId="165" fontId="8" fillId="8" borderId="0" xfId="0" applyNumberFormat="1" applyFont="1" applyFill="1" applyBorder="1" applyAlignment="1">
      <alignment vertical="center" wrapText="1"/>
    </xf>
    <xf numFmtId="0" fontId="8" fillId="0" borderId="5" xfId="0" applyFont="1" applyBorder="1" applyAlignment="1">
      <alignment vertical="center" wrapText="1"/>
    </xf>
    <xf numFmtId="0" fontId="4" fillId="0" borderId="5" xfId="0" applyFont="1" applyBorder="1" applyAlignment="1">
      <alignment vertical="center" wrapText="1"/>
    </xf>
    <xf numFmtId="165" fontId="8" fillId="0" borderId="6" xfId="0" applyNumberFormat="1" applyFont="1" applyBorder="1" applyAlignment="1">
      <alignment horizontal="center" vertical="center" wrapText="1"/>
    </xf>
    <xf numFmtId="165" fontId="14" fillId="0" borderId="6" xfId="0" applyNumberFormat="1" applyFont="1" applyBorder="1" applyAlignment="1">
      <alignment vertical="center" wrapText="1"/>
    </xf>
    <xf numFmtId="165" fontId="14" fillId="0" borderId="10" xfId="0" applyNumberFormat="1" applyFont="1" applyBorder="1" applyAlignment="1">
      <alignment vertical="center" wrapText="1"/>
    </xf>
    <xf numFmtId="164" fontId="14" fillId="0" borderId="0" xfId="0" applyNumberFormat="1" applyFont="1" applyAlignment="1">
      <alignment vertical="center" wrapText="1"/>
    </xf>
    <xf numFmtId="164" fontId="4" fillId="2" borderId="6" xfId="0" applyNumberFormat="1" applyFont="1" applyFill="1" applyBorder="1" applyAlignment="1">
      <alignment vertical="center" shrinkToFit="1"/>
    </xf>
    <xf numFmtId="164" fontId="4" fillId="2" borderId="6" xfId="0" applyNumberFormat="1" applyFont="1" applyFill="1" applyBorder="1" applyAlignment="1">
      <alignment shrinkToFit="1"/>
    </xf>
    <xf numFmtId="0" fontId="1" fillId="0" borderId="5" xfId="0" applyFont="1" applyBorder="1" applyAlignment="1">
      <alignment vertical="center" wrapText="1"/>
    </xf>
    <xf numFmtId="165" fontId="8" fillId="0" borderId="10" xfId="0" applyNumberFormat="1" applyFont="1" applyBorder="1" applyAlignment="1">
      <alignment horizontal="center" vertical="center" wrapText="1"/>
    </xf>
    <xf numFmtId="165" fontId="8" fillId="0" borderId="0" xfId="0" applyNumberFormat="1" applyFont="1" applyBorder="1" applyAlignment="1">
      <alignment horizontal="center" vertical="center" wrapText="1"/>
    </xf>
    <xf numFmtId="164" fontId="8" fillId="2" borderId="6" xfId="0" applyNumberFormat="1" applyFont="1" applyFill="1" applyBorder="1" applyAlignment="1">
      <alignment vertical="center" shrinkToFit="1"/>
    </xf>
    <xf numFmtId="0" fontId="8" fillId="7" borderId="5" xfId="0" applyFont="1" applyFill="1" applyBorder="1" applyAlignment="1">
      <alignment vertical="center" wrapText="1"/>
    </xf>
    <xf numFmtId="164" fontId="8" fillId="7" borderId="6" xfId="0" applyNumberFormat="1" applyFont="1" applyFill="1" applyBorder="1" applyAlignment="1">
      <alignment vertical="center" shrinkToFit="1"/>
    </xf>
    <xf numFmtId="165" fontId="8" fillId="7" borderId="10" xfId="0" applyNumberFormat="1" applyFont="1" applyFill="1" applyBorder="1" applyAlignment="1">
      <alignment vertical="center" wrapText="1"/>
    </xf>
    <xf numFmtId="0" fontId="15" fillId="0" borderId="5" xfId="0" applyFont="1" applyFill="1" applyBorder="1" applyAlignment="1">
      <alignment vertical="center" wrapText="1"/>
    </xf>
    <xf numFmtId="164" fontId="15" fillId="0" borderId="6" xfId="0" applyNumberFormat="1" applyFont="1" applyFill="1" applyBorder="1" applyAlignment="1">
      <alignment vertical="center" shrinkToFit="1"/>
    </xf>
    <xf numFmtId="165" fontId="2" fillId="0" borderId="6" xfId="0" applyNumberFormat="1" applyFont="1" applyFill="1" applyBorder="1" applyAlignment="1">
      <alignment vertical="center" wrapText="1"/>
    </xf>
    <xf numFmtId="165" fontId="15" fillId="0" borderId="6" xfId="0" applyNumberFormat="1" applyFont="1" applyFill="1" applyBorder="1" applyAlignment="1">
      <alignment vertical="center" wrapText="1"/>
    </xf>
    <xf numFmtId="165" fontId="15" fillId="0" borderId="10" xfId="0" applyNumberFormat="1" applyFont="1" applyFill="1" applyBorder="1" applyAlignment="1">
      <alignment vertical="center" wrapText="1"/>
    </xf>
    <xf numFmtId="165" fontId="15" fillId="0" borderId="0" xfId="0" applyNumberFormat="1" applyFont="1" applyFill="1" applyBorder="1" applyAlignment="1">
      <alignment vertical="center" wrapText="1"/>
    </xf>
    <xf numFmtId="0" fontId="1" fillId="0" borderId="5" xfId="0" applyFont="1" applyFill="1" applyBorder="1" applyAlignment="1">
      <alignment vertical="center" wrapText="1"/>
    </xf>
    <xf numFmtId="164" fontId="4" fillId="0" borderId="6" xfId="0" applyNumberFormat="1" applyFont="1" applyFill="1" applyBorder="1" applyAlignment="1">
      <alignment vertical="center" shrinkToFit="1"/>
    </xf>
    <xf numFmtId="165" fontId="4" fillId="0" borderId="6" xfId="0" applyNumberFormat="1" applyFont="1" applyFill="1" applyBorder="1" applyAlignment="1">
      <alignment horizontal="center" vertical="center" wrapText="1"/>
    </xf>
    <xf numFmtId="165" fontId="4" fillId="0" borderId="10" xfId="0" applyNumberFormat="1" applyFont="1" applyFill="1" applyBorder="1" applyAlignment="1">
      <alignment vertical="center" wrapText="1"/>
    </xf>
    <xf numFmtId="165" fontId="4" fillId="0" borderId="0" xfId="0" applyNumberFormat="1" applyFont="1" applyFill="1" applyBorder="1" applyAlignment="1">
      <alignment vertical="center" wrapText="1"/>
    </xf>
    <xf numFmtId="165" fontId="2" fillId="0" borderId="0" xfId="0" applyNumberFormat="1" applyFont="1" applyFill="1" applyBorder="1" applyAlignment="1">
      <alignment vertical="center" wrapText="1"/>
    </xf>
    <xf numFmtId="0" fontId="8" fillId="7" borderId="19" xfId="0" applyFont="1" applyFill="1" applyBorder="1" applyAlignment="1">
      <alignment vertical="center" wrapText="1"/>
    </xf>
    <xf numFmtId="164" fontId="8" fillId="7" borderId="20" xfId="0" applyNumberFormat="1" applyFont="1" applyFill="1" applyBorder="1" applyAlignment="1">
      <alignment vertical="center" shrinkToFit="1"/>
    </xf>
    <xf numFmtId="165" fontId="8" fillId="7" borderId="20" xfId="0" applyNumberFormat="1" applyFont="1" applyFill="1" applyBorder="1" applyAlignment="1">
      <alignment vertical="center" wrapText="1"/>
    </xf>
    <xf numFmtId="165" fontId="8" fillId="7" borderId="20" xfId="0" applyNumberFormat="1" applyFont="1" applyFill="1" applyBorder="1" applyAlignment="1">
      <alignment horizontal="center" vertical="center" wrapText="1"/>
    </xf>
    <xf numFmtId="165" fontId="8" fillId="7" borderId="21" xfId="0" applyNumberFormat="1" applyFont="1" applyFill="1" applyBorder="1" applyAlignment="1">
      <alignment horizontal="center" vertical="center" wrapText="1"/>
    </xf>
    <xf numFmtId="165" fontId="8" fillId="7" borderId="0" xfId="0" applyNumberFormat="1" applyFont="1" applyFill="1" applyBorder="1" applyAlignment="1">
      <alignment horizontal="center" vertical="center" wrapText="1"/>
    </xf>
    <xf numFmtId="0" fontId="16" fillId="2" borderId="15" xfId="0" applyFont="1" applyFill="1" applyBorder="1" applyAlignment="1">
      <alignment vertical="center" wrapText="1"/>
    </xf>
    <xf numFmtId="164" fontId="8" fillId="2" borderId="12" xfId="0" applyNumberFormat="1" applyFont="1" applyFill="1" applyBorder="1" applyAlignment="1">
      <alignment vertical="center" shrinkToFit="1"/>
    </xf>
    <xf numFmtId="164" fontId="8" fillId="9" borderId="12" xfId="0" applyNumberFormat="1" applyFont="1" applyFill="1" applyBorder="1" applyAlignment="1">
      <alignment vertical="center" shrinkToFit="1"/>
    </xf>
    <xf numFmtId="165" fontId="8" fillId="2" borderId="12" xfId="0" applyNumberFormat="1" applyFont="1" applyFill="1" applyBorder="1" applyAlignment="1">
      <alignment vertical="center" wrapText="1"/>
    </xf>
    <xf numFmtId="165" fontId="8" fillId="2" borderId="16" xfId="0" applyNumberFormat="1" applyFont="1" applyFill="1" applyBorder="1" applyAlignment="1">
      <alignment vertical="center" wrapText="1"/>
    </xf>
    <xf numFmtId="165" fontId="8" fillId="2" borderId="0" xfId="0" applyNumberFormat="1" applyFont="1" applyFill="1" applyBorder="1" applyAlignment="1">
      <alignment vertical="center" wrapText="1"/>
    </xf>
    <xf numFmtId="0" fontId="16" fillId="2" borderId="13" xfId="0" applyFont="1" applyFill="1" applyBorder="1" applyAlignment="1">
      <alignment vertical="center" wrapText="1"/>
    </xf>
    <xf numFmtId="164" fontId="8" fillId="2" borderId="11" xfId="0" applyNumberFormat="1" applyFont="1" applyFill="1" applyBorder="1" applyAlignment="1">
      <alignment vertical="center" shrinkToFit="1"/>
    </xf>
    <xf numFmtId="165" fontId="8" fillId="2" borderId="11" xfId="0" applyNumberFormat="1" applyFont="1" applyFill="1" applyBorder="1" applyAlignment="1">
      <alignment vertical="center" wrapText="1"/>
    </xf>
    <xf numFmtId="165" fontId="8" fillId="2" borderId="14" xfId="0" applyNumberFormat="1" applyFont="1" applyFill="1" applyBorder="1" applyAlignment="1">
      <alignment vertical="center" wrapText="1"/>
    </xf>
    <xf numFmtId="164" fontId="8" fillId="0" borderId="0" xfId="0" applyNumberFormat="1" applyFont="1" applyFill="1" applyBorder="1" applyAlignment="1">
      <alignment vertical="center" shrinkToFit="1"/>
    </xf>
    <xf numFmtId="164" fontId="8" fillId="9" borderId="0" xfId="0" applyNumberFormat="1" applyFont="1" applyFill="1" applyBorder="1" applyAlignment="1">
      <alignment vertical="center" shrinkToFit="1"/>
    </xf>
    <xf numFmtId="164" fontId="4" fillId="9" borderId="0" xfId="0" applyNumberFormat="1" applyFont="1" applyFill="1" applyBorder="1" applyAlignment="1">
      <alignment vertical="center" shrinkToFit="1"/>
    </xf>
    <xf numFmtId="0" fontId="4" fillId="0" borderId="19" xfId="0" applyFont="1" applyFill="1" applyBorder="1" applyAlignment="1">
      <alignment vertical="center" wrapText="1"/>
    </xf>
    <xf numFmtId="164" fontId="8" fillId="0" borderId="1" xfId="0" applyNumberFormat="1" applyFont="1" applyFill="1" applyBorder="1" applyAlignment="1">
      <alignment vertical="center" shrinkToFit="1"/>
    </xf>
    <xf numFmtId="164" fontId="4" fillId="9" borderId="1" xfId="0" applyNumberFormat="1" applyFont="1" applyFill="1" applyBorder="1" applyAlignment="1">
      <alignment vertical="center" shrinkToFit="1"/>
    </xf>
    <xf numFmtId="165" fontId="4" fillId="0" borderId="20" xfId="0" applyNumberFormat="1" applyFont="1" applyBorder="1" applyAlignment="1">
      <alignment vertical="center" wrapText="1"/>
    </xf>
    <xf numFmtId="165" fontId="4" fillId="0" borderId="21" xfId="0" applyNumberFormat="1" applyFont="1" applyBorder="1" applyAlignment="1">
      <alignment vertical="center" wrapText="1"/>
    </xf>
    <xf numFmtId="0" fontId="2" fillId="0" borderId="0" xfId="0" applyFont="1" applyFill="1" applyBorder="1" applyAlignment="1">
      <alignment vertical="center" wrapText="1"/>
    </xf>
    <xf numFmtId="165" fontId="4" fillId="0" borderId="12" xfId="0" applyNumberFormat="1" applyFont="1" applyBorder="1" applyAlignment="1">
      <alignment vertical="center" wrapText="1"/>
    </xf>
    <xf numFmtId="165" fontId="4" fillId="0" borderId="16" xfId="0" applyNumberFormat="1" applyFont="1" applyBorder="1" applyAlignment="1">
      <alignment vertical="center" wrapText="1"/>
    </xf>
    <xf numFmtId="0" fontId="4" fillId="0" borderId="0" xfId="0" applyFont="1" applyFill="1" applyBorder="1" applyAlignment="1">
      <alignment vertical="center" wrapText="1"/>
    </xf>
    <xf numFmtId="165" fontId="8" fillId="0" borderId="0" xfId="0" applyNumberFormat="1" applyFont="1" applyFill="1" applyBorder="1" applyAlignment="1">
      <alignment vertical="center" wrapText="1"/>
    </xf>
    <xf numFmtId="165" fontId="8" fillId="0" borderId="17" xfId="0" applyNumberFormat="1" applyFont="1" applyFill="1" applyBorder="1" applyAlignment="1">
      <alignment vertical="center" wrapText="1"/>
    </xf>
    <xf numFmtId="0" fontId="8" fillId="0" borderId="0" xfId="0" applyFont="1" applyFill="1" applyBorder="1" applyAlignment="1">
      <alignment horizontal="left" vertical="center"/>
    </xf>
    <xf numFmtId="164" fontId="8" fillId="0" borderId="0" xfId="0" applyNumberFormat="1" applyFont="1" applyFill="1" applyBorder="1" applyAlignment="1">
      <alignment vertical="center" wrapText="1"/>
    </xf>
    <xf numFmtId="49" fontId="10" fillId="0" borderId="6" xfId="0" applyNumberFormat="1" applyFont="1" applyFill="1" applyBorder="1" applyAlignment="1">
      <alignment horizontal="center" vertical="center" wrapText="1"/>
    </xf>
    <xf numFmtId="164" fontId="8" fillId="3" borderId="6" xfId="0" applyNumberFormat="1" applyFont="1" applyFill="1" applyBorder="1" applyAlignment="1">
      <alignment vertical="center" shrinkToFit="1"/>
    </xf>
    <xf numFmtId="164" fontId="8" fillId="0" borderId="6" xfId="0" applyNumberFormat="1" applyFont="1" applyFill="1" applyBorder="1" applyAlignment="1">
      <alignment vertical="center" shrinkToFit="1"/>
    </xf>
    <xf numFmtId="164" fontId="4" fillId="3" borderId="6" xfId="0" applyNumberFormat="1" applyFont="1" applyFill="1" applyBorder="1" applyAlignment="1">
      <alignment vertical="center" shrinkToFit="1"/>
    </xf>
    <xf numFmtId="164" fontId="17" fillId="0" borderId="6" xfId="0" applyNumberFormat="1" applyFont="1" applyFill="1" applyBorder="1" applyAlignment="1">
      <alignment horizontal="right" shrinkToFit="1"/>
    </xf>
    <xf numFmtId="164" fontId="4" fillId="10" borderId="6" xfId="0" applyNumberFormat="1" applyFont="1" applyFill="1" applyBorder="1" applyAlignment="1">
      <alignment vertical="center" shrinkToFit="1"/>
    </xf>
    <xf numFmtId="164" fontId="8" fillId="0" borderId="6" xfId="0" applyNumberFormat="1" applyFont="1" applyBorder="1" applyAlignment="1">
      <alignment vertical="center" shrinkToFit="1"/>
    </xf>
    <xf numFmtId="164" fontId="8" fillId="9" borderId="6" xfId="0" applyNumberFormat="1" applyFont="1" applyFill="1" applyBorder="1" applyAlignment="1">
      <alignment vertical="center" shrinkToFit="1"/>
    </xf>
    <xf numFmtId="164" fontId="4" fillId="3" borderId="20" xfId="0" applyNumberFormat="1" applyFont="1" applyFill="1" applyBorder="1" applyAlignment="1">
      <alignment vertical="center" shrinkToFit="1"/>
    </xf>
    <xf numFmtId="164" fontId="4" fillId="0" borderId="20" xfId="0" applyNumberFormat="1" applyFont="1" applyBorder="1" applyAlignment="1">
      <alignment vertical="center" shrinkToFit="1"/>
    </xf>
    <xf numFmtId="164" fontId="4" fillId="0" borderId="20" xfId="0" applyNumberFormat="1" applyFont="1" applyFill="1" applyBorder="1" applyAlignment="1">
      <alignment vertical="center" shrinkToFit="1"/>
    </xf>
    <xf numFmtId="165" fontId="15" fillId="0" borderId="0" xfId="0" applyNumberFormat="1" applyFont="1" applyBorder="1" applyAlignment="1">
      <alignment vertical="center" wrapText="1"/>
    </xf>
    <xf numFmtId="0" fontId="16" fillId="0" borderId="5" xfId="0" applyFont="1" applyFill="1" applyBorder="1" applyAlignment="1">
      <alignment vertical="center" wrapText="1"/>
    </xf>
    <xf numFmtId="164" fontId="8" fillId="3" borderId="6" xfId="0" applyNumberFormat="1" applyFont="1" applyFill="1" applyBorder="1" applyAlignment="1">
      <alignment horizontal="right" vertical="center" shrinkToFit="1"/>
    </xf>
    <xf numFmtId="165" fontId="3" fillId="0" borderId="6" xfId="0" applyNumberFormat="1" applyFont="1" applyBorder="1" applyAlignment="1">
      <alignment vertical="center" wrapText="1"/>
    </xf>
    <xf numFmtId="165" fontId="14" fillId="0" borderId="6" xfId="0" applyNumberFormat="1" applyFont="1" applyBorder="1" applyAlignment="1">
      <alignment horizontal="center" vertical="center" wrapText="1"/>
    </xf>
    <xf numFmtId="49" fontId="10" fillId="0" borderId="6" xfId="0" applyNumberFormat="1" applyFont="1" applyFill="1" applyBorder="1" applyAlignment="1">
      <alignment horizontal="center" vertical="center" wrapText="1"/>
    </xf>
    <xf numFmtId="165" fontId="15" fillId="0" borderId="17" xfId="0" applyNumberFormat="1" applyFont="1" applyFill="1" applyBorder="1" applyAlignment="1">
      <alignment vertical="center" wrapText="1"/>
    </xf>
    <xf numFmtId="165" fontId="15" fillId="0" borderId="1" xfId="0" applyNumberFormat="1" applyFont="1" applyFill="1" applyBorder="1" applyAlignment="1">
      <alignment vertical="center" wrapText="1"/>
    </xf>
    <xf numFmtId="0" fontId="1" fillId="0" borderId="0" xfId="0" applyFont="1" applyAlignment="1">
      <alignment vertical="center" wrapText="1"/>
    </xf>
    <xf numFmtId="0" fontId="1" fillId="7" borderId="0" xfId="0" applyFont="1" applyFill="1" applyAlignment="1">
      <alignment vertical="center" wrapText="1"/>
    </xf>
    <xf numFmtId="0" fontId="3" fillId="0" borderId="0" xfId="0" applyFont="1" applyAlignment="1">
      <alignment horizontal="center" vertical="center" wrapText="1"/>
    </xf>
    <xf numFmtId="0" fontId="3" fillId="7" borderId="0" xfId="0" applyFont="1" applyFill="1" applyAlignment="1">
      <alignment horizontal="center" vertical="center" wrapText="1"/>
    </xf>
    <xf numFmtId="0" fontId="3" fillId="8" borderId="0" xfId="0" applyFont="1" applyFill="1" applyAlignment="1">
      <alignment horizontal="center" vertical="center" wrapText="1"/>
    </xf>
    <xf numFmtId="0" fontId="1" fillId="0" borderId="0" xfId="0" applyFont="1" applyAlignment="1">
      <alignment vertical="center"/>
    </xf>
    <xf numFmtId="164" fontId="1" fillId="7" borderId="0" xfId="0" applyNumberFormat="1" applyFont="1" applyFill="1" applyAlignment="1">
      <alignment vertical="center" shrinkToFit="1"/>
    </xf>
    <xf numFmtId="165" fontId="1" fillId="0" borderId="0" xfId="0" applyNumberFormat="1" applyFont="1" applyAlignment="1">
      <alignment vertical="center" shrinkToFit="1"/>
    </xf>
    <xf numFmtId="165" fontId="1" fillId="7" borderId="0" xfId="0" applyNumberFormat="1" applyFont="1" applyFill="1" applyAlignment="1">
      <alignment vertical="center" shrinkToFit="1"/>
    </xf>
    <xf numFmtId="164" fontId="1" fillId="0" borderId="0" xfId="0" applyNumberFormat="1" applyFont="1" applyAlignment="1">
      <alignment vertical="center" shrinkToFit="1"/>
    </xf>
    <xf numFmtId="0" fontId="3" fillId="7" borderId="0" xfId="0" applyFont="1" applyFill="1" applyAlignment="1">
      <alignment vertical="center"/>
    </xf>
    <xf numFmtId="165" fontId="3" fillId="7" borderId="0" xfId="0" applyNumberFormat="1" applyFont="1" applyFill="1" applyAlignment="1">
      <alignment vertical="center" shrinkToFit="1"/>
    </xf>
    <xf numFmtId="165" fontId="1" fillId="0" borderId="0" xfId="0" applyNumberFormat="1" applyFont="1" applyAlignment="1">
      <alignment vertical="center"/>
    </xf>
    <xf numFmtId="0" fontId="0" fillId="0" borderId="0" xfId="0" applyFont="1" applyAlignment="1">
      <alignment vertical="center"/>
    </xf>
    <xf numFmtId="164" fontId="0" fillId="7" borderId="0" xfId="0" applyNumberFormat="1" applyFont="1" applyFill="1" applyAlignment="1">
      <alignment vertical="center" shrinkToFit="1"/>
    </xf>
    <xf numFmtId="165" fontId="0" fillId="0" borderId="0" xfId="0" applyNumberFormat="1" applyFont="1" applyAlignment="1">
      <alignment vertical="center" shrinkToFit="1"/>
    </xf>
    <xf numFmtId="170" fontId="0" fillId="8" borderId="0" xfId="0" applyNumberFormat="1" applyFont="1" applyFill="1" applyAlignment="1">
      <alignment vertical="center" shrinkToFit="1"/>
    </xf>
    <xf numFmtId="164" fontId="0" fillId="8" borderId="0" xfId="0" applyNumberFormat="1" applyFont="1" applyFill="1" applyAlignment="1">
      <alignment vertical="center" shrinkToFit="1"/>
    </xf>
    <xf numFmtId="165" fontId="0" fillId="7" borderId="0" xfId="0" applyNumberFormat="1" applyFont="1" applyFill="1" applyAlignment="1">
      <alignment vertical="center" shrinkToFit="1"/>
    </xf>
    <xf numFmtId="164" fontId="0" fillId="0" borderId="0" xfId="0" applyNumberFormat="1" applyFont="1" applyAlignment="1">
      <alignment vertical="center" shrinkToFit="1"/>
    </xf>
    <xf numFmtId="0" fontId="1" fillId="0" borderId="0" xfId="0" applyFont="1"/>
    <xf numFmtId="0" fontId="1" fillId="0" borderId="0" xfId="0" applyFont="1" applyFill="1" applyAlignment="1">
      <alignment vertical="center" wrapText="1"/>
    </xf>
    <xf numFmtId="0" fontId="1" fillId="0" borderId="0" xfId="0" applyFont="1" applyFill="1" applyAlignment="1">
      <alignment horizontal="right" vertical="center" wrapText="1"/>
    </xf>
    <xf numFmtId="0" fontId="19" fillId="0" borderId="5" xfId="0" applyFont="1" applyFill="1" applyBorder="1" applyAlignment="1">
      <alignment horizontal="center" vertical="center" wrapText="1"/>
    </xf>
    <xf numFmtId="0" fontId="1" fillId="0" borderId="5" xfId="0" applyFont="1" applyFill="1" applyBorder="1"/>
    <xf numFmtId="165" fontId="1" fillId="0" borderId="0" xfId="0" applyNumberFormat="1" applyFont="1" applyAlignment="1">
      <alignment vertical="center" wrapText="1"/>
    </xf>
    <xf numFmtId="165" fontId="3" fillId="0" borderId="0" xfId="0" applyNumberFormat="1" applyFont="1" applyAlignment="1">
      <alignment vertical="center" wrapText="1"/>
    </xf>
    <xf numFmtId="165" fontId="3" fillId="0" borderId="0" xfId="0" applyNumberFormat="1" applyFont="1" applyFill="1" applyAlignment="1">
      <alignment vertical="center" wrapText="1"/>
    </xf>
    <xf numFmtId="165" fontId="1" fillId="0" borderId="0" xfId="0" applyNumberFormat="1" applyFont="1" applyFill="1" applyAlignment="1">
      <alignment vertical="center" wrapText="1"/>
    </xf>
    <xf numFmtId="0" fontId="1" fillId="0" borderId="0" xfId="0" applyFont="1" applyFill="1" applyAlignment="1">
      <alignment horizontal="right" vertical="center"/>
    </xf>
    <xf numFmtId="0" fontId="3" fillId="0" borderId="0" xfId="0" applyFont="1" applyFill="1" applyAlignment="1">
      <alignment horizontal="center" vertical="center" wrapText="1"/>
    </xf>
    <xf numFmtId="0" fontId="20" fillId="0" borderId="6"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0" xfId="0" applyFont="1" applyFill="1" applyAlignment="1">
      <alignment horizontal="center" vertical="center" wrapText="1"/>
    </xf>
    <xf numFmtId="49" fontId="10" fillId="0" borderId="5" xfId="0" applyNumberFormat="1" applyFont="1" applyFill="1" applyBorder="1" applyAlignment="1">
      <alignment horizontal="center" vertical="center" wrapText="1"/>
    </xf>
    <xf numFmtId="49" fontId="19" fillId="0" borderId="6" xfId="0" applyNumberFormat="1" applyFont="1" applyFill="1" applyBorder="1" applyAlignment="1">
      <alignment horizontal="center" vertical="center" wrapText="1"/>
    </xf>
    <xf numFmtId="49" fontId="19" fillId="0" borderId="0" xfId="0" applyNumberFormat="1" applyFont="1" applyFill="1" applyAlignment="1">
      <alignment horizontal="center" vertical="center" wrapText="1"/>
    </xf>
    <xf numFmtId="165" fontId="0" fillId="0" borderId="6" xfId="0" applyNumberFormat="1" applyFont="1" applyFill="1" applyBorder="1" applyAlignment="1">
      <alignment vertical="center" wrapText="1"/>
    </xf>
    <xf numFmtId="165" fontId="0" fillId="0" borderId="10" xfId="0" applyNumberFormat="1" applyFont="1" applyFill="1" applyBorder="1" applyAlignment="1">
      <alignment vertical="center" wrapText="1"/>
    </xf>
    <xf numFmtId="165" fontId="8" fillId="7" borderId="12" xfId="0" applyNumberFormat="1" applyFont="1" applyFill="1" applyBorder="1" applyAlignment="1">
      <alignment vertical="center" wrapText="1"/>
    </xf>
    <xf numFmtId="165" fontId="8" fillId="7" borderId="21" xfId="0" applyNumberFormat="1" applyFont="1" applyFill="1" applyBorder="1" applyAlignment="1">
      <alignment vertical="center" wrapText="1"/>
    </xf>
    <xf numFmtId="0" fontId="3" fillId="5" borderId="19" xfId="0" applyFont="1" applyFill="1" applyBorder="1"/>
    <xf numFmtId="165" fontId="3" fillId="5" borderId="20" xfId="0" applyNumberFormat="1" applyFont="1" applyFill="1" applyBorder="1" applyAlignment="1">
      <alignment vertical="center" wrapText="1"/>
    </xf>
    <xf numFmtId="165" fontId="3" fillId="5" borderId="21" xfId="0" applyNumberFormat="1" applyFont="1" applyFill="1" applyBorder="1" applyAlignment="1">
      <alignment vertical="center" wrapText="1"/>
    </xf>
    <xf numFmtId="170" fontId="1" fillId="0" borderId="0" xfId="0" applyNumberFormat="1" applyFont="1" applyAlignment="1">
      <alignment vertical="center" wrapText="1"/>
    </xf>
    <xf numFmtId="0" fontId="0" fillId="0" borderId="22" xfId="0" applyFont="1" applyFill="1" applyBorder="1"/>
    <xf numFmtId="170" fontId="1" fillId="0" borderId="0" xfId="0" applyNumberFormat="1" applyFont="1" applyBorder="1" applyAlignment="1">
      <alignment vertical="center" wrapText="1"/>
    </xf>
    <xf numFmtId="165" fontId="3" fillId="0" borderId="6" xfId="0" applyNumberFormat="1" applyFont="1" applyFill="1" applyBorder="1" applyAlignment="1">
      <alignment vertical="center" wrapText="1"/>
    </xf>
    <xf numFmtId="0" fontId="3" fillId="5" borderId="19" xfId="0" applyFont="1" applyFill="1" applyBorder="1" applyAlignment="1">
      <alignment vertical="center" wrapText="1"/>
    </xf>
    <xf numFmtId="165" fontId="3" fillId="0" borderId="10" xfId="0" applyNumberFormat="1" applyFont="1" applyFill="1" applyBorder="1" applyAlignment="1">
      <alignment vertical="center" wrapText="1"/>
    </xf>
    <xf numFmtId="0" fontId="3" fillId="0" borderId="0" xfId="0" applyFont="1" applyAlignment="1">
      <alignment horizontal="center" vertical="center" wrapText="1"/>
    </xf>
    <xf numFmtId="165" fontId="1" fillId="6" borderId="6" xfId="0" applyNumberFormat="1" applyFont="1" applyFill="1" applyBorder="1" applyAlignment="1">
      <alignment vertical="center" wrapText="1"/>
    </xf>
    <xf numFmtId="165" fontId="3" fillId="5" borderId="0" xfId="0" applyNumberFormat="1" applyFont="1" applyFill="1" applyAlignment="1">
      <alignment vertical="center" wrapText="1"/>
    </xf>
    <xf numFmtId="0" fontId="19" fillId="0" borderId="6"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8" fillId="0" borderId="6" xfId="0" applyFont="1" applyFill="1" applyBorder="1" applyAlignment="1">
      <alignment horizontal="center" vertical="center" wrapText="1"/>
    </xf>
    <xf numFmtId="0" fontId="8" fillId="0" borderId="5" xfId="0"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165" fontId="4" fillId="0" borderId="0" xfId="0" applyNumberFormat="1" applyFont="1" applyAlignment="1">
      <alignment vertical="center" shrinkToFit="1"/>
    </xf>
    <xf numFmtId="170" fontId="3" fillId="7" borderId="0" xfId="0" applyNumberFormat="1" applyFont="1" applyFill="1" applyAlignment="1">
      <alignment vertical="center" shrinkToFit="1"/>
    </xf>
    <xf numFmtId="0" fontId="3" fillId="0" borderId="0" xfId="0" applyFont="1" applyAlignment="1">
      <alignment horizontal="center"/>
    </xf>
    <xf numFmtId="0" fontId="19" fillId="0" borderId="0" xfId="0" applyFont="1" applyAlignment="1">
      <alignment horizontal="center"/>
    </xf>
    <xf numFmtId="165" fontId="1" fillId="0" borderId="0" xfId="0" applyNumberFormat="1" applyFont="1" applyBorder="1" applyAlignment="1">
      <alignment vertical="center" wrapText="1"/>
    </xf>
    <xf numFmtId="49" fontId="10" fillId="0" borderId="10" xfId="0" applyNumberFormat="1" applyFont="1" applyFill="1" applyBorder="1" applyAlignment="1">
      <alignment horizontal="center" vertical="center" wrapText="1"/>
    </xf>
    <xf numFmtId="0" fontId="2" fillId="0" borderId="6" xfId="0" applyFont="1" applyBorder="1" applyAlignment="1">
      <alignment vertical="center" wrapText="1"/>
    </xf>
    <xf numFmtId="0" fontId="2" fillId="0" borderId="10" xfId="0" applyFont="1" applyBorder="1" applyAlignment="1">
      <alignment vertical="center" wrapText="1"/>
    </xf>
    <xf numFmtId="0" fontId="4" fillId="0" borderId="5" xfId="0" applyFont="1" applyFill="1" applyBorder="1" applyAlignment="1">
      <alignment horizontal="left" vertical="center" wrapText="1" indent="1"/>
    </xf>
    <xf numFmtId="0" fontId="14" fillId="0" borderId="5" xfId="0" applyFont="1" applyFill="1" applyBorder="1" applyAlignment="1">
      <alignment horizontal="left" vertical="center" wrapText="1" indent="1"/>
    </xf>
    <xf numFmtId="165" fontId="14" fillId="0" borderId="6" xfId="0" applyNumberFormat="1" applyFont="1" applyFill="1" applyBorder="1" applyAlignment="1">
      <alignment vertical="center" wrapText="1"/>
    </xf>
    <xf numFmtId="165" fontId="14" fillId="0" borderId="10" xfId="0" applyNumberFormat="1" applyFont="1" applyBorder="1" applyAlignment="1">
      <alignment horizontal="center" vertical="center" wrapText="1"/>
    </xf>
    <xf numFmtId="164" fontId="4" fillId="0" borderId="0" xfId="0" applyNumberFormat="1" applyFont="1" applyFill="1" applyAlignment="1">
      <alignment vertical="center" wrapText="1"/>
    </xf>
    <xf numFmtId="0" fontId="8" fillId="5" borderId="5" xfId="0" applyFont="1" applyFill="1" applyBorder="1" applyAlignment="1">
      <alignment vertical="center" wrapText="1"/>
    </xf>
    <xf numFmtId="165" fontId="8" fillId="5" borderId="6" xfId="0" applyNumberFormat="1" applyFont="1" applyFill="1" applyBorder="1" applyAlignment="1">
      <alignment vertical="center" wrapText="1"/>
    </xf>
    <xf numFmtId="165" fontId="8" fillId="5" borderId="10" xfId="0" applyNumberFormat="1" applyFont="1" applyFill="1" applyBorder="1" applyAlignment="1">
      <alignment vertical="center" wrapText="1"/>
    </xf>
    <xf numFmtId="0" fontId="4" fillId="0" borderId="5" xfId="0" applyFont="1" applyBorder="1" applyAlignment="1">
      <alignment horizontal="left" vertical="center" wrapText="1" indent="1"/>
    </xf>
    <xf numFmtId="0" fontId="8" fillId="0" borderId="5" xfId="0" applyFont="1" applyBorder="1" applyAlignment="1">
      <alignment horizontal="left" vertical="center" wrapText="1"/>
    </xf>
    <xf numFmtId="0" fontId="13" fillId="0" borderId="5" xfId="0" applyFont="1" applyBorder="1" applyAlignment="1">
      <alignment horizontal="left" vertical="center" wrapText="1" indent="1"/>
    </xf>
    <xf numFmtId="165" fontId="13" fillId="0" borderId="6" xfId="0" applyNumberFormat="1" applyFont="1" applyBorder="1" applyAlignment="1">
      <alignment vertical="center" wrapText="1"/>
    </xf>
    <xf numFmtId="165" fontId="13" fillId="0" borderId="10" xfId="0" applyNumberFormat="1" applyFont="1" applyBorder="1" applyAlignment="1">
      <alignment vertical="center" wrapText="1"/>
    </xf>
    <xf numFmtId="164" fontId="13" fillId="0" borderId="0" xfId="0" applyNumberFormat="1" applyFont="1" applyAlignment="1">
      <alignment vertical="center" wrapText="1"/>
    </xf>
    <xf numFmtId="0" fontId="2" fillId="0" borderId="5" xfId="0" applyFont="1" applyBorder="1" applyAlignment="1">
      <alignment horizontal="left" vertical="center" wrapText="1" indent="1"/>
    </xf>
    <xf numFmtId="165" fontId="2" fillId="0" borderId="10" xfId="0" applyNumberFormat="1" applyFont="1" applyBorder="1" applyAlignment="1">
      <alignment vertical="center" wrapText="1"/>
    </xf>
    <xf numFmtId="0" fontId="4" fillId="0" borderId="13" xfId="0" applyFont="1" applyFill="1" applyBorder="1" applyAlignment="1">
      <alignment vertical="center" wrapText="1"/>
    </xf>
    <xf numFmtId="165" fontId="4" fillId="0" borderId="11" xfId="0" applyNumberFormat="1" applyFont="1" applyBorder="1" applyAlignment="1">
      <alignment vertical="center" wrapText="1"/>
    </xf>
    <xf numFmtId="0" fontId="0" fillId="0" borderId="0" xfId="0" applyFont="1" applyAlignment="1">
      <alignment vertical="center" wrapText="1"/>
    </xf>
    <xf numFmtId="165" fontId="0" fillId="0" borderId="0" xfId="0" applyNumberFormat="1" applyFont="1" applyAlignment="1">
      <alignment vertical="center" wrapText="1"/>
    </xf>
    <xf numFmtId="0" fontId="0" fillId="0" borderId="5" xfId="0" applyFont="1" applyBorder="1" applyAlignment="1">
      <alignment vertical="center" wrapText="1"/>
    </xf>
    <xf numFmtId="165" fontId="0" fillId="0" borderId="6" xfId="0" applyNumberFormat="1" applyFont="1" applyBorder="1" applyAlignment="1">
      <alignment vertical="center" wrapText="1"/>
    </xf>
    <xf numFmtId="165" fontId="0" fillId="0" borderId="10" xfId="0" applyNumberFormat="1" applyFont="1" applyBorder="1" applyAlignment="1">
      <alignment vertical="center" wrapText="1"/>
    </xf>
    <xf numFmtId="0" fontId="3" fillId="5" borderId="5" xfId="0" applyFont="1" applyFill="1" applyBorder="1" applyAlignment="1">
      <alignment vertical="center" wrapText="1"/>
    </xf>
    <xf numFmtId="165" fontId="3" fillId="5" borderId="6" xfId="0" applyNumberFormat="1" applyFont="1" applyFill="1" applyBorder="1" applyAlignment="1">
      <alignment vertical="center" wrapText="1"/>
    </xf>
    <xf numFmtId="165" fontId="3" fillId="5" borderId="10" xfId="0" applyNumberFormat="1" applyFont="1" applyFill="1" applyBorder="1" applyAlignment="1">
      <alignment vertical="center" wrapText="1"/>
    </xf>
    <xf numFmtId="0" fontId="3" fillId="0" borderId="0" xfId="0" applyFont="1" applyAlignment="1">
      <alignment horizontal="center" vertical="center" wrapText="1"/>
    </xf>
    <xf numFmtId="165" fontId="0" fillId="0" borderId="0" xfId="0" applyNumberFormat="1" applyFont="1" applyFill="1" applyAlignment="1">
      <alignment vertical="center" wrapText="1"/>
    </xf>
    <xf numFmtId="0" fontId="0" fillId="0" borderId="0" xfId="0" applyFont="1" applyFill="1" applyAlignment="1">
      <alignment vertical="center" wrapText="1"/>
    </xf>
    <xf numFmtId="0" fontId="0" fillId="0" borderId="5" xfId="0" applyFont="1" applyFill="1" applyBorder="1" applyAlignment="1">
      <alignment vertical="center" wrapText="1"/>
    </xf>
    <xf numFmtId="165" fontId="0" fillId="0" borderId="6" xfId="0" applyNumberFormat="1" applyBorder="1" applyAlignment="1">
      <alignment vertical="center" wrapText="1"/>
    </xf>
    <xf numFmtId="165" fontId="0" fillId="0" borderId="0" xfId="0" applyNumberFormat="1" applyFill="1" applyAlignment="1">
      <alignment vertical="center" wrapText="1"/>
    </xf>
    <xf numFmtId="0" fontId="0" fillId="0" borderId="0" xfId="0" applyAlignment="1">
      <alignment vertical="center" wrapText="1"/>
    </xf>
    <xf numFmtId="165" fontId="0" fillId="0" borderId="0" xfId="0" applyNumberFormat="1" applyAlignment="1">
      <alignment vertical="center" wrapText="1"/>
    </xf>
    <xf numFmtId="0" fontId="19" fillId="0" borderId="0" xfId="0" applyFont="1" applyFill="1" applyAlignment="1">
      <alignment horizontal="center" vertical="center" wrapText="1"/>
    </xf>
    <xf numFmtId="165" fontId="3" fillId="0" borderId="0" xfId="0" applyNumberFormat="1" applyFont="1" applyAlignment="1">
      <alignment horizontal="center" vertical="center" wrapText="1"/>
    </xf>
    <xf numFmtId="0" fontId="0" fillId="0" borderId="0" xfId="0" applyFont="1" applyFill="1" applyAlignment="1">
      <alignment horizontal="right" vertical="center" wrapText="1"/>
    </xf>
    <xf numFmtId="0" fontId="3" fillId="7" borderId="5" xfId="0" applyFont="1" applyFill="1" applyBorder="1" applyAlignment="1">
      <alignment vertical="center" wrapText="1"/>
    </xf>
    <xf numFmtId="165" fontId="3" fillId="7" borderId="6" xfId="0" applyNumberFormat="1" applyFont="1" applyFill="1" applyBorder="1" applyAlignment="1">
      <alignment vertical="center" wrapText="1"/>
    </xf>
    <xf numFmtId="165" fontId="3" fillId="7" borderId="10" xfId="0" applyNumberFormat="1" applyFont="1" applyFill="1" applyBorder="1" applyAlignment="1">
      <alignment vertical="center" wrapText="1"/>
    </xf>
    <xf numFmtId="0" fontId="3" fillId="7" borderId="19" xfId="0" applyFont="1" applyFill="1" applyBorder="1" applyAlignment="1">
      <alignment vertical="center" wrapText="1"/>
    </xf>
    <xf numFmtId="165" fontId="3" fillId="7" borderId="20" xfId="0" applyNumberFormat="1" applyFont="1" applyFill="1" applyBorder="1" applyAlignment="1">
      <alignment vertical="center" wrapText="1"/>
    </xf>
    <xf numFmtId="165" fontId="3" fillId="7" borderId="21" xfId="0" applyNumberFormat="1" applyFont="1" applyFill="1" applyBorder="1" applyAlignment="1">
      <alignment vertical="center" wrapText="1"/>
    </xf>
    <xf numFmtId="171" fontId="8" fillId="7" borderId="6" xfId="0" applyNumberFormat="1" applyFont="1" applyFill="1" applyBorder="1" applyAlignment="1">
      <alignment horizontal="right" vertical="center" shrinkToFit="1"/>
    </xf>
    <xf numFmtId="171" fontId="8" fillId="7" borderId="20" xfId="0" applyNumberFormat="1" applyFont="1" applyFill="1" applyBorder="1" applyAlignment="1">
      <alignment horizontal="right" vertical="center" shrinkToFit="1"/>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3" xfId="0"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0" fontId="3" fillId="0" borderId="0" xfId="0" applyFont="1" applyAlignment="1">
      <alignment horizontal="center" vertical="center" wrapText="1"/>
    </xf>
    <xf numFmtId="165" fontId="3" fillId="7" borderId="0" xfId="0" applyNumberFormat="1" applyFont="1" applyFill="1" applyAlignment="1">
      <alignment vertical="center" wrapText="1"/>
    </xf>
    <xf numFmtId="165" fontId="0" fillId="0" borderId="10" xfId="0" applyNumberFormat="1" applyBorder="1" applyAlignment="1">
      <alignment vertical="center" wrapText="1"/>
    </xf>
    <xf numFmtId="0" fontId="8" fillId="0"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13" fillId="0" borderId="5" xfId="0" applyFont="1" applyBorder="1" applyAlignment="1">
      <alignment vertical="center" wrapText="1"/>
    </xf>
    <xf numFmtId="165" fontId="13" fillId="0" borderId="0" xfId="0" applyNumberFormat="1" applyFont="1" applyBorder="1" applyAlignment="1">
      <alignment vertical="center" wrapText="1"/>
    </xf>
    <xf numFmtId="165" fontId="23" fillId="0" borderId="6" xfId="0" applyNumberFormat="1" applyFont="1" applyBorder="1" applyAlignment="1">
      <alignment horizontal="center" vertical="center" wrapText="1"/>
    </xf>
    <xf numFmtId="165" fontId="23" fillId="0" borderId="6" xfId="0" applyNumberFormat="1" applyFont="1" applyBorder="1" applyAlignment="1">
      <alignment vertical="center" wrapText="1"/>
    </xf>
    <xf numFmtId="164" fontId="13" fillId="2" borderId="6" xfId="0" applyNumberFormat="1" applyFont="1" applyFill="1" applyBorder="1" applyAlignment="1">
      <alignment vertical="center" shrinkToFit="1"/>
    </xf>
    <xf numFmtId="165" fontId="13" fillId="0" borderId="6" xfId="0" applyNumberFormat="1" applyFont="1" applyBorder="1" applyAlignment="1">
      <alignment horizontal="center" vertical="center" wrapText="1"/>
    </xf>
    <xf numFmtId="0" fontId="2" fillId="0" borderId="5" xfId="0" applyFont="1" applyBorder="1" applyAlignment="1">
      <alignment vertical="center" wrapText="1"/>
    </xf>
    <xf numFmtId="164" fontId="2" fillId="2" borderId="6" xfId="0" applyNumberFormat="1" applyFont="1" applyFill="1" applyBorder="1" applyAlignment="1">
      <alignment shrinkToFit="1"/>
    </xf>
    <xf numFmtId="165" fontId="15" fillId="0" borderId="6" xfId="0" applyNumberFormat="1" applyFont="1" applyBorder="1" applyAlignment="1">
      <alignment vertical="center" wrapText="1"/>
    </xf>
    <xf numFmtId="164" fontId="13" fillId="2" borderId="6" xfId="0" applyNumberFormat="1" applyFont="1" applyFill="1" applyBorder="1" applyAlignment="1">
      <alignment shrinkToFit="1"/>
    </xf>
    <xf numFmtId="165" fontId="23" fillId="0" borderId="10" xfId="0" applyNumberFormat="1" applyFont="1" applyBorder="1" applyAlignment="1">
      <alignment vertical="center" wrapText="1"/>
    </xf>
    <xf numFmtId="165" fontId="23" fillId="0" borderId="0" xfId="0" applyNumberFormat="1" applyFont="1" applyBorder="1" applyAlignment="1">
      <alignment vertical="center" wrapText="1"/>
    </xf>
    <xf numFmtId="164" fontId="0" fillId="2" borderId="6" xfId="0" applyNumberFormat="1" applyFont="1" applyFill="1" applyBorder="1" applyAlignment="1">
      <alignment shrinkToFit="1"/>
    </xf>
    <xf numFmtId="0" fontId="8" fillId="0" borderId="5" xfId="0" applyFont="1" applyBorder="1" applyAlignment="1">
      <alignment horizontal="center" vertical="center" wrapText="1"/>
    </xf>
    <xf numFmtId="164" fontId="2" fillId="0" borderId="6" xfId="0" applyNumberFormat="1" applyFont="1" applyBorder="1" applyAlignment="1">
      <alignment vertical="center" shrinkToFit="1"/>
    </xf>
    <xf numFmtId="164" fontId="4" fillId="0" borderId="6" xfId="0" applyNumberFormat="1" applyFont="1" applyBorder="1" applyAlignment="1">
      <alignment vertical="center" wrapText="1"/>
    </xf>
    <xf numFmtId="164" fontId="4" fillId="0" borderId="10" xfId="0" applyNumberFormat="1" applyFont="1" applyBorder="1" applyAlignment="1">
      <alignment vertical="center" wrapText="1"/>
    </xf>
    <xf numFmtId="164" fontId="13" fillId="5" borderId="6" xfId="0" applyNumberFormat="1" applyFont="1" applyFill="1" applyBorder="1" applyAlignment="1">
      <alignment vertical="center" shrinkToFit="1"/>
    </xf>
    <xf numFmtId="164" fontId="2" fillId="0" borderId="6" xfId="0" applyNumberFormat="1" applyFont="1" applyFill="1" applyBorder="1" applyAlignment="1">
      <alignment vertical="center" shrinkToFit="1"/>
    </xf>
    <xf numFmtId="165" fontId="2" fillId="0" borderId="10" xfId="0" applyNumberFormat="1" applyFont="1" applyFill="1" applyBorder="1" applyAlignment="1">
      <alignment vertical="center" wrapText="1"/>
    </xf>
    <xf numFmtId="0" fontId="3" fillId="6" borderId="6" xfId="0" applyFont="1" applyFill="1" applyBorder="1" applyAlignment="1">
      <alignment vertical="center" wrapText="1"/>
    </xf>
    <xf numFmtId="0" fontId="3" fillId="0" borderId="6" xfId="0" applyFont="1" applyBorder="1" applyAlignment="1">
      <alignment vertical="center" wrapText="1"/>
    </xf>
    <xf numFmtId="0" fontId="3" fillId="0" borderId="10" xfId="0" applyFont="1" applyBorder="1" applyAlignment="1">
      <alignment vertical="center" wrapText="1"/>
    </xf>
    <xf numFmtId="0" fontId="1" fillId="6" borderId="6" xfId="0" applyFont="1" applyFill="1" applyBorder="1" applyAlignment="1">
      <alignment vertical="center" wrapText="1"/>
    </xf>
    <xf numFmtId="0" fontId="1" fillId="0" borderId="6" xfId="0" applyFont="1" applyBorder="1" applyAlignment="1">
      <alignment vertical="center" wrapText="1"/>
    </xf>
    <xf numFmtId="0" fontId="1" fillId="0" borderId="10" xfId="0" applyFont="1" applyBorder="1" applyAlignment="1">
      <alignment vertical="center" wrapText="1"/>
    </xf>
    <xf numFmtId="165" fontId="25" fillId="0" borderId="0" xfId="0" applyNumberFormat="1" applyFont="1" applyFill="1" applyAlignment="1">
      <alignment vertical="center" wrapText="1"/>
    </xf>
    <xf numFmtId="0" fontId="3" fillId="0" borderId="0" xfId="0" applyFont="1" applyAlignment="1">
      <alignment horizontal="center" vertical="center" wrapText="1"/>
    </xf>
    <xf numFmtId="0" fontId="3" fillId="7" borderId="0" xfId="0" applyFont="1" applyFill="1" applyAlignment="1">
      <alignment horizontal="center" vertical="center" wrapText="1"/>
    </xf>
    <xf numFmtId="165" fontId="8" fillId="7" borderId="6" xfId="0" applyNumberFormat="1" applyFont="1" applyFill="1" applyBorder="1" applyAlignment="1">
      <alignment vertical="center" wrapText="1" shrinkToFit="1"/>
    </xf>
    <xf numFmtId="165" fontId="8" fillId="7" borderId="10" xfId="0" applyNumberFormat="1" applyFont="1" applyFill="1" applyBorder="1" applyAlignment="1">
      <alignment vertical="center" wrapText="1" shrinkToFit="1"/>
    </xf>
    <xf numFmtId="165" fontId="14" fillId="0" borderId="0" xfId="0" applyNumberFormat="1" applyFont="1" applyAlignment="1">
      <alignment vertical="center" wrapText="1"/>
    </xf>
    <xf numFmtId="165" fontId="4" fillId="0" borderId="0" xfId="0" applyNumberFormat="1" applyFont="1" applyFill="1" applyAlignment="1">
      <alignment vertical="center" wrapText="1"/>
    </xf>
    <xf numFmtId="165" fontId="13" fillId="0" borderId="0" xfId="0" applyNumberFormat="1" applyFont="1" applyAlignment="1">
      <alignment vertical="center" wrapText="1"/>
    </xf>
    <xf numFmtId="165" fontId="3" fillId="0" borderId="10" xfId="0" applyNumberFormat="1" applyFont="1" applyBorder="1" applyAlignment="1">
      <alignment vertical="center" wrapText="1"/>
    </xf>
    <xf numFmtId="0" fontId="3" fillId="0" borderId="0" xfId="0" applyFont="1" applyAlignment="1">
      <alignment horizontal="center" vertical="center" wrapText="1"/>
    </xf>
    <xf numFmtId="4" fontId="0" fillId="7" borderId="0" xfId="0" applyNumberFormat="1" applyFill="1" applyBorder="1" applyAlignment="1">
      <alignment shrinkToFit="1"/>
    </xf>
    <xf numFmtId="0" fontId="3" fillId="0" borderId="6" xfId="0" applyFont="1" applyBorder="1" applyAlignment="1">
      <alignment horizontal="center" vertical="center" wrapText="1"/>
    </xf>
    <xf numFmtId="49" fontId="25" fillId="0" borderId="10"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wrapText="1"/>
    </xf>
    <xf numFmtId="0" fontId="3" fillId="0" borderId="0" xfId="0" applyFont="1" applyAlignment="1">
      <alignment vertical="center" wrapText="1"/>
    </xf>
    <xf numFmtId="0" fontId="21" fillId="0" borderId="0" xfId="0" applyFont="1" applyAlignment="1">
      <alignment vertical="center" wrapText="1"/>
    </xf>
    <xf numFmtId="0" fontId="19" fillId="0" borderId="7" xfId="0" applyFont="1" applyBorder="1" applyAlignment="1">
      <alignment horizontal="center" vertical="center" wrapText="1"/>
    </xf>
    <xf numFmtId="165" fontId="0" fillId="0" borderId="7" xfId="0" applyNumberFormat="1" applyFont="1" applyBorder="1" applyAlignment="1">
      <alignment vertical="center" wrapText="1"/>
    </xf>
    <xf numFmtId="165" fontId="3" fillId="0" borderId="7" xfId="0" applyNumberFormat="1" applyFont="1" applyBorder="1" applyAlignment="1">
      <alignment vertical="center" wrapText="1"/>
    </xf>
    <xf numFmtId="165" fontId="3" fillId="5" borderId="7" xfId="0" applyNumberFormat="1" applyFont="1" applyFill="1" applyBorder="1" applyAlignment="1">
      <alignment vertical="center" wrapText="1"/>
    </xf>
    <xf numFmtId="165" fontId="3" fillId="5" borderId="26" xfId="0" applyNumberFormat="1" applyFont="1" applyFill="1" applyBorder="1" applyAlignment="1">
      <alignment vertical="center" wrapText="1"/>
    </xf>
    <xf numFmtId="0" fontId="0" fillId="0" borderId="1" xfId="0" applyFont="1" applyBorder="1" applyAlignment="1">
      <alignment wrapText="1"/>
    </xf>
    <xf numFmtId="0" fontId="0" fillId="0" borderId="1" xfId="0" applyFont="1" applyBorder="1" applyAlignment="1">
      <alignment vertical="center" wrapText="1"/>
    </xf>
    <xf numFmtId="0" fontId="20" fillId="0" borderId="7" xfId="0" applyFont="1" applyBorder="1" applyAlignment="1">
      <alignment horizontal="center" vertical="center" wrapText="1"/>
    </xf>
    <xf numFmtId="0" fontId="0" fillId="0" borderId="0" xfId="0" applyFont="1" applyAlignment="1">
      <alignment vertical="top" wrapText="1"/>
    </xf>
    <xf numFmtId="165" fontId="0" fillId="0" borderId="0" xfId="0" applyNumberFormat="1" applyFont="1" applyAlignment="1">
      <alignment vertical="top" wrapText="1"/>
    </xf>
    <xf numFmtId="0" fontId="19" fillId="0" borderId="6" xfId="0" applyFont="1" applyFill="1" applyBorder="1" applyAlignment="1">
      <alignment horizontal="center" vertical="center" wrapText="1"/>
    </xf>
    <xf numFmtId="0" fontId="19" fillId="0" borderId="10" xfId="0" applyFont="1" applyFill="1" applyBorder="1" applyAlignment="1">
      <alignment horizontal="center" vertical="center" wrapText="1"/>
    </xf>
    <xf numFmtId="165" fontId="0" fillId="0" borderId="6" xfId="0" applyNumberFormat="1" applyFill="1" applyBorder="1" applyAlignment="1">
      <alignment vertical="center" wrapText="1"/>
    </xf>
    <xf numFmtId="0" fontId="0" fillId="0" borderId="0" xfId="0" applyFill="1" applyAlignment="1">
      <alignment vertical="center" wrapText="1"/>
    </xf>
    <xf numFmtId="0" fontId="0" fillId="0" borderId="0" xfId="0" applyFont="1" applyBorder="1" applyAlignment="1">
      <alignment vertical="center" wrapText="1"/>
    </xf>
    <xf numFmtId="0" fontId="0" fillId="0" borderId="0" xfId="0" applyFont="1" applyFill="1" applyAlignment="1">
      <alignment vertical="top" wrapText="1"/>
    </xf>
    <xf numFmtId="165" fontId="0" fillId="0" borderId="6" xfId="0" applyNumberFormat="1" applyFont="1" applyBorder="1" applyAlignment="1">
      <alignment horizontal="center" vertical="center" wrapText="1"/>
    </xf>
    <xf numFmtId="0" fontId="3" fillId="0" borderId="0" xfId="0" applyFont="1" applyAlignment="1">
      <alignment horizontal="center" vertical="center" wrapText="1"/>
    </xf>
    <xf numFmtId="0" fontId="3" fillId="8" borderId="0" xfId="0" applyFont="1" applyFill="1" applyAlignment="1">
      <alignment horizontal="center" vertical="center" wrapText="1"/>
    </xf>
    <xf numFmtId="0" fontId="3" fillId="0" borderId="0" xfId="0" applyFont="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0" fillId="0" borderId="0" xfId="0" applyAlignment="1">
      <alignment vertical="center"/>
    </xf>
    <xf numFmtId="165" fontId="0" fillId="0" borderId="0" xfId="0" applyNumberFormat="1" applyAlignment="1">
      <alignment vertical="center"/>
    </xf>
    <xf numFmtId="165" fontId="3" fillId="7" borderId="0" xfId="0" applyNumberFormat="1" applyFont="1" applyFill="1" applyAlignment="1">
      <alignment vertical="center"/>
    </xf>
    <xf numFmtId="0" fontId="0" fillId="0" borderId="5" xfId="0" applyBorder="1" applyAlignment="1">
      <alignment vertical="center"/>
    </xf>
    <xf numFmtId="165" fontId="0" fillId="0" borderId="6" xfId="0" applyNumberFormat="1" applyBorder="1" applyAlignment="1">
      <alignment vertical="center"/>
    </xf>
    <xf numFmtId="165" fontId="0" fillId="0" borderId="10" xfId="0" applyNumberFormat="1" applyBorder="1" applyAlignment="1">
      <alignment vertical="center"/>
    </xf>
    <xf numFmtId="0" fontId="3" fillId="7" borderId="5" xfId="0" applyFont="1" applyFill="1" applyBorder="1" applyAlignment="1">
      <alignment vertical="center"/>
    </xf>
    <xf numFmtId="165" fontId="3" fillId="7" borderId="6" xfId="0" applyNumberFormat="1" applyFont="1" applyFill="1" applyBorder="1" applyAlignment="1">
      <alignment vertical="center"/>
    </xf>
    <xf numFmtId="165" fontId="3" fillId="7" borderId="10" xfId="0" applyNumberFormat="1" applyFont="1" applyFill="1" applyBorder="1" applyAlignment="1">
      <alignment vertical="center"/>
    </xf>
    <xf numFmtId="0" fontId="3" fillId="7" borderId="19" xfId="0" applyFont="1" applyFill="1" applyBorder="1" applyAlignment="1">
      <alignment vertical="center"/>
    </xf>
    <xf numFmtId="165" fontId="3" fillId="7" borderId="20" xfId="0" applyNumberFormat="1" applyFont="1" applyFill="1" applyBorder="1" applyAlignment="1">
      <alignment vertical="center"/>
    </xf>
    <xf numFmtId="165" fontId="3" fillId="7" borderId="21" xfId="0" applyNumberFormat="1" applyFont="1" applyFill="1" applyBorder="1" applyAlignment="1">
      <alignment vertical="center"/>
    </xf>
    <xf numFmtId="165" fontId="3" fillId="0" borderId="6" xfId="0" applyNumberFormat="1" applyFont="1" applyBorder="1" applyAlignment="1">
      <alignment vertical="center"/>
    </xf>
    <xf numFmtId="165" fontId="3" fillId="0" borderId="10" xfId="0" applyNumberFormat="1" applyFont="1" applyBorder="1" applyAlignment="1">
      <alignment vertical="center"/>
    </xf>
    <xf numFmtId="164" fontId="8" fillId="2" borderId="6" xfId="0" applyNumberFormat="1" applyFont="1" applyFill="1" applyBorder="1" applyAlignment="1">
      <alignment horizontal="right" shrinkToFit="1"/>
    </xf>
    <xf numFmtId="164" fontId="8" fillId="2" borderId="9" xfId="0" applyNumberFormat="1" applyFont="1" applyFill="1" applyBorder="1" applyAlignment="1">
      <alignment horizontal="right" shrinkToFit="1"/>
    </xf>
    <xf numFmtId="164" fontId="8" fillId="4" borderId="6" xfId="0" applyNumberFormat="1" applyFont="1" applyFill="1" applyBorder="1" applyAlignment="1">
      <alignment horizontal="right" shrinkToFit="1"/>
    </xf>
    <xf numFmtId="164" fontId="4" fillId="2" borderId="6" xfId="0" applyNumberFormat="1" applyFont="1" applyFill="1" applyBorder="1" applyAlignment="1">
      <alignment horizontal="right" shrinkToFit="1"/>
    </xf>
    <xf numFmtId="164" fontId="4" fillId="5" borderId="6" xfId="0" applyNumberFormat="1" applyFont="1" applyFill="1" applyBorder="1" applyAlignment="1">
      <alignment horizontal="right" shrinkToFit="1"/>
    </xf>
    <xf numFmtId="164" fontId="4" fillId="2" borderId="6" xfId="0" applyNumberFormat="1" applyFont="1" applyFill="1" applyBorder="1" applyAlignment="1">
      <alignment horizontal="right" vertical="center" shrinkToFit="1"/>
    </xf>
    <xf numFmtId="164" fontId="13" fillId="6" borderId="6" xfId="0" applyNumberFormat="1" applyFont="1" applyFill="1" applyBorder="1" applyAlignment="1">
      <alignment horizontal="right" shrinkToFit="1"/>
    </xf>
    <xf numFmtId="164" fontId="2" fillId="5" borderId="6" xfId="0" applyNumberFormat="1" applyFont="1" applyFill="1" applyBorder="1" applyAlignment="1">
      <alignment horizontal="right" shrinkToFit="1"/>
    </xf>
    <xf numFmtId="164" fontId="2" fillId="4" borderId="6" xfId="0" applyNumberFormat="1" applyFont="1" applyFill="1" applyBorder="1" applyAlignment="1">
      <alignment horizontal="right" shrinkToFit="1"/>
    </xf>
    <xf numFmtId="164" fontId="2" fillId="2" borderId="6" xfId="0" applyNumberFormat="1" applyFont="1" applyFill="1" applyBorder="1" applyAlignment="1">
      <alignment horizontal="right" shrinkToFit="1"/>
    </xf>
    <xf numFmtId="164" fontId="15" fillId="3" borderId="6" xfId="0" applyNumberFormat="1" applyFont="1" applyFill="1" applyBorder="1" applyAlignment="1">
      <alignment horizontal="right" vertical="center" shrinkToFit="1"/>
    </xf>
    <xf numFmtId="164" fontId="15" fillId="2" borderId="6" xfId="0" applyNumberFormat="1" applyFont="1" applyFill="1" applyBorder="1" applyAlignment="1">
      <alignment horizontal="right" shrinkToFit="1"/>
    </xf>
    <xf numFmtId="164" fontId="4" fillId="3" borderId="6" xfId="0" applyNumberFormat="1" applyFont="1" applyFill="1" applyBorder="1" applyAlignment="1">
      <alignment horizontal="right" vertical="center" shrinkToFit="1"/>
    </xf>
    <xf numFmtId="164" fontId="8" fillId="7" borderId="11" xfId="0" applyNumberFormat="1" applyFont="1" applyFill="1" applyBorder="1" applyAlignment="1">
      <alignment horizontal="right" vertical="center" shrinkToFit="1"/>
    </xf>
    <xf numFmtId="164" fontId="8" fillId="7" borderId="6" xfId="0" applyNumberFormat="1" applyFont="1" applyFill="1" applyBorder="1" applyAlignment="1">
      <alignment horizontal="right" vertical="center" shrinkToFit="1"/>
    </xf>
    <xf numFmtId="164" fontId="8" fillId="7" borderId="20" xfId="0" applyNumberFormat="1" applyFont="1" applyFill="1" applyBorder="1" applyAlignment="1">
      <alignment horizontal="right" vertical="center" shrinkToFit="1"/>
    </xf>
    <xf numFmtId="164" fontId="8" fillId="0" borderId="6" xfId="0" applyNumberFormat="1" applyFont="1" applyFill="1" applyBorder="1" applyAlignment="1">
      <alignment horizontal="center" vertical="center" wrapText="1"/>
    </xf>
    <xf numFmtId="164" fontId="10" fillId="0" borderId="6" xfId="0" applyNumberFormat="1" applyFont="1" applyFill="1" applyBorder="1" applyAlignment="1">
      <alignment horizontal="center" vertical="center" shrinkToFit="1"/>
    </xf>
    <xf numFmtId="164" fontId="8" fillId="8" borderId="6" xfId="0" applyNumberFormat="1" applyFont="1" applyFill="1" applyBorder="1" applyAlignment="1">
      <alignment horizontal="right" shrinkToFit="1"/>
    </xf>
    <xf numFmtId="164" fontId="8" fillId="9" borderId="6" xfId="0" applyNumberFormat="1" applyFont="1" applyFill="1" applyBorder="1" applyAlignment="1">
      <alignment horizontal="right" shrinkToFit="1"/>
    </xf>
    <xf numFmtId="164" fontId="8" fillId="3" borderId="6" xfId="0" applyNumberFormat="1" applyFont="1" applyFill="1" applyBorder="1" applyAlignment="1">
      <alignment horizontal="right" shrinkToFit="1"/>
    </xf>
    <xf numFmtId="164" fontId="13" fillId="2" borderId="6" xfId="0" applyNumberFormat="1" applyFont="1" applyFill="1" applyBorder="1" applyAlignment="1">
      <alignment horizontal="center" vertical="center" shrinkToFit="1"/>
    </xf>
    <xf numFmtId="164" fontId="13" fillId="4" borderId="6" xfId="0" applyNumberFormat="1" applyFont="1" applyFill="1" applyBorder="1" applyAlignment="1">
      <alignment horizontal="center" vertical="center" shrinkToFit="1"/>
    </xf>
    <xf numFmtId="164" fontId="13" fillId="2" borderId="6" xfId="0" applyNumberFormat="1" applyFont="1" applyFill="1" applyBorder="1" applyAlignment="1">
      <alignment horizontal="right" shrinkToFit="1"/>
    </xf>
    <xf numFmtId="164" fontId="13" fillId="4" borderId="6" xfId="0" applyNumberFormat="1" applyFont="1" applyFill="1" applyBorder="1" applyAlignment="1">
      <alignment vertical="center" shrinkToFit="1"/>
    </xf>
    <xf numFmtId="164" fontId="4" fillId="4" borderId="6" xfId="0" applyNumberFormat="1" applyFont="1" applyFill="1" applyBorder="1" applyAlignment="1">
      <alignment horizontal="right" shrinkToFit="1"/>
    </xf>
    <xf numFmtId="164" fontId="4" fillId="3" borderId="6" xfId="0" applyNumberFormat="1" applyFont="1" applyFill="1" applyBorder="1" applyAlignment="1">
      <alignment horizontal="right" shrinkToFit="1"/>
    </xf>
    <xf numFmtId="164" fontId="23" fillId="2" borderId="6" xfId="0" applyNumberFormat="1" applyFont="1" applyFill="1" applyBorder="1" applyAlignment="1">
      <alignment horizontal="right" shrinkToFit="1"/>
    </xf>
    <xf numFmtId="164" fontId="2" fillId="4" borderId="6" xfId="0" applyNumberFormat="1" applyFont="1" applyFill="1" applyBorder="1" applyAlignment="1">
      <alignment vertical="center" shrinkToFit="1"/>
    </xf>
    <xf numFmtId="164" fontId="13" fillId="5" borderId="6" xfId="0" applyNumberFormat="1" applyFont="1" applyFill="1" applyBorder="1" applyAlignment="1">
      <alignment horizontal="right" shrinkToFit="1"/>
    </xf>
    <xf numFmtId="0" fontId="3" fillId="0" borderId="0" xfId="0" applyFont="1" applyFill="1" applyAlignment="1">
      <alignment horizontal="center" vertical="center" wrapText="1"/>
    </xf>
    <xf numFmtId="170" fontId="1" fillId="0" borderId="0" xfId="0" applyNumberFormat="1" applyFont="1" applyAlignment="1">
      <alignment vertical="center" shrinkToFit="1"/>
    </xf>
    <xf numFmtId="165" fontId="0" fillId="8" borderId="0" xfId="0" applyNumberFormat="1" applyFont="1" applyFill="1" applyAlignment="1">
      <alignment vertical="center" shrinkToFit="1"/>
    </xf>
    <xf numFmtId="165" fontId="0" fillId="0" borderId="0" xfId="0" applyNumberFormat="1" applyFont="1" applyFill="1" applyAlignment="1">
      <alignment vertical="center" shrinkToFit="1"/>
    </xf>
    <xf numFmtId="165" fontId="1" fillId="0" borderId="0" xfId="0" applyNumberFormat="1" applyFont="1" applyFill="1" applyAlignment="1">
      <alignment vertical="center" shrinkToFit="1"/>
    </xf>
    <xf numFmtId="164" fontId="1" fillId="0" borderId="0" xfId="0" applyNumberFormat="1" applyFont="1" applyFill="1" applyAlignment="1">
      <alignment vertical="center" shrinkToFit="1"/>
    </xf>
    <xf numFmtId="165" fontId="0" fillId="0" borderId="6" xfId="0" applyNumberFormat="1" applyFont="1" applyBorder="1" applyAlignment="1">
      <alignment vertical="center"/>
    </xf>
    <xf numFmtId="165" fontId="0" fillId="0" borderId="10" xfId="0" applyNumberFormat="1" applyFont="1" applyBorder="1" applyAlignment="1">
      <alignment vertical="center"/>
    </xf>
    <xf numFmtId="165" fontId="4" fillId="0" borderId="20" xfId="0" applyNumberFormat="1" applyFont="1" applyBorder="1" applyAlignment="1">
      <alignment horizontal="center" vertical="center" wrapText="1"/>
    </xf>
    <xf numFmtId="165" fontId="4" fillId="0" borderId="21" xfId="0" applyNumberFormat="1" applyFont="1" applyBorder="1" applyAlignment="1">
      <alignment horizontal="center" vertical="center" wrapText="1"/>
    </xf>
    <xf numFmtId="0" fontId="3" fillId="0" borderId="0" xfId="0" applyFont="1" applyAlignment="1">
      <alignment horizontal="center" vertical="center" wrapText="1"/>
    </xf>
    <xf numFmtId="165" fontId="3" fillId="0" borderId="0" xfId="0" applyNumberFormat="1" applyFont="1" applyAlignment="1">
      <alignment vertical="center" shrinkToFit="1"/>
    </xf>
    <xf numFmtId="174" fontId="0" fillId="0" borderId="0" xfId="0" applyNumberFormat="1" applyFont="1" applyAlignment="1">
      <alignment vertical="center" wrapText="1"/>
    </xf>
    <xf numFmtId="173" fontId="1" fillId="0" borderId="0" xfId="3" applyNumberFormat="1" applyFont="1" applyFill="1" applyAlignment="1">
      <alignment vertical="top" wrapText="1"/>
    </xf>
    <xf numFmtId="165" fontId="1" fillId="0" borderId="0" xfId="3" applyNumberFormat="1" applyFont="1" applyFill="1" applyAlignment="1">
      <alignment vertical="center" wrapText="1"/>
    </xf>
    <xf numFmtId="175" fontId="1" fillId="0" borderId="0" xfId="3" applyNumberFormat="1" applyFont="1" applyFill="1" applyAlignment="1">
      <alignment vertical="top" wrapText="1"/>
    </xf>
    <xf numFmtId="0" fontId="27" fillId="0" borderId="0" xfId="3" applyNumberFormat="1" applyFont="1" applyFill="1" applyBorder="1" applyAlignment="1">
      <alignment horizontal="center" vertical="top" wrapText="1"/>
    </xf>
    <xf numFmtId="0" fontId="28" fillId="0" borderId="0" xfId="3" applyNumberFormat="1" applyFont="1" applyFill="1" applyBorder="1" applyAlignment="1">
      <alignment horizontal="center" vertical="top" wrapText="1"/>
    </xf>
    <xf numFmtId="173" fontId="1" fillId="0" borderId="0" xfId="3" applyNumberFormat="1" applyFont="1" applyFill="1" applyAlignment="1">
      <alignment horizontal="right" vertical="top"/>
    </xf>
    <xf numFmtId="49" fontId="8" fillId="0" borderId="6" xfId="3" applyNumberFormat="1" applyFont="1" applyFill="1" applyBorder="1" applyAlignment="1">
      <alignment horizontal="center" vertical="center" wrapText="1"/>
    </xf>
    <xf numFmtId="49" fontId="8" fillId="0" borderId="10" xfId="3" applyNumberFormat="1" applyFont="1" applyFill="1" applyBorder="1" applyAlignment="1">
      <alignment horizontal="center" vertical="center" wrapText="1"/>
    </xf>
    <xf numFmtId="0" fontId="28" fillId="0" borderId="5" xfId="3" applyNumberFormat="1" applyFont="1" applyFill="1" applyBorder="1" applyAlignment="1">
      <alignment horizontal="center" vertical="center" wrapText="1"/>
    </xf>
    <xf numFmtId="0" fontId="28" fillId="0" borderId="6" xfId="3" applyNumberFormat="1" applyFont="1" applyFill="1" applyBorder="1" applyAlignment="1">
      <alignment horizontal="center" vertical="center" wrapText="1"/>
    </xf>
    <xf numFmtId="0" fontId="28" fillId="0" borderId="10" xfId="3" applyNumberFormat="1" applyFont="1" applyFill="1" applyBorder="1" applyAlignment="1">
      <alignment horizontal="center" vertical="center" wrapText="1"/>
    </xf>
    <xf numFmtId="0" fontId="28" fillId="0" borderId="5" xfId="3" applyNumberFormat="1" applyFont="1" applyFill="1" applyBorder="1" applyAlignment="1">
      <alignment vertical="center" wrapText="1"/>
    </xf>
    <xf numFmtId="171" fontId="28" fillId="0" borderId="6" xfId="3" applyNumberFormat="1" applyFont="1" applyFill="1" applyBorder="1" applyAlignment="1">
      <alignment horizontal="right" vertical="center" wrapText="1"/>
    </xf>
    <xf numFmtId="171" fontId="28" fillId="0" borderId="10" xfId="3" applyNumberFormat="1" applyFont="1" applyFill="1" applyBorder="1" applyAlignment="1">
      <alignment horizontal="right" vertical="center" wrapText="1"/>
    </xf>
    <xf numFmtId="0" fontId="17" fillId="0" borderId="5" xfId="3" applyNumberFormat="1" applyFont="1" applyFill="1" applyBorder="1" applyAlignment="1">
      <alignment vertical="center" wrapText="1"/>
    </xf>
    <xf numFmtId="171" fontId="17" fillId="0" borderId="6" xfId="3" applyNumberFormat="1" applyFont="1" applyFill="1" applyBorder="1" applyAlignment="1">
      <alignment horizontal="right" vertical="center" wrapText="1"/>
    </xf>
    <xf numFmtId="171" fontId="17" fillId="0" borderId="10" xfId="3" applyNumberFormat="1" applyFont="1" applyFill="1" applyBorder="1" applyAlignment="1">
      <alignment horizontal="right" vertical="center" wrapText="1"/>
    </xf>
    <xf numFmtId="0" fontId="33" fillId="0" borderId="5" xfId="3" applyNumberFormat="1" applyFont="1" applyFill="1" applyBorder="1" applyAlignment="1">
      <alignment vertical="top" wrapText="1"/>
    </xf>
    <xf numFmtId="171" fontId="28" fillId="0" borderId="6" xfId="3" applyNumberFormat="1" applyFont="1" applyFill="1" applyBorder="1" applyAlignment="1">
      <alignment horizontal="right" vertical="top" wrapText="1"/>
    </xf>
    <xf numFmtId="0" fontId="28" fillId="0" borderId="19" xfId="3" applyNumberFormat="1" applyFont="1" applyFill="1" applyBorder="1" applyAlignment="1">
      <alignment vertical="center" wrapText="1"/>
    </xf>
    <xf numFmtId="171" fontId="28" fillId="0" borderId="20" xfId="3" applyNumberFormat="1" applyFont="1" applyFill="1" applyBorder="1" applyAlignment="1">
      <alignment horizontal="right" vertical="center" wrapText="1"/>
    </xf>
    <xf numFmtId="171" fontId="28" fillId="0" borderId="21" xfId="3" applyNumberFormat="1" applyFont="1" applyFill="1" applyBorder="1" applyAlignment="1">
      <alignment horizontal="right" vertical="center" wrapText="1"/>
    </xf>
    <xf numFmtId="176" fontId="1" fillId="0" borderId="0" xfId="3" applyNumberFormat="1" applyFont="1" applyFill="1" applyAlignment="1">
      <alignment vertical="top" wrapText="1"/>
    </xf>
    <xf numFmtId="173" fontId="0" fillId="0" borderId="0" xfId="3" applyNumberFormat="1" applyFont="1" applyFill="1" applyAlignment="1">
      <alignment horizontal="right" vertical="top"/>
    </xf>
    <xf numFmtId="173" fontId="0" fillId="12" borderId="0" xfId="10" applyNumberFormat="1" applyFont="1" applyFill="1" applyAlignment="1">
      <alignment horizontal="right" vertical="top"/>
    </xf>
    <xf numFmtId="49" fontId="0" fillId="12" borderId="0" xfId="0" applyNumberFormat="1" applyFont="1" applyFill="1" applyAlignment="1">
      <alignment horizontal="center"/>
    </xf>
    <xf numFmtId="0" fontId="0" fillId="12" borderId="0" xfId="0" applyFont="1" applyFill="1" applyAlignment="1">
      <alignment horizontal="center"/>
    </xf>
    <xf numFmtId="0" fontId="0" fillId="12" borderId="0" xfId="0" applyFont="1" applyFill="1" applyAlignment="1">
      <alignment horizontal="center" wrapText="1"/>
    </xf>
    <xf numFmtId="177" fontId="4" fillId="12" borderId="6" xfId="11" applyNumberFormat="1" applyFont="1" applyFill="1" applyBorder="1" applyAlignment="1">
      <alignment horizontal="center" vertical="center" wrapText="1"/>
    </xf>
    <xf numFmtId="49" fontId="4" fillId="12" borderId="6" xfId="11" applyNumberFormat="1" applyFont="1" applyFill="1" applyBorder="1" applyAlignment="1">
      <alignment horizontal="center" vertical="center" wrapText="1"/>
    </xf>
    <xf numFmtId="11" fontId="4" fillId="12" borderId="6" xfId="11" applyNumberFormat="1" applyFont="1" applyFill="1" applyBorder="1" applyAlignment="1">
      <alignment horizontal="center" vertical="center" wrapText="1"/>
    </xf>
    <xf numFmtId="0" fontId="4" fillId="12" borderId="6" xfId="11" applyFont="1" applyFill="1" applyBorder="1" applyAlignment="1">
      <alignment horizontal="center" vertical="center" wrapText="1"/>
    </xf>
    <xf numFmtId="0" fontId="0" fillId="12" borderId="6" xfId="0" applyFont="1" applyFill="1" applyBorder="1" applyAlignment="1">
      <alignment horizontal="center" vertical="center" wrapText="1"/>
    </xf>
    <xf numFmtId="0" fontId="0" fillId="12" borderId="0" xfId="0" applyFont="1" applyFill="1" applyBorder="1" applyAlignment="1">
      <alignment horizontal="center"/>
    </xf>
    <xf numFmtId="0" fontId="3" fillId="12" borderId="0" xfId="0" applyFont="1" applyFill="1" applyBorder="1" applyAlignment="1">
      <alignment wrapText="1"/>
    </xf>
    <xf numFmtId="0" fontId="0" fillId="12" borderId="0" xfId="0" applyFont="1" applyFill="1" applyBorder="1" applyAlignment="1">
      <alignment wrapText="1"/>
    </xf>
    <xf numFmtId="49" fontId="0" fillId="12" borderId="6" xfId="0" applyNumberFormat="1" applyFont="1" applyFill="1" applyBorder="1" applyAlignment="1">
      <alignment horizontal="center"/>
    </xf>
    <xf numFmtId="0" fontId="0" fillId="12" borderId="6" xfId="0" applyFont="1" applyFill="1" applyBorder="1" applyAlignment="1">
      <alignment horizontal="center" wrapText="1"/>
    </xf>
    <xf numFmtId="171" fontId="0" fillId="12" borderId="6" xfId="0" applyNumberFormat="1" applyFont="1" applyFill="1" applyBorder="1" applyAlignment="1">
      <alignment horizontal="center"/>
    </xf>
    <xf numFmtId="4" fontId="0" fillId="12" borderId="6" xfId="0" applyNumberFormat="1" applyFont="1" applyFill="1" applyBorder="1" applyAlignment="1">
      <alignment horizontal="center"/>
    </xf>
    <xf numFmtId="49" fontId="0" fillId="12" borderId="12" xfId="0" applyNumberFormat="1" applyFont="1" applyFill="1" applyBorder="1" applyAlignment="1">
      <alignment horizontal="center"/>
    </xf>
    <xf numFmtId="4" fontId="0" fillId="12" borderId="12" xfId="0" applyNumberFormat="1" applyFont="1" applyFill="1" applyBorder="1" applyAlignment="1">
      <alignment horizontal="center"/>
    </xf>
    <xf numFmtId="49" fontId="0" fillId="12" borderId="6" xfId="0" applyNumberFormat="1" applyFont="1" applyFill="1" applyBorder="1" applyAlignment="1">
      <alignment horizontal="center" wrapText="1"/>
    </xf>
    <xf numFmtId="0" fontId="0" fillId="12" borderId="6" xfId="0" applyFont="1" applyFill="1" applyBorder="1" applyAlignment="1">
      <alignment horizontal="center"/>
    </xf>
    <xf numFmtId="49" fontId="0" fillId="12" borderId="6" xfId="0" applyNumberFormat="1" applyFont="1" applyFill="1" applyBorder="1" applyAlignment="1"/>
    <xf numFmtId="0" fontId="0" fillId="12" borderId="6" xfId="0" applyFont="1" applyFill="1" applyBorder="1" applyAlignment="1">
      <alignment wrapText="1"/>
    </xf>
    <xf numFmtId="0" fontId="0" fillId="12" borderId="6" xfId="0" applyFont="1" applyFill="1" applyBorder="1" applyAlignment="1"/>
    <xf numFmtId="0" fontId="3" fillId="12" borderId="6" xfId="0" applyFont="1" applyFill="1" applyBorder="1" applyAlignment="1">
      <alignment horizontal="center" vertical="center" wrapText="1"/>
    </xf>
    <xf numFmtId="0" fontId="0" fillId="12" borderId="6" xfId="0" applyFont="1" applyFill="1" applyBorder="1" applyAlignment="1">
      <alignment horizontal="left"/>
    </xf>
    <xf numFmtId="0" fontId="35" fillId="12" borderId="6" xfId="0" applyFont="1" applyFill="1" applyBorder="1" applyAlignment="1">
      <alignment horizontal="left"/>
    </xf>
    <xf numFmtId="0" fontId="35" fillId="12" borderId="6" xfId="0" applyFont="1" applyFill="1" applyBorder="1" applyAlignment="1">
      <alignment horizontal="left" wrapText="1"/>
    </xf>
    <xf numFmtId="49" fontId="0" fillId="12" borderId="6" xfId="0" applyNumberFormat="1" applyFont="1" applyFill="1" applyBorder="1" applyAlignment="1">
      <alignment horizontal="left"/>
    </xf>
    <xf numFmtId="0" fontId="0" fillId="12" borderId="6" xfId="0" applyFont="1" applyFill="1" applyBorder="1" applyAlignment="1">
      <alignment horizontal="left" wrapText="1"/>
    </xf>
    <xf numFmtId="0" fontId="0" fillId="12" borderId="6" xfId="0" applyFont="1" applyFill="1" applyBorder="1" applyAlignment="1">
      <alignment vertical="center" wrapText="1"/>
    </xf>
    <xf numFmtId="49" fontId="0" fillId="12" borderId="11" xfId="0" applyNumberFormat="1" applyFont="1" applyFill="1" applyBorder="1" applyAlignment="1">
      <alignment horizontal="center"/>
    </xf>
    <xf numFmtId="173" fontId="0" fillId="12" borderId="0" xfId="10" applyNumberFormat="1" applyFont="1" applyFill="1" applyAlignment="1">
      <alignment horizontal="right" vertical="top" wrapText="1"/>
    </xf>
    <xf numFmtId="171" fontId="0" fillId="12" borderId="6" xfId="0" applyNumberFormat="1" applyFont="1" applyFill="1" applyBorder="1" applyAlignment="1">
      <alignment horizontal="left"/>
    </xf>
    <xf numFmtId="4" fontId="0" fillId="12" borderId="6" xfId="0" applyNumberFormat="1" applyFont="1" applyFill="1" applyBorder="1" applyAlignment="1">
      <alignment horizontal="right"/>
    </xf>
    <xf numFmtId="0" fontId="0" fillId="12" borderId="12" xfId="0" applyFont="1" applyFill="1" applyBorder="1" applyAlignment="1">
      <alignment horizontal="left" wrapText="1"/>
    </xf>
    <xf numFmtId="171" fontId="0" fillId="12" borderId="12" xfId="0" applyNumberFormat="1" applyFont="1" applyFill="1" applyBorder="1" applyAlignment="1">
      <alignment horizontal="left"/>
    </xf>
    <xf numFmtId="4" fontId="0" fillId="12" borderId="6" xfId="0" applyNumberFormat="1" applyFont="1" applyFill="1" applyBorder="1" applyAlignment="1">
      <alignment horizontal="left"/>
    </xf>
    <xf numFmtId="4" fontId="0" fillId="12" borderId="12" xfId="0" applyNumberFormat="1" applyFont="1" applyFill="1" applyBorder="1" applyAlignment="1">
      <alignment horizontal="right"/>
    </xf>
    <xf numFmtId="49" fontId="0" fillId="12" borderId="6" xfId="0" applyNumberFormat="1" applyFont="1" applyFill="1" applyBorder="1" applyAlignment="1">
      <alignment horizontal="left" wrapText="1"/>
    </xf>
    <xf numFmtId="49" fontId="0" fillId="12" borderId="6" xfId="0" applyNumberFormat="1" applyFont="1" applyFill="1" applyBorder="1" applyAlignment="1">
      <alignment horizontal="right" wrapText="1"/>
    </xf>
    <xf numFmtId="0" fontId="0" fillId="12" borderId="6" xfId="0" applyFont="1" applyFill="1" applyBorder="1" applyAlignment="1">
      <alignment horizontal="right" wrapText="1"/>
    </xf>
    <xf numFmtId="0" fontId="0" fillId="12" borderId="6" xfId="0" applyFont="1" applyFill="1" applyBorder="1" applyAlignment="1">
      <alignment horizontal="right"/>
    </xf>
    <xf numFmtId="0" fontId="0" fillId="12" borderId="6" xfId="0" applyFont="1" applyFill="1" applyBorder="1" applyAlignment="1">
      <alignment horizontal="left" vertical="center" wrapText="1"/>
    </xf>
    <xf numFmtId="49" fontId="0" fillId="12" borderId="6" xfId="0" applyNumberFormat="1" applyFont="1" applyFill="1" applyBorder="1" applyAlignment="1">
      <alignment horizontal="right"/>
    </xf>
    <xf numFmtId="0" fontId="0" fillId="12" borderId="11" xfId="0" applyFont="1" applyFill="1" applyBorder="1" applyAlignment="1">
      <alignment horizontal="left" wrapText="1"/>
    </xf>
    <xf numFmtId="49" fontId="8" fillId="0" borderId="6"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164" fontId="8" fillId="0" borderId="0" xfId="0" applyNumberFormat="1" applyFont="1" applyAlignment="1">
      <alignment horizontal="right" vertical="center" wrapText="1"/>
    </xf>
    <xf numFmtId="0" fontId="5" fillId="0" borderId="0" xfId="0" applyFont="1" applyAlignment="1">
      <alignment horizontal="center" vertical="center" wrapText="1"/>
    </xf>
    <xf numFmtId="0" fontId="8"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0" xfId="0"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49" fontId="10" fillId="0" borderId="11"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164" fontId="8" fillId="0" borderId="6" xfId="0" applyNumberFormat="1" applyFont="1" applyFill="1" applyBorder="1" applyAlignment="1">
      <alignment horizontal="center" vertical="center" wrapText="1"/>
    </xf>
    <xf numFmtId="164" fontId="11" fillId="0" borderId="6" xfId="0" applyNumberFormat="1" applyFont="1" applyFill="1" applyBorder="1" applyAlignment="1">
      <alignment horizontal="center" vertical="center" wrapText="1"/>
    </xf>
    <xf numFmtId="164" fontId="10" fillId="0" borderId="6" xfId="0" applyNumberFormat="1" applyFont="1" applyFill="1" applyBorder="1" applyAlignment="1">
      <alignment horizontal="center" vertical="center" wrapText="1"/>
    </xf>
    <xf numFmtId="0" fontId="8" fillId="0" borderId="0" xfId="0" applyFont="1" applyFill="1" applyBorder="1" applyAlignment="1">
      <alignment horizontal="left" vertical="center"/>
    </xf>
    <xf numFmtId="49" fontId="10" fillId="0" borderId="6"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0" fontId="3" fillId="0" borderId="0" xfId="0" applyFont="1" applyAlignment="1">
      <alignment horizontal="right"/>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8" fillId="0" borderId="0" xfId="0" applyFont="1" applyFill="1" applyAlignment="1">
      <alignment horizontal="center" vertical="center" wrapText="1"/>
    </xf>
    <xf numFmtId="165" fontId="3" fillId="0" borderId="0" xfId="0" applyNumberFormat="1" applyFont="1" applyFill="1" applyAlignment="1">
      <alignment horizontal="right" vertical="center" wrapText="1"/>
    </xf>
    <xf numFmtId="0" fontId="18" fillId="0" borderId="0" xfId="0" applyFont="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Alignment="1">
      <alignment horizontal="right" vertical="center" wrapText="1"/>
    </xf>
    <xf numFmtId="0" fontId="21"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1" xfId="0" applyFont="1" applyBorder="1" applyAlignment="1">
      <alignment horizontal="right" vertical="center" wrapText="1"/>
    </xf>
    <xf numFmtId="0" fontId="1" fillId="0" borderId="1" xfId="0" applyFont="1" applyBorder="1" applyAlignment="1">
      <alignment horizontal="right" vertical="center" wrapText="1"/>
    </xf>
    <xf numFmtId="0" fontId="0" fillId="0" borderId="1" xfId="0" applyBorder="1" applyAlignment="1">
      <alignment horizontal="right" vertical="center" wrapText="1"/>
    </xf>
    <xf numFmtId="0" fontId="27" fillId="0" borderId="0" xfId="3" applyNumberFormat="1" applyFont="1" applyFill="1" applyBorder="1" applyAlignment="1">
      <alignment horizontal="center" vertical="top" wrapText="1"/>
    </xf>
    <xf numFmtId="0" fontId="3" fillId="0" borderId="5" xfId="3" applyNumberFormat="1" applyFont="1" applyFill="1" applyBorder="1" applyAlignment="1">
      <alignment horizontal="center" vertical="center" wrapText="1"/>
    </xf>
    <xf numFmtId="173" fontId="3" fillId="0" borderId="5" xfId="3" applyNumberFormat="1" applyFont="1" applyFill="1" applyBorder="1" applyAlignment="1">
      <alignment horizontal="center" vertical="top" wrapText="1"/>
    </xf>
    <xf numFmtId="0" fontId="8" fillId="0" borderId="6" xfId="3" applyNumberFormat="1" applyFont="1" applyFill="1" applyBorder="1" applyAlignment="1">
      <alignment horizontal="center" vertical="center" wrapText="1"/>
    </xf>
    <xf numFmtId="0" fontId="3" fillId="0" borderId="6" xfId="3" applyNumberFormat="1" applyFont="1" applyFill="1" applyBorder="1" applyAlignment="1">
      <alignment horizontal="center" vertical="center" wrapText="1"/>
    </xf>
    <xf numFmtId="0" fontId="3" fillId="0" borderId="10" xfId="3" applyNumberFormat="1" applyFont="1" applyFill="1" applyBorder="1" applyAlignment="1">
      <alignment horizontal="center" vertical="center" wrapText="1"/>
    </xf>
    <xf numFmtId="0" fontId="35" fillId="12" borderId="6" xfId="0" applyFont="1" applyFill="1" applyBorder="1" applyAlignment="1">
      <alignment horizontal="left" wrapText="1"/>
    </xf>
    <xf numFmtId="0" fontId="18" fillId="12" borderId="0" xfId="0" applyFont="1" applyFill="1" applyAlignment="1">
      <alignment horizontal="center"/>
    </xf>
    <xf numFmtId="49" fontId="4" fillId="12" borderId="6" xfId="11" applyNumberFormat="1" applyFont="1" applyFill="1" applyBorder="1" applyAlignment="1">
      <alignment horizontal="center" vertical="center" wrapText="1"/>
    </xf>
    <xf numFmtId="11" fontId="4" fillId="12" borderId="6" xfId="11" applyNumberFormat="1" applyFont="1" applyFill="1" applyBorder="1" applyAlignment="1">
      <alignment horizontal="center" vertical="center" wrapText="1"/>
    </xf>
    <xf numFmtId="0" fontId="4" fillId="12" borderId="6" xfId="11" applyFont="1" applyFill="1" applyBorder="1" applyAlignment="1">
      <alignment horizontal="center" vertical="center" wrapText="1"/>
    </xf>
    <xf numFmtId="177" fontId="4" fillId="12" borderId="6" xfId="11" applyNumberFormat="1" applyFont="1" applyFill="1" applyBorder="1" applyAlignment="1">
      <alignment horizontal="center" vertical="center" wrapText="1"/>
    </xf>
    <xf numFmtId="0" fontId="0" fillId="12" borderId="11" xfId="0" applyFont="1" applyFill="1" applyBorder="1" applyAlignment="1">
      <alignment horizontal="center" vertical="center" wrapText="1"/>
    </xf>
    <xf numFmtId="0" fontId="0" fillId="12" borderId="29" xfId="0" applyFont="1" applyFill="1" applyBorder="1" applyAlignment="1">
      <alignment horizontal="center" vertical="center" wrapText="1"/>
    </xf>
    <xf numFmtId="0" fontId="0" fillId="12" borderId="12" xfId="0" applyFont="1" applyFill="1" applyBorder="1" applyAlignment="1">
      <alignment horizontal="center" vertical="center" wrapText="1"/>
    </xf>
    <xf numFmtId="0" fontId="3" fillId="12" borderId="6" xfId="0" applyFont="1" applyFill="1" applyBorder="1" applyAlignment="1">
      <alignment horizontal="left" wrapText="1"/>
    </xf>
    <xf numFmtId="0" fontId="35" fillId="12" borderId="6" xfId="0" applyFont="1" applyFill="1" applyBorder="1" applyAlignment="1">
      <alignment horizontal="left"/>
    </xf>
    <xf numFmtId="49" fontId="35" fillId="12" borderId="7" xfId="0" applyNumberFormat="1" applyFont="1" applyFill="1" applyBorder="1" applyAlignment="1">
      <alignment horizontal="left" wrapText="1"/>
    </xf>
    <xf numFmtId="49" fontId="35" fillId="12" borderId="8" xfId="0" applyNumberFormat="1" applyFont="1" applyFill="1" applyBorder="1" applyAlignment="1">
      <alignment horizontal="left"/>
    </xf>
    <xf numFmtId="49" fontId="35" fillId="12" borderId="9" xfId="0" applyNumberFormat="1" applyFont="1" applyFill="1" applyBorder="1" applyAlignment="1">
      <alignment horizontal="left"/>
    </xf>
    <xf numFmtId="0" fontId="3" fillId="12" borderId="6" xfId="0" applyFont="1" applyFill="1" applyBorder="1" applyAlignment="1">
      <alignment horizontal="left"/>
    </xf>
    <xf numFmtId="0" fontId="35" fillId="12" borderId="7" xfId="0" applyFont="1" applyFill="1" applyBorder="1" applyAlignment="1">
      <alignment horizontal="left"/>
    </xf>
    <xf numFmtId="0" fontId="35" fillId="12" borderId="8" xfId="0" applyFont="1" applyFill="1" applyBorder="1" applyAlignment="1">
      <alignment horizontal="left"/>
    </xf>
    <xf numFmtId="0" fontId="35" fillId="12" borderId="9" xfId="0" applyFont="1" applyFill="1" applyBorder="1" applyAlignment="1">
      <alignment horizontal="left"/>
    </xf>
    <xf numFmtId="0" fontId="35" fillId="12" borderId="6" xfId="0" applyFont="1" applyFill="1" applyBorder="1" applyAlignment="1"/>
    <xf numFmtId="0" fontId="0" fillId="12" borderId="11" xfId="0" applyFont="1" applyFill="1" applyBorder="1" applyAlignment="1">
      <alignment horizontal="left" vertical="center" wrapText="1"/>
    </xf>
    <xf numFmtId="0" fontId="0" fillId="12" borderId="29" xfId="0" applyFont="1" applyFill="1" applyBorder="1" applyAlignment="1">
      <alignment horizontal="left" vertical="center" wrapText="1"/>
    </xf>
    <xf numFmtId="0" fontId="0" fillId="12" borderId="12" xfId="0" applyFont="1" applyFill="1" applyBorder="1" applyAlignment="1">
      <alignment horizontal="left" vertical="center" wrapText="1"/>
    </xf>
    <xf numFmtId="49" fontId="35" fillId="12" borderId="7" xfId="0" applyNumberFormat="1" applyFont="1" applyFill="1" applyBorder="1" applyAlignment="1">
      <alignment horizontal="left"/>
    </xf>
    <xf numFmtId="49" fontId="35" fillId="12" borderId="7" xfId="0" applyNumberFormat="1" applyFont="1" applyFill="1" applyBorder="1" applyAlignment="1"/>
    <xf numFmtId="49" fontId="35" fillId="12" borderId="8" xfId="0" applyNumberFormat="1" applyFont="1" applyFill="1" applyBorder="1" applyAlignment="1"/>
    <xf numFmtId="49" fontId="35" fillId="12" borderId="9" xfId="0" applyNumberFormat="1" applyFont="1" applyFill="1" applyBorder="1" applyAlignment="1"/>
    <xf numFmtId="49" fontId="0" fillId="12" borderId="11" xfId="0" applyNumberFormat="1" applyFont="1" applyFill="1" applyBorder="1" applyAlignment="1">
      <alignment horizontal="center"/>
    </xf>
    <xf numFmtId="49" fontId="0" fillId="12" borderId="12" xfId="0" applyNumberFormat="1" applyFont="1" applyFill="1" applyBorder="1" applyAlignment="1">
      <alignment horizontal="center"/>
    </xf>
    <xf numFmtId="49" fontId="3" fillId="12" borderId="7" xfId="0" applyNumberFormat="1" applyFont="1" applyFill="1" applyBorder="1" applyAlignment="1">
      <alignment horizontal="left" wrapText="1"/>
    </xf>
    <xf numFmtId="49" fontId="3" fillId="12" borderId="8" xfId="0" applyNumberFormat="1" applyFont="1" applyFill="1" applyBorder="1" applyAlignment="1">
      <alignment horizontal="left" wrapText="1"/>
    </xf>
    <xf numFmtId="49" fontId="3" fillId="12" borderId="9" xfId="0" applyNumberFormat="1" applyFont="1" applyFill="1" applyBorder="1" applyAlignment="1">
      <alignment horizontal="left" wrapText="1"/>
    </xf>
    <xf numFmtId="49" fontId="35" fillId="12" borderId="8" xfId="0" applyNumberFormat="1" applyFont="1" applyFill="1" applyBorder="1" applyAlignment="1">
      <alignment horizontal="left" wrapText="1"/>
    </xf>
    <xf numFmtId="49" fontId="35" fillId="12" borderId="9" xfId="0" applyNumberFormat="1" applyFont="1" applyFill="1" applyBorder="1" applyAlignment="1">
      <alignment horizontal="left" wrapText="1"/>
    </xf>
    <xf numFmtId="0" fontId="0" fillId="12" borderId="6" xfId="0" applyFont="1" applyFill="1" applyBorder="1" applyAlignment="1">
      <alignment horizontal="center" vertical="center" wrapText="1"/>
    </xf>
    <xf numFmtId="0" fontId="35" fillId="0" borderId="8" xfId="0" applyFont="1" applyBorder="1" applyAlignment="1">
      <alignment horizontal="left"/>
    </xf>
    <xf numFmtId="0" fontId="35" fillId="0" borderId="9" xfId="0" applyFont="1" applyBorder="1" applyAlignment="1">
      <alignment horizontal="left"/>
    </xf>
    <xf numFmtId="0" fontId="0" fillId="12" borderId="6" xfId="0" applyFont="1" applyFill="1" applyBorder="1" applyAlignment="1">
      <alignment horizontal="center" wrapText="1"/>
    </xf>
    <xf numFmtId="165" fontId="0" fillId="0" borderId="0" xfId="0" applyNumberFormat="1" applyFont="1" applyAlignment="1">
      <alignment horizontal="right" vertical="top" wrapText="1"/>
    </xf>
    <xf numFmtId="0" fontId="3" fillId="0" borderId="2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2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20" fillId="0" borderId="9"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8" xfId="0" applyFont="1" applyBorder="1" applyAlignment="1">
      <alignment horizontal="center" vertical="center" wrapText="1"/>
    </xf>
    <xf numFmtId="0" fontId="20" fillId="0" borderId="10" xfId="0" applyFont="1" applyBorder="1" applyAlignment="1">
      <alignment horizontal="center" vertical="center" wrapText="1"/>
    </xf>
    <xf numFmtId="165" fontId="29" fillId="0" borderId="0" xfId="0" applyNumberFormat="1" applyFont="1" applyAlignment="1">
      <alignment horizontal="right" vertical="center" wrapText="1"/>
    </xf>
    <xf numFmtId="0" fontId="0" fillId="0" borderId="0" xfId="0" applyFont="1" applyFill="1" applyAlignment="1">
      <alignment horizontal="right" vertical="center" wrapText="1"/>
    </xf>
    <xf numFmtId="165" fontId="0" fillId="0" borderId="0" xfId="0" applyNumberFormat="1" applyFont="1" applyFill="1" applyAlignment="1">
      <alignment horizontal="center" vertical="center" wrapText="1"/>
    </xf>
    <xf numFmtId="0" fontId="0" fillId="0" borderId="0" xfId="0" applyFill="1" applyAlignment="1">
      <alignment horizontal="center" vertical="center" wrapText="1"/>
    </xf>
    <xf numFmtId="0" fontId="0" fillId="0" borderId="0" xfId="0" applyFont="1" applyFill="1" applyAlignment="1">
      <alignment horizontal="right" vertical="top" wrapText="1"/>
    </xf>
    <xf numFmtId="0" fontId="3" fillId="0" borderId="27" xfId="0" applyFont="1" applyBorder="1" applyAlignment="1">
      <alignment horizontal="center" vertical="center" wrapText="1"/>
    </xf>
    <xf numFmtId="0" fontId="3" fillId="0" borderId="0" xfId="0" applyFont="1" applyFill="1" applyAlignment="1">
      <alignment horizontal="center" vertical="center" wrapText="1"/>
    </xf>
    <xf numFmtId="0" fontId="3" fillId="6" borderId="3" xfId="0" applyFont="1" applyFill="1" applyBorder="1" applyAlignment="1">
      <alignment horizontal="center" vertical="center" wrapText="1"/>
    </xf>
    <xf numFmtId="0" fontId="3" fillId="6" borderId="6" xfId="0" applyFont="1" applyFill="1" applyBorder="1" applyAlignment="1">
      <alignment horizontal="center" vertical="center" wrapText="1"/>
    </xf>
    <xf numFmtId="165" fontId="0" fillId="0" borderId="0" xfId="0" applyNumberFormat="1" applyFont="1" applyAlignment="1">
      <alignment horizontal="center" vertical="center" shrinkToFit="1"/>
    </xf>
    <xf numFmtId="0" fontId="3" fillId="8" borderId="0" xfId="0" applyFont="1" applyFill="1" applyAlignment="1">
      <alignment horizontal="center" vertical="center" wrapText="1"/>
    </xf>
    <xf numFmtId="0" fontId="0" fillId="0" borderId="0" xfId="0" applyFont="1" applyFill="1" applyAlignment="1">
      <alignment horizontal="right" vertical="center"/>
    </xf>
  </cellXfs>
  <cellStyles count="12">
    <cellStyle name="xl105" xfId="1"/>
    <cellStyle name="xl26" xfId="6"/>
    <cellStyle name="xl27" xfId="7"/>
    <cellStyle name="xl32" xfId="9"/>
    <cellStyle name="xl46" xfId="8"/>
    <cellStyle name="xl57" xfId="5"/>
    <cellStyle name="xl58" xfId="4"/>
    <cellStyle name="xl81" xfId="2"/>
    <cellStyle name="Обычный" xfId="0" builtinId="0"/>
    <cellStyle name="Обычный 2" xfId="3"/>
    <cellStyle name="Обычный 2 2" xfId="10"/>
    <cellStyle name="Обычный 3" xfId="11"/>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329945508075696E-2"/>
          <c:y val="1.795129775444736E-2"/>
          <c:w val="0.9316700544919243"/>
          <c:h val="0.87502624671916007"/>
        </c:manualLayout>
      </c:layout>
      <c:barChart>
        <c:barDir val="col"/>
        <c:grouping val="clustered"/>
        <c:varyColors val="0"/>
        <c:ser>
          <c:idx val="0"/>
          <c:order val="0"/>
          <c:tx>
            <c:strRef>
              <c:f>'5_Межбюд.'!$B$43</c:f>
              <c:strCache>
                <c:ptCount val="1"/>
                <c:pt idx="0">
                  <c:v>на 01.07.2017</c:v>
                </c:pt>
              </c:strCache>
            </c:strRef>
          </c:tx>
          <c:spPr>
            <a:solidFill>
              <a:srgbClr val="0070C0"/>
            </a:solidFill>
          </c:spPr>
          <c:invertIfNegative val="0"/>
          <c:dLbls>
            <c:spPr>
              <a:noFill/>
              <a:ln>
                <a:noFill/>
              </a:ln>
              <a:effectLst/>
            </c:spPr>
            <c:txPr>
              <a:bodyPr/>
              <a:lstStyle/>
              <a:p>
                <a:pPr>
                  <a:defRPr sz="7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'5_Межбюд.'!$A$44:$A$47</c:f>
            </c:multiLvlStrRef>
          </c:cat>
          <c:val>
            <c:numRef>
              <c:f>'5_Межбюд.'!$B$44:$B$47</c:f>
            </c:numRef>
          </c:val>
        </c:ser>
        <c:ser>
          <c:idx val="1"/>
          <c:order val="1"/>
          <c:tx>
            <c:strRef>
              <c:f>'5_Межбюд.'!$C$43</c:f>
              <c:strCache>
                <c:ptCount val="1"/>
                <c:pt idx="0">
                  <c:v>на 01.07.2018</c:v>
                </c:pt>
              </c:strCache>
            </c:strRef>
          </c:tx>
          <c:spPr>
            <a:solidFill>
              <a:srgbClr val="FF0000"/>
            </a:solidFill>
          </c:spPr>
          <c:invertIfNegative val="0"/>
          <c:dLbls>
            <c:dLbl>
              <c:idx val="0"/>
              <c:layout>
                <c:manualLayout>
                  <c:x val="1.0709518231900703E-2"/>
                  <c:y val="0"/>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1.338689778987588E-2"/>
                  <c:y val="0"/>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1.338689778987588E-2"/>
                  <c:y val="0"/>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7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'5_Межбюд.'!$A$44:$A$47</c:f>
            </c:multiLvlStrRef>
          </c:cat>
          <c:val>
            <c:numRef>
              <c:f>'5_Межбюд.'!$C$44:$C$47</c:f>
            </c:numRef>
          </c:val>
        </c:ser>
        <c:dLbls>
          <c:showLegendKey val="0"/>
          <c:showVal val="1"/>
          <c:showCatName val="0"/>
          <c:showSerName val="0"/>
          <c:showPercent val="0"/>
          <c:showBubbleSize val="0"/>
        </c:dLbls>
        <c:gapWidth val="75"/>
        <c:axId val="163385360"/>
        <c:axId val="240565616"/>
      </c:barChart>
      <c:catAx>
        <c:axId val="163385360"/>
        <c:scaling>
          <c:orientation val="minMax"/>
        </c:scaling>
        <c:delete val="0"/>
        <c:axPos val="b"/>
        <c:numFmt formatCode="General" sourceLinked="0"/>
        <c:majorTickMark val="none"/>
        <c:minorTickMark val="none"/>
        <c:tickLblPos val="nextTo"/>
        <c:txPr>
          <a:bodyPr/>
          <a:lstStyle/>
          <a:p>
            <a:pPr>
              <a:defRPr sz="700">
                <a:latin typeface="Times New Roman" panose="02020603050405020304" pitchFamily="18" charset="0"/>
                <a:cs typeface="Times New Roman" panose="02020603050405020304" pitchFamily="18" charset="0"/>
              </a:defRPr>
            </a:pPr>
            <a:endParaRPr lang="ru-RU"/>
          </a:p>
        </c:txPr>
        <c:crossAx val="240565616"/>
        <c:crosses val="autoZero"/>
        <c:auto val="1"/>
        <c:lblAlgn val="ctr"/>
        <c:lblOffset val="100"/>
        <c:noMultiLvlLbl val="0"/>
      </c:catAx>
      <c:valAx>
        <c:axId val="240565616"/>
        <c:scaling>
          <c:orientation val="minMax"/>
          <c:max val="9000"/>
          <c:min val="0"/>
        </c:scaling>
        <c:delete val="0"/>
        <c:axPos val="l"/>
        <c:numFmt formatCode="#,##0_ ;[Red]\-#,##0\ " sourceLinked="0"/>
        <c:majorTickMark val="none"/>
        <c:minorTickMark val="none"/>
        <c:tickLblPos val="nextTo"/>
        <c:txPr>
          <a:bodyPr/>
          <a:lstStyle/>
          <a:p>
            <a:pPr>
              <a:defRPr sz="700">
                <a:latin typeface="Times New Roman" panose="02020603050405020304" pitchFamily="18" charset="0"/>
                <a:cs typeface="Times New Roman" panose="02020603050405020304" pitchFamily="18" charset="0"/>
              </a:defRPr>
            </a:pPr>
            <a:endParaRPr lang="ru-RU"/>
          </a:p>
        </c:txPr>
        <c:crossAx val="163385360"/>
        <c:crosses val="autoZero"/>
        <c:crossBetween val="between"/>
        <c:majorUnit val="2000"/>
        <c:minorUnit val="500"/>
      </c:valAx>
    </c:plotArea>
    <c:legend>
      <c:legendPos val="b"/>
      <c:layout>
        <c:manualLayout>
          <c:xMode val="edge"/>
          <c:yMode val="edge"/>
          <c:x val="5.8296895079170286E-3"/>
          <c:y val="0.94130796150481189"/>
          <c:w val="0.97465113376272372"/>
          <c:h val="5.8692038495188101E-2"/>
        </c:manualLayout>
      </c:layout>
      <c:overlay val="0"/>
      <c:txPr>
        <a:bodyPr/>
        <a:lstStyle/>
        <a:p>
          <a:pPr>
            <a:defRPr sz="700">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304806</xdr:colOff>
      <xdr:row>41</xdr:row>
      <xdr:rowOff>80962</xdr:rowOff>
    </xdr:from>
    <xdr:to>
      <xdr:col>9</xdr:col>
      <xdr:colOff>571500</xdr:colOff>
      <xdr:row>57</xdr:row>
      <xdr:rowOff>71437</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M174"/>
  <sheetViews>
    <sheetView topLeftCell="A4" zoomScale="115" zoomScaleNormal="115" zoomScaleSheetLayoutView="85" workbookViewId="0">
      <pane xSplit="1" ySplit="5" topLeftCell="AC9" activePane="bottomRight" state="frozen"/>
      <selection activeCell="A188" sqref="A188"/>
      <selection pane="topRight" activeCell="A188" sqref="A188"/>
      <selection pane="bottomLeft" activeCell="A188" sqref="A188"/>
      <selection pane="bottomRight" activeCell="AR175" sqref="AR175"/>
    </sheetView>
  </sheetViews>
  <sheetFormatPr defaultColWidth="9.44140625" defaultRowHeight="13.2" x14ac:dyDescent="0.25"/>
  <cols>
    <col min="1" max="1" width="48" style="1" customWidth="1"/>
    <col min="2" max="2" width="12.33203125" style="2" hidden="1" customWidth="1"/>
    <col min="3" max="3" width="11.6640625" style="2" hidden="1" customWidth="1"/>
    <col min="4" max="4" width="13" style="2" hidden="1" customWidth="1"/>
    <col min="5" max="5" width="17.5546875" style="2" hidden="1" customWidth="1"/>
    <col min="6" max="8" width="9.44140625" style="2" hidden="1" customWidth="1"/>
    <col min="9" max="9" width="11.33203125" style="2" hidden="1" customWidth="1"/>
    <col min="10" max="10" width="11.44140625" style="2" hidden="1" customWidth="1"/>
    <col min="11" max="11" width="13.5546875" style="2" hidden="1" customWidth="1"/>
    <col min="12" max="12" width="16.88671875" style="2" hidden="1" customWidth="1"/>
    <col min="13" max="13" width="10.5546875" style="2" hidden="1" customWidth="1"/>
    <col min="14" max="15" width="9.44140625" style="2" hidden="1" customWidth="1"/>
    <col min="16" max="16" width="9.5546875" style="3" customWidth="1"/>
    <col min="17" max="17" width="10" style="3" bestFit="1" customWidth="1"/>
    <col min="18" max="18" width="9.5546875" style="3" customWidth="1"/>
    <col min="19" max="20" width="8.88671875" style="3" customWidth="1"/>
    <col min="21" max="21" width="8.33203125" style="3" customWidth="1"/>
    <col min="22" max="22" width="10.44140625" style="3" bestFit="1" customWidth="1"/>
    <col min="23" max="23" width="9.44140625" style="3"/>
    <col min="24" max="24" width="9.6640625" style="3" customWidth="1"/>
    <col min="25" max="25" width="9.109375" style="3" customWidth="1"/>
    <col min="26" max="26" width="8.6640625" style="3" customWidth="1"/>
    <col min="27" max="27" width="8.33203125" style="3" customWidth="1"/>
    <col min="28" max="29" width="9.6640625" style="3" customWidth="1"/>
    <col min="30" max="30" width="9.5546875" style="3" customWidth="1"/>
    <col min="31" max="31" width="7.6640625" style="3" customWidth="1"/>
    <col min="32" max="32" width="7.88671875" style="3" customWidth="1"/>
    <col min="33" max="33" width="8.5546875" style="3" customWidth="1"/>
    <col min="34" max="34" width="11.88671875" style="3" hidden="1" customWidth="1"/>
    <col min="35" max="35" width="16.33203125" style="3" hidden="1" customWidth="1"/>
    <col min="36" max="36" width="16.44140625" style="3" hidden="1" customWidth="1"/>
    <col min="37" max="37" width="17" style="3" hidden="1" customWidth="1"/>
    <col min="38" max="39" width="0" style="3" hidden="1" customWidth="1"/>
    <col min="40" max="16384" width="9.44140625" style="3"/>
  </cols>
  <sheetData>
    <row r="1" spans="1:38" x14ac:dyDescent="0.25">
      <c r="AD1" s="491" t="s">
        <v>0</v>
      </c>
      <c r="AE1" s="491"/>
      <c r="AF1" s="491"/>
      <c r="AG1" s="491"/>
    </row>
    <row r="2" spans="1:38" ht="29.25" customHeight="1" x14ac:dyDescent="0.25">
      <c r="A2" s="492" t="s">
        <v>442</v>
      </c>
      <c r="B2" s="492"/>
      <c r="C2" s="492"/>
      <c r="D2" s="492"/>
      <c r="E2" s="492"/>
      <c r="F2" s="492"/>
      <c r="G2" s="492"/>
      <c r="H2" s="492"/>
      <c r="I2" s="492"/>
      <c r="J2" s="492"/>
      <c r="K2" s="492"/>
      <c r="L2" s="492"/>
      <c r="M2" s="492"/>
      <c r="N2" s="492"/>
      <c r="O2" s="492"/>
      <c r="P2" s="492"/>
      <c r="Q2" s="492"/>
      <c r="R2" s="492"/>
      <c r="S2" s="492"/>
      <c r="T2" s="492"/>
      <c r="U2" s="492"/>
      <c r="V2" s="492"/>
      <c r="W2" s="492"/>
      <c r="X2" s="492"/>
      <c r="Y2" s="492"/>
      <c r="Z2" s="492"/>
      <c r="AA2" s="492"/>
      <c r="AB2" s="492"/>
      <c r="AC2" s="492"/>
      <c r="AD2" s="492"/>
      <c r="AE2" s="492"/>
      <c r="AF2" s="492"/>
      <c r="AG2" s="492"/>
      <c r="AH2" s="4"/>
    </row>
    <row r="3" spans="1:38" ht="13.8" thickBot="1" x14ac:dyDescent="0.3">
      <c r="M3" s="5">
        <f>M27+N27+O27-L27</f>
        <v>0</v>
      </c>
      <c r="P3" s="6"/>
      <c r="Q3" s="6"/>
      <c r="R3" s="6"/>
      <c r="S3" s="7"/>
      <c r="T3" s="7"/>
      <c r="U3" s="7"/>
      <c r="V3" s="6"/>
      <c r="W3" s="6"/>
      <c r="X3" s="6"/>
      <c r="AB3" s="8"/>
      <c r="AC3" s="9"/>
      <c r="AD3" s="8"/>
      <c r="AJ3" s="7">
        <f>X3-R3</f>
        <v>0</v>
      </c>
    </row>
    <row r="4" spans="1:38" s="1" customFormat="1" ht="13.95" customHeight="1" thickTop="1" x14ac:dyDescent="0.25">
      <c r="A4" s="493" t="s">
        <v>1</v>
      </c>
      <c r="B4" s="495" t="s">
        <v>427</v>
      </c>
      <c r="C4" s="495"/>
      <c r="D4" s="495"/>
      <c r="E4" s="495"/>
      <c r="F4" s="495"/>
      <c r="G4" s="495"/>
      <c r="H4" s="495"/>
      <c r="I4" s="495" t="s">
        <v>428</v>
      </c>
      <c r="J4" s="495"/>
      <c r="K4" s="495"/>
      <c r="L4" s="495"/>
      <c r="M4" s="495"/>
      <c r="N4" s="495"/>
      <c r="O4" s="495"/>
      <c r="P4" s="495" t="s">
        <v>429</v>
      </c>
      <c r="Q4" s="495"/>
      <c r="R4" s="495"/>
      <c r="S4" s="495"/>
      <c r="T4" s="495"/>
      <c r="U4" s="495"/>
      <c r="V4" s="495" t="s">
        <v>430</v>
      </c>
      <c r="W4" s="495"/>
      <c r="X4" s="495"/>
      <c r="Y4" s="495"/>
      <c r="Z4" s="495"/>
      <c r="AA4" s="495"/>
      <c r="AB4" s="495" t="s">
        <v>2</v>
      </c>
      <c r="AC4" s="495"/>
      <c r="AD4" s="495"/>
      <c r="AE4" s="495"/>
      <c r="AF4" s="495"/>
      <c r="AG4" s="496"/>
      <c r="AH4" s="10"/>
    </row>
    <row r="5" spans="1:38" s="1" customFormat="1" x14ac:dyDescent="0.25">
      <c r="A5" s="494"/>
      <c r="B5" s="487" t="s">
        <v>3</v>
      </c>
      <c r="C5" s="497" t="s">
        <v>4</v>
      </c>
      <c r="D5" s="498"/>
      <c r="E5" s="498"/>
      <c r="F5" s="498"/>
      <c r="G5" s="498"/>
      <c r="H5" s="499"/>
      <c r="I5" s="487" t="s">
        <v>3</v>
      </c>
      <c r="J5" s="11"/>
      <c r="K5" s="488" t="s">
        <v>4</v>
      </c>
      <c r="L5" s="488"/>
      <c r="M5" s="488"/>
      <c r="N5" s="488"/>
      <c r="O5" s="488"/>
      <c r="P5" s="487" t="s">
        <v>3</v>
      </c>
      <c r="Q5" s="488" t="s">
        <v>5</v>
      </c>
      <c r="R5" s="488"/>
      <c r="S5" s="488"/>
      <c r="T5" s="488"/>
      <c r="U5" s="488"/>
      <c r="V5" s="487" t="s">
        <v>3</v>
      </c>
      <c r="W5" s="488" t="s">
        <v>5</v>
      </c>
      <c r="X5" s="488"/>
      <c r="Y5" s="488"/>
      <c r="Z5" s="488"/>
      <c r="AA5" s="488"/>
      <c r="AB5" s="489" t="s">
        <v>3</v>
      </c>
      <c r="AC5" s="488" t="s">
        <v>5</v>
      </c>
      <c r="AD5" s="488"/>
      <c r="AE5" s="488"/>
      <c r="AF5" s="488"/>
      <c r="AG5" s="503"/>
      <c r="AH5" s="10"/>
    </row>
    <row r="6" spans="1:38" s="1" customFormat="1" ht="13.2" customHeight="1" x14ac:dyDescent="0.25">
      <c r="A6" s="494"/>
      <c r="B6" s="487"/>
      <c r="C6" s="504" t="s">
        <v>6</v>
      </c>
      <c r="D6" s="487" t="s">
        <v>7</v>
      </c>
      <c r="E6" s="487" t="s">
        <v>8</v>
      </c>
      <c r="F6" s="490" t="s">
        <v>9</v>
      </c>
      <c r="G6" s="490"/>
      <c r="H6" s="490"/>
      <c r="I6" s="487"/>
      <c r="J6" s="504" t="s">
        <v>6</v>
      </c>
      <c r="K6" s="487" t="s">
        <v>7</v>
      </c>
      <c r="L6" s="487" t="s">
        <v>8</v>
      </c>
      <c r="M6" s="490" t="s">
        <v>9</v>
      </c>
      <c r="N6" s="490"/>
      <c r="O6" s="490"/>
      <c r="P6" s="487"/>
      <c r="Q6" s="487" t="s">
        <v>7</v>
      </c>
      <c r="R6" s="489" t="s">
        <v>8</v>
      </c>
      <c r="S6" s="490" t="s">
        <v>9</v>
      </c>
      <c r="T6" s="490"/>
      <c r="U6" s="490"/>
      <c r="V6" s="487"/>
      <c r="W6" s="487" t="s">
        <v>7</v>
      </c>
      <c r="X6" s="489" t="s">
        <v>8</v>
      </c>
      <c r="Y6" s="490" t="s">
        <v>9</v>
      </c>
      <c r="Z6" s="490"/>
      <c r="AA6" s="490"/>
      <c r="AB6" s="489"/>
      <c r="AC6" s="489" t="s">
        <v>7</v>
      </c>
      <c r="AD6" s="489" t="s">
        <v>8</v>
      </c>
      <c r="AE6" s="500" t="s">
        <v>9</v>
      </c>
      <c r="AF6" s="500"/>
      <c r="AG6" s="501"/>
      <c r="AH6" s="12"/>
    </row>
    <row r="7" spans="1:38" s="1" customFormat="1" ht="45.6" customHeight="1" x14ac:dyDescent="0.25">
      <c r="A7" s="494"/>
      <c r="B7" s="487"/>
      <c r="C7" s="505"/>
      <c r="D7" s="487"/>
      <c r="E7" s="487"/>
      <c r="F7" s="13" t="s">
        <v>10</v>
      </c>
      <c r="G7" s="13" t="s">
        <v>11</v>
      </c>
      <c r="H7" s="13" t="s">
        <v>12</v>
      </c>
      <c r="I7" s="487"/>
      <c r="J7" s="505"/>
      <c r="K7" s="487"/>
      <c r="L7" s="487"/>
      <c r="M7" s="13" t="s">
        <v>10</v>
      </c>
      <c r="N7" s="13" t="s">
        <v>11</v>
      </c>
      <c r="O7" s="13" t="s">
        <v>12</v>
      </c>
      <c r="P7" s="487"/>
      <c r="Q7" s="487"/>
      <c r="R7" s="489"/>
      <c r="S7" s="13" t="s">
        <v>10</v>
      </c>
      <c r="T7" s="13" t="s">
        <v>11</v>
      </c>
      <c r="U7" s="13" t="s">
        <v>12</v>
      </c>
      <c r="V7" s="487"/>
      <c r="W7" s="487"/>
      <c r="X7" s="489"/>
      <c r="Y7" s="13" t="s">
        <v>10</v>
      </c>
      <c r="Z7" s="13" t="s">
        <v>11</v>
      </c>
      <c r="AA7" s="13" t="s">
        <v>12</v>
      </c>
      <c r="AB7" s="489"/>
      <c r="AC7" s="489"/>
      <c r="AD7" s="489"/>
      <c r="AE7" s="14" t="s">
        <v>10</v>
      </c>
      <c r="AF7" s="14" t="s">
        <v>11</v>
      </c>
      <c r="AG7" s="15" t="s">
        <v>13</v>
      </c>
      <c r="AH7" s="16"/>
    </row>
    <row r="8" spans="1:38" s="23" customFormat="1" ht="10.199999999999999" x14ac:dyDescent="0.25">
      <c r="A8" s="17" t="s">
        <v>14</v>
      </c>
      <c r="B8" s="18"/>
      <c r="C8" s="18"/>
      <c r="D8" s="19"/>
      <c r="E8" s="18"/>
      <c r="F8" s="20"/>
      <c r="G8" s="20"/>
      <c r="H8" s="20"/>
      <c r="I8" s="18"/>
      <c r="J8" s="18"/>
      <c r="K8" s="18"/>
      <c r="L8" s="18"/>
      <c r="M8" s="20"/>
      <c r="N8" s="20"/>
      <c r="O8" s="20"/>
      <c r="P8" s="18" t="s">
        <v>15</v>
      </c>
      <c r="Q8" s="18" t="s">
        <v>16</v>
      </c>
      <c r="R8" s="18" t="s">
        <v>17</v>
      </c>
      <c r="S8" s="20">
        <v>4</v>
      </c>
      <c r="T8" s="20">
        <v>5</v>
      </c>
      <c r="U8" s="20">
        <v>6</v>
      </c>
      <c r="V8" s="18" t="s">
        <v>18</v>
      </c>
      <c r="W8" s="18" t="s">
        <v>19</v>
      </c>
      <c r="X8" s="18" t="s">
        <v>20</v>
      </c>
      <c r="Y8" s="20">
        <v>10</v>
      </c>
      <c r="Z8" s="20">
        <v>11</v>
      </c>
      <c r="AA8" s="20">
        <v>12</v>
      </c>
      <c r="AB8" s="18" t="s">
        <v>21</v>
      </c>
      <c r="AC8" s="18" t="s">
        <v>22</v>
      </c>
      <c r="AD8" s="18" t="s">
        <v>23</v>
      </c>
      <c r="AE8" s="20" t="s">
        <v>24</v>
      </c>
      <c r="AF8" s="20" t="s">
        <v>25</v>
      </c>
      <c r="AG8" s="21" t="s">
        <v>26</v>
      </c>
      <c r="AH8" s="22"/>
    </row>
    <row r="9" spans="1:38" s="1" customFormat="1" x14ac:dyDescent="0.25">
      <c r="A9" s="24" t="s">
        <v>27</v>
      </c>
      <c r="B9" s="25">
        <f>B12+B13+B14+B15+B16+B17+B18+B19+B20+B21+B22+B23+B24+B25+B26-B11+B28</f>
        <v>-7.62939453125E-6</v>
      </c>
      <c r="C9" s="25">
        <f t="shared" ref="C9:D9" si="0">C12+C13+C14+C15+C16+C17+C18+C19+C20+C21+C22+C23+C24+C25+C26-C11+C28</f>
        <v>0</v>
      </c>
      <c r="D9" s="25">
        <f t="shared" si="0"/>
        <v>0</v>
      </c>
      <c r="E9" s="25">
        <f>E12+E13+E14+E15+E16+E17+E18+E19+E20+E21+E22+E23+E24+E25+E26-E11+E28</f>
        <v>0</v>
      </c>
      <c r="F9" s="25">
        <f t="shared" ref="F9:O9" si="1">F12+F13+F14+F15+F16+F17+F18+F19+F20+F21+F22+F23+F24+F25+F26-F11+F28</f>
        <v>0</v>
      </c>
      <c r="G9" s="25">
        <f t="shared" si="1"/>
        <v>0</v>
      </c>
      <c r="H9" s="25">
        <f t="shared" si="1"/>
        <v>-2.384185791015625E-7</v>
      </c>
      <c r="I9" s="25">
        <f t="shared" si="1"/>
        <v>-7.62939453125E-6</v>
      </c>
      <c r="J9" s="25">
        <f t="shared" si="1"/>
        <v>0</v>
      </c>
      <c r="K9" s="25">
        <f t="shared" si="1"/>
        <v>3.814697265625E-6</v>
      </c>
      <c r="L9" s="25">
        <f t="shared" si="1"/>
        <v>0</v>
      </c>
      <c r="M9" s="25">
        <f t="shared" si="1"/>
        <v>9.5367431640625E-7</v>
      </c>
      <c r="N9" s="25">
        <f t="shared" si="1"/>
        <v>2.384185791015625E-7</v>
      </c>
      <c r="O9" s="25">
        <f t="shared" si="1"/>
        <v>5.9604644775390625E-8</v>
      </c>
      <c r="P9" s="26"/>
      <c r="Q9" s="26"/>
      <c r="R9" s="27">
        <f>T132+U132</f>
        <v>1284.83074448</v>
      </c>
      <c r="S9" s="28"/>
      <c r="T9" s="28"/>
      <c r="U9" s="28"/>
      <c r="V9" s="28"/>
      <c r="W9" s="28"/>
      <c r="X9" s="27">
        <f>Z132+AA132</f>
        <v>458.78493599999996</v>
      </c>
      <c r="Y9" s="26"/>
      <c r="Z9" s="26"/>
      <c r="AA9" s="26"/>
      <c r="AB9" s="26"/>
      <c r="AC9" s="26"/>
      <c r="AD9" s="26"/>
      <c r="AE9" s="26"/>
      <c r="AF9" s="26"/>
      <c r="AG9" s="29"/>
      <c r="AH9" s="30">
        <f>+AH17+AH14+AH18+AH19</f>
        <v>-237.83214949000003</v>
      </c>
    </row>
    <row r="10" spans="1:38" s="39" customFormat="1" hidden="1" x14ac:dyDescent="0.25">
      <c r="A10" s="162" t="s">
        <v>28</v>
      </c>
      <c r="B10" s="375">
        <v>85482296191.020004</v>
      </c>
      <c r="C10" s="375">
        <v>23636412786.66</v>
      </c>
      <c r="D10" s="375">
        <v>71734973126.139999</v>
      </c>
      <c r="E10" s="163">
        <f>F10+G10+H10-E132</f>
        <v>36098905107.059998</v>
      </c>
      <c r="F10" s="375">
        <v>20760100102</v>
      </c>
      <c r="G10" s="375">
        <v>14263094352.799999</v>
      </c>
      <c r="H10" s="375">
        <v>2360541396.7399998</v>
      </c>
      <c r="I10" s="375">
        <v>44184464047.720001</v>
      </c>
      <c r="J10" s="375">
        <v>11737262314.24</v>
      </c>
      <c r="K10" s="375">
        <v>37681495846.599998</v>
      </c>
      <c r="L10" s="163">
        <f>+M10+N10+O10-L132</f>
        <v>17781445579.360001</v>
      </c>
      <c r="M10" s="376">
        <v>10082993843.83</v>
      </c>
      <c r="N10" s="376">
        <v>7331609336.5799999</v>
      </c>
      <c r="O10" s="376">
        <v>825627334.95000005</v>
      </c>
      <c r="P10" s="35">
        <f t="shared" ref="P10:P43" si="2">B10/1000000</f>
        <v>85482.29619102001</v>
      </c>
      <c r="Q10" s="35">
        <f t="shared" ref="Q10:V25" si="3">D10/1000000</f>
        <v>71734.973126140001</v>
      </c>
      <c r="R10" s="35">
        <f t="shared" si="3"/>
        <v>36098.905107059996</v>
      </c>
      <c r="S10" s="35">
        <f t="shared" si="3"/>
        <v>20760.100102</v>
      </c>
      <c r="T10" s="35">
        <f t="shared" si="3"/>
        <v>14263.094352799999</v>
      </c>
      <c r="U10" s="35">
        <f t="shared" si="3"/>
        <v>2360.54139674</v>
      </c>
      <c r="V10" s="35">
        <f t="shared" si="3"/>
        <v>44184.464047720001</v>
      </c>
      <c r="W10" s="35">
        <f t="shared" ref="W10:AA38" si="4">K10/1000000</f>
        <v>37681.495846599995</v>
      </c>
      <c r="X10" s="35">
        <f t="shared" si="4"/>
        <v>17781.445579359999</v>
      </c>
      <c r="Y10" s="35">
        <f t="shared" si="4"/>
        <v>10082.99384383</v>
      </c>
      <c r="Z10" s="35">
        <f t="shared" si="4"/>
        <v>7331.6093365799998</v>
      </c>
      <c r="AA10" s="35">
        <f t="shared" si="4"/>
        <v>825.62733495000009</v>
      </c>
      <c r="AB10" s="164">
        <f t="shared" ref="AB10:AG11" si="5">V10/P10%</f>
        <v>51.688438444592947</v>
      </c>
      <c r="AC10" s="164">
        <f t="shared" si="5"/>
        <v>52.528765544165196</v>
      </c>
      <c r="AD10" s="35">
        <f t="shared" si="5"/>
        <v>49.257575892190751</v>
      </c>
      <c r="AE10" s="35">
        <f t="shared" si="5"/>
        <v>48.569100314013504</v>
      </c>
      <c r="AF10" s="35">
        <f t="shared" si="5"/>
        <v>51.402656080310692</v>
      </c>
      <c r="AG10" s="36">
        <f t="shared" si="5"/>
        <v>34.976185382312032</v>
      </c>
      <c r="AH10" s="37"/>
    </row>
    <row r="11" spans="1:38" s="39" customFormat="1" x14ac:dyDescent="0.25">
      <c r="A11" s="34" t="s">
        <v>29</v>
      </c>
      <c r="B11" s="375">
        <v>66894792311.910004</v>
      </c>
      <c r="C11" s="375">
        <v>711466.67</v>
      </c>
      <c r="D11" s="375">
        <v>53065111136.879997</v>
      </c>
      <c r="E11" s="377">
        <f>F11+G11+H11</f>
        <v>13830392641.700001</v>
      </c>
      <c r="F11" s="375">
        <v>10089408373.73</v>
      </c>
      <c r="G11" s="375">
        <v>2559016673.6100001</v>
      </c>
      <c r="H11" s="375">
        <v>1181967594.3600001</v>
      </c>
      <c r="I11" s="375">
        <v>35041977947.730003</v>
      </c>
      <c r="J11" s="375">
        <v>0</v>
      </c>
      <c r="K11" s="375">
        <v>28457798902.619999</v>
      </c>
      <c r="L11" s="377">
        <f>M11+N11+O11</f>
        <v>6584179045.1100006</v>
      </c>
      <c r="M11" s="375">
        <v>4833484694.0799999</v>
      </c>
      <c r="N11" s="375">
        <v>1328211592.0999999</v>
      </c>
      <c r="O11" s="375">
        <v>422482758.92999995</v>
      </c>
      <c r="P11" s="35">
        <f t="shared" si="2"/>
        <v>66894.792311910001</v>
      </c>
      <c r="Q11" s="35">
        <f t="shared" si="3"/>
        <v>53065.111136879998</v>
      </c>
      <c r="R11" s="35">
        <f t="shared" si="3"/>
        <v>13830.3926417</v>
      </c>
      <c r="S11" s="35">
        <f t="shared" si="3"/>
        <v>10089.408373729999</v>
      </c>
      <c r="T11" s="35">
        <f t="shared" si="3"/>
        <v>2559.01667361</v>
      </c>
      <c r="U11" s="35">
        <f t="shared" si="3"/>
        <v>1181.96759436</v>
      </c>
      <c r="V11" s="35">
        <f t="shared" si="3"/>
        <v>35041.977947730004</v>
      </c>
      <c r="W11" s="35">
        <f t="shared" si="4"/>
        <v>28457.798902619998</v>
      </c>
      <c r="X11" s="35">
        <f t="shared" si="4"/>
        <v>6584.1790451100005</v>
      </c>
      <c r="Y11" s="35">
        <f t="shared" si="4"/>
        <v>4833.4846940799998</v>
      </c>
      <c r="Z11" s="35">
        <f t="shared" si="4"/>
        <v>1328.2115921</v>
      </c>
      <c r="AA11" s="35">
        <f t="shared" si="4"/>
        <v>422.48275892999993</v>
      </c>
      <c r="AB11" s="35">
        <f t="shared" si="5"/>
        <v>52.383715886791244</v>
      </c>
      <c r="AC11" s="35">
        <f>W11/Q11%</f>
        <v>53.628077456040536</v>
      </c>
      <c r="AD11" s="35">
        <f t="shared" si="5"/>
        <v>47.606595240528819</v>
      </c>
      <c r="AE11" s="35">
        <f t="shared" si="5"/>
        <v>47.906522513897279</v>
      </c>
      <c r="AF11" s="35">
        <f t="shared" si="5"/>
        <v>51.903201952423956</v>
      </c>
      <c r="AG11" s="36">
        <f t="shared" si="5"/>
        <v>35.744022166594313</v>
      </c>
      <c r="AH11" s="37">
        <f>+X11-R11</f>
        <v>-7246.2135965899997</v>
      </c>
      <c r="AI11" s="38">
        <f>V11-W11-X11</f>
        <v>0</v>
      </c>
    </row>
    <row r="12" spans="1:38" x14ac:dyDescent="0.25">
      <c r="A12" s="40" t="s">
        <v>30</v>
      </c>
      <c r="B12" s="378">
        <v>15089374000</v>
      </c>
      <c r="C12" s="378">
        <v>0</v>
      </c>
      <c r="D12" s="378">
        <v>15089374000</v>
      </c>
      <c r="E12" s="377">
        <f t="shared" ref="E12:E27" si="6">F12+G12+H12</f>
        <v>0</v>
      </c>
      <c r="F12" s="378">
        <v>0</v>
      </c>
      <c r="G12" s="378">
        <v>0</v>
      </c>
      <c r="H12" s="378">
        <v>0</v>
      </c>
      <c r="I12" s="378">
        <v>10006713192.92</v>
      </c>
      <c r="J12" s="378">
        <v>0</v>
      </c>
      <c r="K12" s="378">
        <v>10006713192.92</v>
      </c>
      <c r="L12" s="377">
        <f t="shared" ref="L12:L28" si="7">M12+N12+O12</f>
        <v>0</v>
      </c>
      <c r="M12" s="378">
        <v>0</v>
      </c>
      <c r="N12" s="378">
        <v>0</v>
      </c>
      <c r="O12" s="378">
        <v>0</v>
      </c>
      <c r="P12" s="31">
        <f t="shared" si="2"/>
        <v>15089.374</v>
      </c>
      <c r="Q12" s="31">
        <f t="shared" si="3"/>
        <v>15089.374</v>
      </c>
      <c r="R12" s="31">
        <f t="shared" si="3"/>
        <v>0</v>
      </c>
      <c r="S12" s="31">
        <f t="shared" si="3"/>
        <v>0</v>
      </c>
      <c r="T12" s="31">
        <f t="shared" si="3"/>
        <v>0</v>
      </c>
      <c r="U12" s="31">
        <f t="shared" si="3"/>
        <v>0</v>
      </c>
      <c r="V12" s="31">
        <f t="shared" si="3"/>
        <v>10006.71319292</v>
      </c>
      <c r="W12" s="31">
        <f t="shared" si="4"/>
        <v>10006.71319292</v>
      </c>
      <c r="X12" s="31">
        <f t="shared" si="4"/>
        <v>0</v>
      </c>
      <c r="Y12" s="31">
        <f t="shared" si="4"/>
        <v>0</v>
      </c>
      <c r="Z12" s="31">
        <f t="shared" si="4"/>
        <v>0</v>
      </c>
      <c r="AA12" s="31">
        <f t="shared" si="4"/>
        <v>0</v>
      </c>
      <c r="AB12" s="31">
        <f>V12/P12%</f>
        <v>66.316291139181786</v>
      </c>
      <c r="AC12" s="31">
        <f>W12/Q12%</f>
        <v>66.316291139181786</v>
      </c>
      <c r="AD12" s="41" t="s">
        <v>31</v>
      </c>
      <c r="AE12" s="41" t="s">
        <v>31</v>
      </c>
      <c r="AF12" s="41" t="s">
        <v>31</v>
      </c>
      <c r="AG12" s="42" t="s">
        <v>31</v>
      </c>
      <c r="AH12" s="37">
        <f t="shared" ref="AH12:AH28" si="8">+X12-R12</f>
        <v>0</v>
      </c>
      <c r="AI12" s="3">
        <f t="shared" ref="AI12:AI37" si="9">V12-W12-X12</f>
        <v>0</v>
      </c>
      <c r="AJ12" s="7">
        <f>V12-P12</f>
        <v>-5082.6608070799994</v>
      </c>
    </row>
    <row r="13" spans="1:38" x14ac:dyDescent="0.25">
      <c r="A13" s="40" t="s">
        <v>32</v>
      </c>
      <c r="B13" s="378">
        <v>26919519847.48</v>
      </c>
      <c r="C13" s="378">
        <v>0</v>
      </c>
      <c r="D13" s="378">
        <v>17851286600</v>
      </c>
      <c r="E13" s="377">
        <f t="shared" si="6"/>
        <v>9068233247.4800014</v>
      </c>
      <c r="F13" s="378">
        <v>7031619600</v>
      </c>
      <c r="G13" s="378">
        <v>1672867301.8599999</v>
      </c>
      <c r="H13" s="378">
        <v>363746345.62</v>
      </c>
      <c r="I13" s="378">
        <v>12907722831.889999</v>
      </c>
      <c r="J13" s="378">
        <v>0</v>
      </c>
      <c r="K13" s="378">
        <v>8575290923.9099998</v>
      </c>
      <c r="L13" s="377">
        <f t="shared" si="7"/>
        <v>4332431907.9800005</v>
      </c>
      <c r="M13" s="378">
        <v>3268329273.2199998</v>
      </c>
      <c r="N13" s="378">
        <v>873573924.74000001</v>
      </c>
      <c r="O13" s="378">
        <v>190528710.02000001</v>
      </c>
      <c r="P13" s="31">
        <f t="shared" si="2"/>
        <v>26919.519847479998</v>
      </c>
      <c r="Q13" s="31">
        <f t="shared" si="3"/>
        <v>17851.286599999999</v>
      </c>
      <c r="R13" s="31">
        <f t="shared" si="3"/>
        <v>9068.2332474800023</v>
      </c>
      <c r="S13" s="31">
        <f t="shared" si="3"/>
        <v>7031.6196</v>
      </c>
      <c r="T13" s="31">
        <f t="shared" si="3"/>
        <v>1672.86730186</v>
      </c>
      <c r="U13" s="31">
        <f t="shared" si="3"/>
        <v>363.74634562</v>
      </c>
      <c r="V13" s="31">
        <f t="shared" si="3"/>
        <v>12907.72283189</v>
      </c>
      <c r="W13" s="31">
        <f t="shared" si="4"/>
        <v>8575.290923909999</v>
      </c>
      <c r="X13" s="31">
        <f t="shared" si="4"/>
        <v>4332.4319079800007</v>
      </c>
      <c r="Y13" s="31">
        <f t="shared" si="4"/>
        <v>3268.3292732199998</v>
      </c>
      <c r="Z13" s="31">
        <f t="shared" si="4"/>
        <v>873.57392474000005</v>
      </c>
      <c r="AA13" s="31">
        <f t="shared" si="4"/>
        <v>190.52871002000001</v>
      </c>
      <c r="AB13" s="32">
        <f>V13/P13%</f>
        <v>47.949305578339732</v>
      </c>
      <c r="AC13" s="32">
        <f>W13/Q13%</f>
        <v>48.037383052883143</v>
      </c>
      <c r="AD13" s="32">
        <f t="shared" ref="AD13:AG14" si="10">X13/R13%</f>
        <v>47.775920510028264</v>
      </c>
      <c r="AE13" s="32">
        <f t="shared" si="10"/>
        <v>46.480461958152567</v>
      </c>
      <c r="AF13" s="32">
        <f t="shared" si="10"/>
        <v>52.220156599911135</v>
      </c>
      <c r="AG13" s="43">
        <f t="shared" si="10"/>
        <v>52.379553035851615</v>
      </c>
      <c r="AH13" s="37">
        <f t="shared" si="8"/>
        <v>-4735.8013395000016</v>
      </c>
      <c r="AI13" s="3">
        <f t="shared" si="9"/>
        <v>0</v>
      </c>
    </row>
    <row r="14" spans="1:38" x14ac:dyDescent="0.25">
      <c r="A14" s="40" t="s">
        <v>33</v>
      </c>
      <c r="B14" s="378">
        <v>4755349415</v>
      </c>
      <c r="C14" s="378">
        <v>0</v>
      </c>
      <c r="D14" s="378">
        <v>4470074500</v>
      </c>
      <c r="E14" s="377">
        <f t="shared" si="6"/>
        <v>285274915</v>
      </c>
      <c r="F14" s="378">
        <v>34731000</v>
      </c>
      <c r="G14" s="378">
        <v>206395173</v>
      </c>
      <c r="H14" s="378">
        <v>44148742</v>
      </c>
      <c r="I14" s="378">
        <v>2055428742.24</v>
      </c>
      <c r="J14" s="378">
        <v>0</v>
      </c>
      <c r="K14" s="378">
        <v>1915377978.05</v>
      </c>
      <c r="L14" s="377">
        <f t="shared" si="7"/>
        <v>140050764.19</v>
      </c>
      <c r="M14" s="378">
        <v>16869674.73</v>
      </c>
      <c r="N14" s="378">
        <v>101495348.95999999</v>
      </c>
      <c r="O14" s="378">
        <v>21685740.5</v>
      </c>
      <c r="P14" s="31">
        <f t="shared" si="2"/>
        <v>4755.3494149999997</v>
      </c>
      <c r="Q14" s="31">
        <f t="shared" si="3"/>
        <v>4470.0744999999997</v>
      </c>
      <c r="R14" s="31">
        <f t="shared" si="3"/>
        <v>285.27491500000002</v>
      </c>
      <c r="S14" s="31">
        <f t="shared" si="3"/>
        <v>34.731000000000002</v>
      </c>
      <c r="T14" s="31">
        <f t="shared" si="3"/>
        <v>206.395173</v>
      </c>
      <c r="U14" s="31">
        <f t="shared" si="3"/>
        <v>44.148741999999999</v>
      </c>
      <c r="V14" s="31">
        <f t="shared" si="3"/>
        <v>2055.4287422399998</v>
      </c>
      <c r="W14" s="31">
        <f t="shared" si="4"/>
        <v>1915.3779780499999</v>
      </c>
      <c r="X14" s="31">
        <f t="shared" si="4"/>
        <v>140.05076419</v>
      </c>
      <c r="Y14" s="31">
        <f t="shared" si="4"/>
        <v>16.86967473</v>
      </c>
      <c r="Z14" s="31">
        <f t="shared" si="4"/>
        <v>101.49534895999999</v>
      </c>
      <c r="AA14" s="31">
        <f t="shared" si="4"/>
        <v>21.685740500000001</v>
      </c>
      <c r="AB14" s="32">
        <f t="shared" ref="AB14:AG38" si="11">V14/P14%</f>
        <v>43.223506053129846</v>
      </c>
      <c r="AC14" s="32">
        <f t="shared" si="11"/>
        <v>42.848905047331982</v>
      </c>
      <c r="AD14" s="32">
        <f t="shared" si="10"/>
        <v>49.093262963552192</v>
      </c>
      <c r="AE14" s="32">
        <f t="shared" si="10"/>
        <v>48.572384123693531</v>
      </c>
      <c r="AF14" s="32">
        <f t="shared" si="10"/>
        <v>49.175253221643899</v>
      </c>
      <c r="AG14" s="43">
        <f t="shared" si="10"/>
        <v>49.11972463450941</v>
      </c>
      <c r="AH14" s="37">
        <f t="shared" si="8"/>
        <v>-145.22415081000003</v>
      </c>
      <c r="AI14" s="3">
        <f t="shared" si="9"/>
        <v>0</v>
      </c>
      <c r="AL14" s="7">
        <f>X13+X15+X16</f>
        <v>5248.4590533300006</v>
      </c>
    </row>
    <row r="15" spans="1:38" x14ac:dyDescent="0.25">
      <c r="A15" s="40" t="s">
        <v>34</v>
      </c>
      <c r="B15" s="378">
        <v>4005115573.6300001</v>
      </c>
      <c r="C15" s="378">
        <v>0</v>
      </c>
      <c r="D15" s="378">
        <v>2909263000</v>
      </c>
      <c r="E15" s="377">
        <f t="shared" si="6"/>
        <v>1095852573.6300001</v>
      </c>
      <c r="F15" s="378">
        <v>773131000</v>
      </c>
      <c r="G15" s="378">
        <v>310839967</v>
      </c>
      <c r="H15" s="378">
        <v>11881606.629999999</v>
      </c>
      <c r="I15" s="378">
        <v>2310610744.6999998</v>
      </c>
      <c r="J15" s="378">
        <v>0</v>
      </c>
      <c r="K15" s="378">
        <v>1743750787.23</v>
      </c>
      <c r="L15" s="377">
        <f t="shared" si="7"/>
        <v>566859957.47000003</v>
      </c>
      <c r="M15" s="378">
        <v>409776490.66000003</v>
      </c>
      <c r="N15" s="378">
        <v>151583027.59999999</v>
      </c>
      <c r="O15" s="378">
        <v>5500439.21</v>
      </c>
      <c r="P15" s="31">
        <f t="shared" si="2"/>
        <v>4005.1155736300002</v>
      </c>
      <c r="Q15" s="31">
        <f t="shared" si="3"/>
        <v>2909.2629999999999</v>
      </c>
      <c r="R15" s="31">
        <f t="shared" si="3"/>
        <v>1095.8525736300001</v>
      </c>
      <c r="S15" s="31">
        <f t="shared" si="3"/>
        <v>773.13099999999997</v>
      </c>
      <c r="T15" s="31">
        <f t="shared" si="3"/>
        <v>310.839967</v>
      </c>
      <c r="U15" s="31">
        <f t="shared" si="3"/>
        <v>11.881606629999999</v>
      </c>
      <c r="V15" s="31">
        <f t="shared" si="3"/>
        <v>2310.6107446999999</v>
      </c>
      <c r="W15" s="31">
        <f t="shared" si="4"/>
        <v>1743.75078723</v>
      </c>
      <c r="X15" s="31">
        <f t="shared" si="4"/>
        <v>566.85995747000004</v>
      </c>
      <c r="Y15" s="31">
        <f t="shared" si="4"/>
        <v>409.77649066000004</v>
      </c>
      <c r="Z15" s="31">
        <f t="shared" si="4"/>
        <v>151.58302759999998</v>
      </c>
      <c r="AA15" s="31">
        <f t="shared" si="4"/>
        <v>5.5004392099999997</v>
      </c>
      <c r="AB15" s="32">
        <f t="shared" si="11"/>
        <v>57.691487354653255</v>
      </c>
      <c r="AC15" s="32">
        <f t="shared" si="11"/>
        <v>59.937887610367298</v>
      </c>
      <c r="AD15" s="32">
        <f t="shared" si="11"/>
        <v>51.72775710078249</v>
      </c>
      <c r="AE15" s="32">
        <f t="shared" si="11"/>
        <v>53.002206697183276</v>
      </c>
      <c r="AF15" s="32">
        <f t="shared" si="11"/>
        <v>48.765616938828202</v>
      </c>
      <c r="AG15" s="33">
        <f t="shared" si="11"/>
        <v>46.293732668373998</v>
      </c>
      <c r="AH15" s="37">
        <f t="shared" si="8"/>
        <v>-528.99261616000001</v>
      </c>
      <c r="AI15" s="3">
        <f t="shared" si="9"/>
        <v>0</v>
      </c>
      <c r="AL15" s="7">
        <f>AL14/X39%</f>
        <v>95.650173271682405</v>
      </c>
    </row>
    <row r="16" spans="1:38" x14ac:dyDescent="0.25">
      <c r="A16" s="40" t="s">
        <v>35</v>
      </c>
      <c r="B16" s="378">
        <v>9713318769.4300003</v>
      </c>
      <c r="C16" s="378">
        <v>0</v>
      </c>
      <c r="D16" s="378">
        <v>8751786500</v>
      </c>
      <c r="E16" s="377">
        <f t="shared" si="6"/>
        <v>961532269.42999995</v>
      </c>
      <c r="F16" s="378">
        <v>651885390.79999995</v>
      </c>
      <c r="G16" s="378">
        <v>0</v>
      </c>
      <c r="H16" s="378">
        <v>309646878.63</v>
      </c>
      <c r="I16" s="378">
        <v>4358372967.9799995</v>
      </c>
      <c r="J16" s="378">
        <v>0</v>
      </c>
      <c r="K16" s="378">
        <v>4009205780.0999999</v>
      </c>
      <c r="L16" s="377">
        <f t="shared" si="7"/>
        <v>349167187.88</v>
      </c>
      <c r="M16" s="378">
        <v>254568685.84</v>
      </c>
      <c r="N16" s="378">
        <v>0</v>
      </c>
      <c r="O16" s="378">
        <v>94598502.039999992</v>
      </c>
      <c r="P16" s="31">
        <f t="shared" si="2"/>
        <v>9713.3187694299995</v>
      </c>
      <c r="Q16" s="31">
        <f t="shared" si="3"/>
        <v>8751.7865000000002</v>
      </c>
      <c r="R16" s="31">
        <f t="shared" si="3"/>
        <v>961.53226942999993</v>
      </c>
      <c r="S16" s="31">
        <f t="shared" si="3"/>
        <v>651.88539079999998</v>
      </c>
      <c r="T16" s="31">
        <f t="shared" si="3"/>
        <v>0</v>
      </c>
      <c r="U16" s="31">
        <f t="shared" si="3"/>
        <v>309.64687863</v>
      </c>
      <c r="V16" s="31">
        <f t="shared" si="3"/>
        <v>4358.3729679799999</v>
      </c>
      <c r="W16" s="31">
        <f t="shared" si="4"/>
        <v>4009.2057801000001</v>
      </c>
      <c r="X16" s="31">
        <f t="shared" si="4"/>
        <v>349.16718787999997</v>
      </c>
      <c r="Y16" s="31">
        <f t="shared" si="4"/>
        <v>254.56868584</v>
      </c>
      <c r="Z16" s="31">
        <f t="shared" si="4"/>
        <v>0</v>
      </c>
      <c r="AA16" s="31">
        <f t="shared" si="4"/>
        <v>94.598502039999985</v>
      </c>
      <c r="AB16" s="32">
        <f t="shared" si="11"/>
        <v>44.870070379001469</v>
      </c>
      <c r="AC16" s="32">
        <f t="shared" si="11"/>
        <v>45.810141507679603</v>
      </c>
      <c r="AD16" s="32">
        <f t="shared" si="11"/>
        <v>36.313621391717575</v>
      </c>
      <c r="AE16" s="32">
        <f t="shared" si="11"/>
        <v>39.051141417295895</v>
      </c>
      <c r="AF16" s="354" t="s">
        <v>31</v>
      </c>
      <c r="AG16" s="33">
        <f t="shared" si="11"/>
        <v>30.550445868707314</v>
      </c>
      <c r="AH16" s="37">
        <f t="shared" si="8"/>
        <v>-612.36508155000001</v>
      </c>
      <c r="AI16" s="3">
        <f t="shared" si="9"/>
        <v>0</v>
      </c>
    </row>
    <row r="17" spans="1:39" ht="26.4" x14ac:dyDescent="0.25">
      <c r="A17" s="40" t="s">
        <v>36</v>
      </c>
      <c r="B17" s="378">
        <v>2671157000</v>
      </c>
      <c r="C17" s="378">
        <v>0</v>
      </c>
      <c r="D17" s="378">
        <v>2671157000</v>
      </c>
      <c r="E17" s="377">
        <f t="shared" si="6"/>
        <v>0</v>
      </c>
      <c r="F17" s="44">
        <v>0</v>
      </c>
      <c r="G17" s="44">
        <v>0</v>
      </c>
      <c r="H17" s="44">
        <v>0</v>
      </c>
      <c r="I17" s="379">
        <v>1384946638.97</v>
      </c>
      <c r="J17" s="379">
        <v>0</v>
      </c>
      <c r="K17" s="379">
        <v>1384946638.97</v>
      </c>
      <c r="L17" s="377">
        <f t="shared" si="7"/>
        <v>0</v>
      </c>
      <c r="M17" s="45">
        <v>0</v>
      </c>
      <c r="N17" s="45">
        <v>0</v>
      </c>
      <c r="O17" s="45">
        <v>0</v>
      </c>
      <c r="P17" s="31">
        <f t="shared" si="2"/>
        <v>2671.1570000000002</v>
      </c>
      <c r="Q17" s="31">
        <f t="shared" si="3"/>
        <v>2671.1570000000002</v>
      </c>
      <c r="R17" s="31">
        <f t="shared" si="3"/>
        <v>0</v>
      </c>
      <c r="S17" s="31">
        <f t="shared" si="3"/>
        <v>0</v>
      </c>
      <c r="T17" s="31">
        <f t="shared" si="3"/>
        <v>0</v>
      </c>
      <c r="U17" s="31">
        <f t="shared" si="3"/>
        <v>0</v>
      </c>
      <c r="V17" s="31">
        <f t="shared" si="3"/>
        <v>1384.9466389700001</v>
      </c>
      <c r="W17" s="31">
        <f t="shared" si="4"/>
        <v>1384.9466389700001</v>
      </c>
      <c r="X17" s="31">
        <f t="shared" si="4"/>
        <v>0</v>
      </c>
      <c r="Y17" s="31">
        <f t="shared" si="4"/>
        <v>0</v>
      </c>
      <c r="Z17" s="31">
        <f t="shared" si="4"/>
        <v>0</v>
      </c>
      <c r="AA17" s="31">
        <f t="shared" si="4"/>
        <v>0</v>
      </c>
      <c r="AB17" s="32">
        <f t="shared" si="11"/>
        <v>51.848193085243587</v>
      </c>
      <c r="AC17" s="32">
        <f t="shared" si="11"/>
        <v>51.848193085243587</v>
      </c>
      <c r="AD17" s="41" t="s">
        <v>31</v>
      </c>
      <c r="AE17" s="41" t="s">
        <v>31</v>
      </c>
      <c r="AF17" s="41" t="s">
        <v>31</v>
      </c>
      <c r="AG17" s="46" t="s">
        <v>31</v>
      </c>
      <c r="AH17" s="37">
        <f t="shared" si="8"/>
        <v>0</v>
      </c>
      <c r="AI17" s="3">
        <f t="shared" si="9"/>
        <v>0</v>
      </c>
    </row>
    <row r="18" spans="1:39" x14ac:dyDescent="0.25">
      <c r="A18" s="40" t="s">
        <v>37</v>
      </c>
      <c r="B18" s="378">
        <v>322615923</v>
      </c>
      <c r="C18" s="378">
        <v>0</v>
      </c>
      <c r="D18" s="378">
        <v>131379000</v>
      </c>
      <c r="E18" s="377">
        <f t="shared" si="6"/>
        <v>191236923</v>
      </c>
      <c r="F18" s="378">
        <v>144853100</v>
      </c>
      <c r="G18" s="378">
        <v>43888830</v>
      </c>
      <c r="H18" s="378">
        <v>2494993</v>
      </c>
      <c r="I18" s="378">
        <v>172582075.13999999</v>
      </c>
      <c r="J18" s="378">
        <v>0</v>
      </c>
      <c r="K18" s="379">
        <v>73979083.519999996</v>
      </c>
      <c r="L18" s="377">
        <f t="shared" si="7"/>
        <v>98602991.61999999</v>
      </c>
      <c r="M18" s="378">
        <v>74531057.659999996</v>
      </c>
      <c r="N18" s="378">
        <v>23009436.75</v>
      </c>
      <c r="O18" s="378">
        <v>1062497.21</v>
      </c>
      <c r="P18" s="31">
        <f t="shared" si="2"/>
        <v>322.61592300000001</v>
      </c>
      <c r="Q18" s="31">
        <f t="shared" si="3"/>
        <v>131.37899999999999</v>
      </c>
      <c r="R18" s="31">
        <f t="shared" si="3"/>
        <v>191.23692299999999</v>
      </c>
      <c r="S18" s="31">
        <f t="shared" si="3"/>
        <v>144.85310000000001</v>
      </c>
      <c r="T18" s="31">
        <f t="shared" si="3"/>
        <v>43.888829999999999</v>
      </c>
      <c r="U18" s="31">
        <f t="shared" si="3"/>
        <v>2.494993</v>
      </c>
      <c r="V18" s="31">
        <f t="shared" si="3"/>
        <v>172.58207513999997</v>
      </c>
      <c r="W18" s="31">
        <f t="shared" si="4"/>
        <v>73.979083519999989</v>
      </c>
      <c r="X18" s="31">
        <f t="shared" si="4"/>
        <v>98.602991619999983</v>
      </c>
      <c r="Y18" s="31">
        <f t="shared" si="4"/>
        <v>74.531057660000002</v>
      </c>
      <c r="Z18" s="31">
        <f t="shared" si="4"/>
        <v>23.009436749999999</v>
      </c>
      <c r="AA18" s="31">
        <f t="shared" si="4"/>
        <v>1.0624972099999999</v>
      </c>
      <c r="AB18" s="32">
        <f t="shared" si="11"/>
        <v>53.494593055160507</v>
      </c>
      <c r="AC18" s="31">
        <f t="shared" si="11"/>
        <v>56.309671652242741</v>
      </c>
      <c r="AD18" s="32">
        <f t="shared" ref="AD18:AD27" si="12">X18/R18%</f>
        <v>51.560645336256528</v>
      </c>
      <c r="AE18" s="32">
        <f t="shared" ref="AE18:AE27" si="13">Y18/S18%</f>
        <v>51.452856487020298</v>
      </c>
      <c r="AF18" s="32">
        <f t="shared" si="11"/>
        <v>52.42663509143442</v>
      </c>
      <c r="AG18" s="33">
        <f t="shared" ref="AG18:AG27" si="14">AA18/U18%</f>
        <v>42.585177994487353</v>
      </c>
      <c r="AH18" s="37">
        <f t="shared" si="8"/>
        <v>-92.633931380000007</v>
      </c>
      <c r="AI18" s="3">
        <f t="shared" si="9"/>
        <v>0</v>
      </c>
    </row>
    <row r="19" spans="1:39" ht="26.4" x14ac:dyDescent="0.25">
      <c r="A19" s="40" t="s">
        <v>38</v>
      </c>
      <c r="B19" s="378">
        <v>1400</v>
      </c>
      <c r="C19" s="378">
        <v>0</v>
      </c>
      <c r="D19" s="378">
        <v>0</v>
      </c>
      <c r="E19" s="377">
        <f t="shared" si="6"/>
        <v>1400</v>
      </c>
      <c r="F19" s="378">
        <v>1000</v>
      </c>
      <c r="G19" s="378">
        <v>0</v>
      </c>
      <c r="H19" s="378">
        <v>400</v>
      </c>
      <c r="I19" s="380">
        <v>10566.24</v>
      </c>
      <c r="J19" s="380">
        <v>0</v>
      </c>
      <c r="K19" s="380">
        <v>-16766.46</v>
      </c>
      <c r="L19" s="377">
        <f t="shared" si="7"/>
        <v>27332.7</v>
      </c>
      <c r="M19" s="380">
        <v>621.79999999999995</v>
      </c>
      <c r="N19" s="380">
        <v>2918.06</v>
      </c>
      <c r="O19" s="380">
        <v>23792.84</v>
      </c>
      <c r="P19" s="31">
        <f t="shared" si="2"/>
        <v>1.4E-3</v>
      </c>
      <c r="Q19" s="31">
        <f t="shared" si="3"/>
        <v>0</v>
      </c>
      <c r="R19" s="31">
        <f t="shared" si="3"/>
        <v>1.4E-3</v>
      </c>
      <c r="S19" s="31">
        <f t="shared" si="3"/>
        <v>1E-3</v>
      </c>
      <c r="T19" s="31">
        <f t="shared" si="3"/>
        <v>0</v>
      </c>
      <c r="U19" s="31">
        <f t="shared" si="3"/>
        <v>4.0000000000000002E-4</v>
      </c>
      <c r="V19" s="31">
        <f t="shared" si="3"/>
        <v>1.0566239999999999E-2</v>
      </c>
      <c r="W19" s="31">
        <f t="shared" si="4"/>
        <v>-1.676646E-2</v>
      </c>
      <c r="X19" s="31">
        <f t="shared" si="4"/>
        <v>2.7332700000000001E-2</v>
      </c>
      <c r="Y19" s="31">
        <f t="shared" si="4"/>
        <v>6.2179999999999994E-4</v>
      </c>
      <c r="Z19" s="31">
        <f t="shared" si="4"/>
        <v>2.9180600000000001E-3</v>
      </c>
      <c r="AA19" s="31">
        <f t="shared" si="4"/>
        <v>2.3792839999999999E-2</v>
      </c>
      <c r="AB19" s="32">
        <f t="shared" ref="AB19" si="15">V19/P19%</f>
        <v>754.73142857142852</v>
      </c>
      <c r="AC19" s="49" t="s">
        <v>31</v>
      </c>
      <c r="AD19" s="32">
        <f t="shared" si="12"/>
        <v>1952.3357142857144</v>
      </c>
      <c r="AE19" s="32">
        <f t="shared" si="13"/>
        <v>62.179999999999986</v>
      </c>
      <c r="AF19" s="41" t="s">
        <v>31</v>
      </c>
      <c r="AG19" s="33">
        <f t="shared" si="14"/>
        <v>5948.21</v>
      </c>
      <c r="AH19" s="37">
        <f t="shared" si="8"/>
        <v>2.5932700000000003E-2</v>
      </c>
      <c r="AI19" s="47">
        <f t="shared" si="9"/>
        <v>0</v>
      </c>
      <c r="AJ19" s="3">
        <f>SUM(V12:V18)/SUM(P12:P18)*100</f>
        <v>52.297154168874648</v>
      </c>
      <c r="AK19" s="3">
        <f>SUM(X12:X18)/SUM(R12:R18)*100</f>
        <v>47.294012762624632</v>
      </c>
    </row>
    <row r="20" spans="1:39" ht="27.75" customHeight="1" x14ac:dyDescent="0.25">
      <c r="A20" s="40" t="s">
        <v>39</v>
      </c>
      <c r="B20" s="380">
        <v>1143013359.6199999</v>
      </c>
      <c r="C20" s="380">
        <v>711466.67</v>
      </c>
      <c r="D20" s="380">
        <v>19957000</v>
      </c>
      <c r="E20" s="377">
        <f t="shared" si="6"/>
        <v>1123767826.29</v>
      </c>
      <c r="F20" s="380">
        <v>752641290.82000005</v>
      </c>
      <c r="G20" s="380">
        <v>199186540</v>
      </c>
      <c r="H20" s="380">
        <v>171939995.47</v>
      </c>
      <c r="I20" s="378">
        <v>540053118.65999997</v>
      </c>
      <c r="J20" s="378">
        <v>0</v>
      </c>
      <c r="K20" s="378">
        <v>12892391.01</v>
      </c>
      <c r="L20" s="377">
        <f t="shared" si="7"/>
        <v>527160727.64999998</v>
      </c>
      <c r="M20" s="378">
        <v>350995911.63</v>
      </c>
      <c r="N20" s="378">
        <v>95910812.430000007</v>
      </c>
      <c r="O20" s="378">
        <v>80254003.590000004</v>
      </c>
      <c r="P20" s="31">
        <f t="shared" si="2"/>
        <v>1143.0133596199998</v>
      </c>
      <c r="Q20" s="31">
        <f t="shared" si="3"/>
        <v>19.957000000000001</v>
      </c>
      <c r="R20" s="31">
        <f t="shared" si="3"/>
        <v>1123.7678262899999</v>
      </c>
      <c r="S20" s="31">
        <f t="shared" si="3"/>
        <v>752.64129082000011</v>
      </c>
      <c r="T20" s="31">
        <f t="shared" si="3"/>
        <v>199.18654000000001</v>
      </c>
      <c r="U20" s="31">
        <f t="shared" si="3"/>
        <v>171.93999546999999</v>
      </c>
      <c r="V20" s="31">
        <f t="shared" si="3"/>
        <v>540.05311866</v>
      </c>
      <c r="W20" s="31">
        <f t="shared" si="4"/>
        <v>12.892391009999999</v>
      </c>
      <c r="X20" s="31">
        <f t="shared" si="4"/>
        <v>527.16072765000001</v>
      </c>
      <c r="Y20" s="31">
        <f t="shared" si="4"/>
        <v>350.99591163000002</v>
      </c>
      <c r="Z20" s="31">
        <f t="shared" si="4"/>
        <v>95.910812430000007</v>
      </c>
      <c r="AA20" s="31">
        <f t="shared" si="4"/>
        <v>80.254003590000011</v>
      </c>
      <c r="AB20" s="32">
        <f t="shared" si="11"/>
        <v>47.248189543431337</v>
      </c>
      <c r="AC20" s="32">
        <f t="shared" si="11"/>
        <v>64.600846870772159</v>
      </c>
      <c r="AD20" s="32">
        <f t="shared" si="12"/>
        <v>46.910110373097716</v>
      </c>
      <c r="AE20" s="32">
        <f t="shared" si="13"/>
        <v>46.635218650785312</v>
      </c>
      <c r="AF20" s="32">
        <f t="shared" si="11"/>
        <v>48.151251801452048</v>
      </c>
      <c r="AG20" s="33">
        <f t="shared" si="14"/>
        <v>46.675587823894467</v>
      </c>
      <c r="AH20" s="37">
        <f t="shared" si="8"/>
        <v>-596.60709863999989</v>
      </c>
      <c r="AI20" s="3">
        <f t="shared" si="9"/>
        <v>0</v>
      </c>
      <c r="AK20" s="7">
        <f>(X20+X23)/X40%</f>
        <v>79.866946109053288</v>
      </c>
      <c r="AL20" s="7">
        <f>X20/X40%</f>
        <v>48.053056831317932</v>
      </c>
      <c r="AM20" s="7">
        <f>(X20+X23)/X40%</f>
        <v>79.866946109053288</v>
      </c>
    </row>
    <row r="21" spans="1:39" x14ac:dyDescent="0.25">
      <c r="A21" s="40" t="s">
        <v>40</v>
      </c>
      <c r="B21" s="378">
        <v>696011895.04999995</v>
      </c>
      <c r="C21" s="378">
        <v>0</v>
      </c>
      <c r="D21" s="378">
        <v>632587000</v>
      </c>
      <c r="E21" s="377">
        <f t="shared" si="6"/>
        <v>63424895.049999997</v>
      </c>
      <c r="F21" s="378">
        <v>45682200</v>
      </c>
      <c r="G21" s="378">
        <v>17742695.050000001</v>
      </c>
      <c r="H21" s="378">
        <v>0</v>
      </c>
      <c r="I21" s="378">
        <v>490701487.91000003</v>
      </c>
      <c r="J21" s="378">
        <v>0</v>
      </c>
      <c r="K21" s="378">
        <v>443091433.63999999</v>
      </c>
      <c r="L21" s="377">
        <f t="shared" si="7"/>
        <v>47610054.269999996</v>
      </c>
      <c r="M21" s="378">
        <v>32453323.469999999</v>
      </c>
      <c r="N21" s="378">
        <v>15156730.800000001</v>
      </c>
      <c r="O21" s="378">
        <v>0</v>
      </c>
      <c r="P21" s="31">
        <f t="shared" si="2"/>
        <v>696.01189504999991</v>
      </c>
      <c r="Q21" s="31">
        <f t="shared" si="3"/>
        <v>632.58699999999999</v>
      </c>
      <c r="R21" s="31">
        <f t="shared" si="3"/>
        <v>63.424895049999996</v>
      </c>
      <c r="S21" s="31">
        <f t="shared" si="3"/>
        <v>45.682200000000002</v>
      </c>
      <c r="T21" s="31">
        <f t="shared" si="3"/>
        <v>17.742695050000002</v>
      </c>
      <c r="U21" s="31">
        <f t="shared" si="3"/>
        <v>0</v>
      </c>
      <c r="V21" s="31">
        <f t="shared" si="3"/>
        <v>490.70148791000003</v>
      </c>
      <c r="W21" s="31">
        <f t="shared" si="4"/>
        <v>443.09143363999999</v>
      </c>
      <c r="X21" s="31">
        <f t="shared" si="4"/>
        <v>47.610054269999999</v>
      </c>
      <c r="Y21" s="31">
        <f t="shared" si="4"/>
        <v>32.453323470000001</v>
      </c>
      <c r="Z21" s="31">
        <f t="shared" si="4"/>
        <v>15.1567308</v>
      </c>
      <c r="AA21" s="31">
        <f t="shared" si="4"/>
        <v>0</v>
      </c>
      <c r="AB21" s="32">
        <f t="shared" si="11"/>
        <v>70.501882424688901</v>
      </c>
      <c r="AC21" s="32">
        <f t="shared" si="11"/>
        <v>70.044347044754318</v>
      </c>
      <c r="AD21" s="32">
        <f t="shared" si="12"/>
        <v>75.065247222667651</v>
      </c>
      <c r="AE21" s="32">
        <f t="shared" si="13"/>
        <v>71.041507348595303</v>
      </c>
      <c r="AF21" s="32">
        <f t="shared" si="11"/>
        <v>85.425189111842386</v>
      </c>
      <c r="AG21" s="46" t="s">
        <v>31</v>
      </c>
      <c r="AH21" s="37">
        <f t="shared" si="8"/>
        <v>-15.814840779999997</v>
      </c>
      <c r="AI21" s="7">
        <f t="shared" si="9"/>
        <v>0</v>
      </c>
      <c r="AK21" s="7">
        <f>X20/X40%</f>
        <v>48.053056831317932</v>
      </c>
    </row>
    <row r="22" spans="1:39" ht="26.4" x14ac:dyDescent="0.25">
      <c r="A22" s="40" t="s">
        <v>41</v>
      </c>
      <c r="B22" s="378">
        <v>238835213.97999999</v>
      </c>
      <c r="C22" s="378">
        <v>0</v>
      </c>
      <c r="D22" s="378">
        <v>75133536.879999995</v>
      </c>
      <c r="E22" s="377">
        <f t="shared" si="6"/>
        <v>163701677.09999999</v>
      </c>
      <c r="F22" s="378">
        <v>127735919.58</v>
      </c>
      <c r="G22" s="378">
        <v>16446104.26</v>
      </c>
      <c r="H22" s="378">
        <v>19519653.260000002</v>
      </c>
      <c r="I22" s="378">
        <v>152346145.77000001</v>
      </c>
      <c r="J22" s="378">
        <v>0</v>
      </c>
      <c r="K22" s="378">
        <v>74020185.609999999</v>
      </c>
      <c r="L22" s="377">
        <f t="shared" si="7"/>
        <v>78325960.159999996</v>
      </c>
      <c r="M22" s="378">
        <v>55376249.590000004</v>
      </c>
      <c r="N22" s="378">
        <v>14045162.66</v>
      </c>
      <c r="O22" s="378">
        <v>8904547.9100000001</v>
      </c>
      <c r="P22" s="31">
        <f t="shared" si="2"/>
        <v>238.83521397999999</v>
      </c>
      <c r="Q22" s="31">
        <f t="shared" si="3"/>
        <v>75.133536879999994</v>
      </c>
      <c r="R22" s="31">
        <f t="shared" si="3"/>
        <v>163.70167709999998</v>
      </c>
      <c r="S22" s="31">
        <f t="shared" si="3"/>
        <v>127.73591958</v>
      </c>
      <c r="T22" s="31">
        <f t="shared" si="3"/>
        <v>16.446104259999998</v>
      </c>
      <c r="U22" s="31">
        <f t="shared" si="3"/>
        <v>19.519653260000002</v>
      </c>
      <c r="V22" s="31">
        <f t="shared" si="3"/>
        <v>152.34614577000002</v>
      </c>
      <c r="W22" s="31">
        <f t="shared" si="4"/>
        <v>74.020185609999999</v>
      </c>
      <c r="X22" s="31">
        <f t="shared" si="4"/>
        <v>78.325960159999994</v>
      </c>
      <c r="Y22" s="31">
        <f t="shared" si="4"/>
        <v>55.37624959</v>
      </c>
      <c r="Z22" s="31">
        <f t="shared" si="4"/>
        <v>14.045162660000001</v>
      </c>
      <c r="AA22" s="31">
        <f t="shared" si="4"/>
        <v>8.9045479099999998</v>
      </c>
      <c r="AB22" s="32">
        <f t="shared" si="11"/>
        <v>63.78713726140797</v>
      </c>
      <c r="AC22" s="32">
        <f t="shared" si="11"/>
        <v>98.518170026018879</v>
      </c>
      <c r="AD22" s="32">
        <f t="shared" si="12"/>
        <v>47.846767087275005</v>
      </c>
      <c r="AE22" s="32">
        <f t="shared" si="13"/>
        <v>43.352136010042422</v>
      </c>
      <c r="AF22" s="32">
        <f t="shared" si="11"/>
        <v>85.401152990136779</v>
      </c>
      <c r="AG22" s="33">
        <f t="shared" si="14"/>
        <v>45.61837134805743</v>
      </c>
      <c r="AH22" s="37">
        <f t="shared" si="8"/>
        <v>-85.37571693999999</v>
      </c>
      <c r="AI22" s="3">
        <f t="shared" si="9"/>
        <v>0</v>
      </c>
    </row>
    <row r="23" spans="1:39" x14ac:dyDescent="0.25">
      <c r="A23" s="40" t="s">
        <v>42</v>
      </c>
      <c r="B23" s="378">
        <v>494048270.08999997</v>
      </c>
      <c r="C23" s="378">
        <v>0</v>
      </c>
      <c r="D23" s="378">
        <v>13170000</v>
      </c>
      <c r="E23" s="377">
        <f t="shared" si="6"/>
        <v>480878270.09000003</v>
      </c>
      <c r="F23" s="378">
        <v>393891329</v>
      </c>
      <c r="G23" s="378">
        <v>58334374.310000002</v>
      </c>
      <c r="H23" s="378">
        <v>28652566.780000001</v>
      </c>
      <c r="I23" s="378">
        <v>354224876.44999999</v>
      </c>
      <c r="J23" s="378">
        <v>0</v>
      </c>
      <c r="K23" s="378">
        <v>5214134.43</v>
      </c>
      <c r="L23" s="377">
        <f t="shared" si="7"/>
        <v>349010742.01999998</v>
      </c>
      <c r="M23" s="378">
        <v>297215902.87</v>
      </c>
      <c r="N23" s="378">
        <v>34338941.450000003</v>
      </c>
      <c r="O23" s="378">
        <v>17455897.699999999</v>
      </c>
      <c r="P23" s="31">
        <f t="shared" si="2"/>
        <v>494.04827008999996</v>
      </c>
      <c r="Q23" s="31">
        <f t="shared" si="3"/>
        <v>13.17</v>
      </c>
      <c r="R23" s="31">
        <f t="shared" si="3"/>
        <v>480.87827009000006</v>
      </c>
      <c r="S23" s="31">
        <f t="shared" si="3"/>
        <v>393.89132899999998</v>
      </c>
      <c r="T23" s="31">
        <f t="shared" si="3"/>
        <v>58.334374310000001</v>
      </c>
      <c r="U23" s="31">
        <f t="shared" si="3"/>
        <v>28.652566780000001</v>
      </c>
      <c r="V23" s="31">
        <f t="shared" si="3"/>
        <v>354.22487645000001</v>
      </c>
      <c r="W23" s="31">
        <f t="shared" si="4"/>
        <v>5.2141344299999997</v>
      </c>
      <c r="X23" s="31">
        <f t="shared" si="4"/>
        <v>349.01074202000001</v>
      </c>
      <c r="Y23" s="31">
        <f t="shared" si="4"/>
        <v>297.21590286999998</v>
      </c>
      <c r="Z23" s="31">
        <f t="shared" si="4"/>
        <v>34.33894145</v>
      </c>
      <c r="AA23" s="31">
        <f t="shared" si="4"/>
        <v>17.455897699999998</v>
      </c>
      <c r="AB23" s="32">
        <f t="shared" si="11"/>
        <v>71.698434726928895</v>
      </c>
      <c r="AC23" s="32">
        <f t="shared" si="11"/>
        <v>39.590997949886102</v>
      </c>
      <c r="AD23" s="32">
        <f t="shared" si="12"/>
        <v>72.577773571403014</v>
      </c>
      <c r="AE23" s="32">
        <f t="shared" si="13"/>
        <v>75.456320306558453</v>
      </c>
      <c r="AF23" s="32">
        <f t="shared" si="11"/>
        <v>58.865706294399097</v>
      </c>
      <c r="AG23" s="33">
        <f t="shared" si="14"/>
        <v>60.922631588401096</v>
      </c>
      <c r="AH23" s="37">
        <f t="shared" si="8"/>
        <v>-131.86752807000005</v>
      </c>
      <c r="AI23" s="3">
        <f t="shared" si="9"/>
        <v>0</v>
      </c>
      <c r="AL23" s="7">
        <f>X23/X40%</f>
        <v>31.813889277735349</v>
      </c>
    </row>
    <row r="24" spans="1:39" x14ac:dyDescent="0.25">
      <c r="A24" s="40" t="s">
        <v>43</v>
      </c>
      <c r="B24" s="378">
        <v>1152071.1299999999</v>
      </c>
      <c r="C24" s="378">
        <v>0</v>
      </c>
      <c r="D24" s="378">
        <v>1121000</v>
      </c>
      <c r="E24" s="377">
        <f t="shared" si="6"/>
        <v>31071.13</v>
      </c>
      <c r="F24" s="378">
        <v>0</v>
      </c>
      <c r="G24" s="378">
        <v>0</v>
      </c>
      <c r="H24" s="378">
        <v>31071.13</v>
      </c>
      <c r="I24" s="378">
        <v>650269.82999999996</v>
      </c>
      <c r="J24" s="378">
        <v>0</v>
      </c>
      <c r="K24" s="378">
        <v>641488.5</v>
      </c>
      <c r="L24" s="377">
        <f t="shared" si="7"/>
        <v>8781.33</v>
      </c>
      <c r="M24" s="378">
        <v>0</v>
      </c>
      <c r="N24" s="378">
        <v>0</v>
      </c>
      <c r="O24" s="378">
        <v>8781.33</v>
      </c>
      <c r="P24" s="31">
        <f t="shared" si="2"/>
        <v>1.1520711299999999</v>
      </c>
      <c r="Q24" s="31">
        <f t="shared" si="3"/>
        <v>1.121</v>
      </c>
      <c r="R24" s="31">
        <f t="shared" si="3"/>
        <v>3.1071130000000002E-2</v>
      </c>
      <c r="S24" s="31">
        <f t="shared" si="3"/>
        <v>0</v>
      </c>
      <c r="T24" s="31">
        <f t="shared" si="3"/>
        <v>0</v>
      </c>
      <c r="U24" s="31">
        <f t="shared" si="3"/>
        <v>3.1071130000000002E-2</v>
      </c>
      <c r="V24" s="31">
        <f t="shared" si="3"/>
        <v>0.65026982999999994</v>
      </c>
      <c r="W24" s="31">
        <f t="shared" si="4"/>
        <v>0.64148850000000002</v>
      </c>
      <c r="X24" s="31">
        <f t="shared" si="4"/>
        <v>8.7813300000000004E-3</v>
      </c>
      <c r="Y24" s="31">
        <f t="shared" si="4"/>
        <v>0</v>
      </c>
      <c r="Z24" s="31">
        <f t="shared" si="4"/>
        <v>0</v>
      </c>
      <c r="AA24" s="31">
        <f t="shared" si="4"/>
        <v>8.7813300000000004E-3</v>
      </c>
      <c r="AB24" s="31">
        <f t="shared" si="11"/>
        <v>56.443548759007612</v>
      </c>
      <c r="AC24" s="31">
        <f t="shared" si="11"/>
        <v>57.224665477252458</v>
      </c>
      <c r="AD24" s="32">
        <f t="shared" si="12"/>
        <v>28.26202329944228</v>
      </c>
      <c r="AE24" s="41" t="s">
        <v>31</v>
      </c>
      <c r="AF24" s="41" t="s">
        <v>31</v>
      </c>
      <c r="AG24" s="33">
        <f t="shared" si="14"/>
        <v>28.26202329944228</v>
      </c>
      <c r="AH24" s="37">
        <f t="shared" si="8"/>
        <v>-2.2289800000000002E-2</v>
      </c>
      <c r="AI24" s="3">
        <f t="shared" si="9"/>
        <v>-7.9797279894933126E-17</v>
      </c>
    </row>
    <row r="25" spans="1:39" x14ac:dyDescent="0.25">
      <c r="A25" s="40" t="s">
        <v>44</v>
      </c>
      <c r="B25" s="378">
        <v>831638820.46000004</v>
      </c>
      <c r="C25" s="378">
        <v>0</v>
      </c>
      <c r="D25" s="378">
        <v>448822000</v>
      </c>
      <c r="E25" s="377">
        <f t="shared" si="6"/>
        <v>382816820.46000004</v>
      </c>
      <c r="F25" s="378">
        <v>123300717.53</v>
      </c>
      <c r="G25" s="378">
        <v>33305688.129999999</v>
      </c>
      <c r="H25" s="378">
        <v>226210414.80000001</v>
      </c>
      <c r="I25" s="378">
        <v>285385640.06</v>
      </c>
      <c r="J25" s="378">
        <v>0</v>
      </c>
      <c r="K25" s="378">
        <v>199005703.24000001</v>
      </c>
      <c r="L25" s="377">
        <f t="shared" si="7"/>
        <v>86379936.820000008</v>
      </c>
      <c r="M25" s="378">
        <v>66859937.719999999</v>
      </c>
      <c r="N25" s="378">
        <v>18609737.43</v>
      </c>
      <c r="O25" s="378">
        <v>910261.66999999993</v>
      </c>
      <c r="P25" s="31">
        <f t="shared" si="2"/>
        <v>831.63882046000003</v>
      </c>
      <c r="Q25" s="31">
        <f t="shared" si="3"/>
        <v>448.822</v>
      </c>
      <c r="R25" s="31">
        <f t="shared" si="3"/>
        <v>382.81682046000003</v>
      </c>
      <c r="S25" s="31">
        <f t="shared" si="3"/>
        <v>123.30071753</v>
      </c>
      <c r="T25" s="31">
        <f t="shared" si="3"/>
        <v>33.30568813</v>
      </c>
      <c r="U25" s="31">
        <f t="shared" si="3"/>
        <v>226.21041480000002</v>
      </c>
      <c r="V25" s="31">
        <f t="shared" si="3"/>
        <v>285.38564006000001</v>
      </c>
      <c r="W25" s="31">
        <f t="shared" si="4"/>
        <v>199.00570324</v>
      </c>
      <c r="X25" s="31">
        <f t="shared" si="4"/>
        <v>86.379936820000012</v>
      </c>
      <c r="Y25" s="31">
        <f t="shared" si="4"/>
        <v>66.859937720000005</v>
      </c>
      <c r="Z25" s="31">
        <f t="shared" si="4"/>
        <v>18.609737429999999</v>
      </c>
      <c r="AA25" s="31">
        <f t="shared" si="4"/>
        <v>0.91026166999999991</v>
      </c>
      <c r="AB25" s="31">
        <f t="shared" ref="AB25:AB27" si="16">V25/P25%</f>
        <v>34.316055604781191</v>
      </c>
      <c r="AC25" s="31">
        <f t="shared" ref="AC25:AC27" si="17">W25/Q25%</f>
        <v>44.339560725632879</v>
      </c>
      <c r="AD25" s="32">
        <f t="shared" si="12"/>
        <v>22.564300261468194</v>
      </c>
      <c r="AE25" s="32">
        <f t="shared" si="13"/>
        <v>54.225100274645584</v>
      </c>
      <c r="AF25" s="32">
        <f t="shared" si="11"/>
        <v>55.875553020738622</v>
      </c>
      <c r="AG25" s="33">
        <f t="shared" si="14"/>
        <v>0.40239600409414916</v>
      </c>
      <c r="AH25" s="37">
        <f t="shared" si="8"/>
        <v>-296.43688364000002</v>
      </c>
      <c r="AI25" s="3">
        <f t="shared" si="9"/>
        <v>0</v>
      </c>
    </row>
    <row r="26" spans="1:39" x14ac:dyDescent="0.25">
      <c r="A26" s="40" t="s">
        <v>45</v>
      </c>
      <c r="B26" s="378">
        <v>13640753.039999999</v>
      </c>
      <c r="C26" s="378">
        <v>0</v>
      </c>
      <c r="D26" s="378">
        <v>0</v>
      </c>
      <c r="E26" s="377">
        <f t="shared" si="6"/>
        <v>13640753.039999999</v>
      </c>
      <c r="F26" s="378">
        <v>9935826</v>
      </c>
      <c r="G26" s="378">
        <v>10000</v>
      </c>
      <c r="H26" s="378">
        <v>3694927.04</v>
      </c>
      <c r="I26" s="375">
        <v>22228648.969999999</v>
      </c>
      <c r="J26" s="375">
        <v>0</v>
      </c>
      <c r="K26" s="375">
        <v>13685947.949999999</v>
      </c>
      <c r="L26" s="377">
        <f t="shared" si="7"/>
        <v>8542701.0199999996</v>
      </c>
      <c r="M26" s="378">
        <v>6507564.8899999997</v>
      </c>
      <c r="N26" s="378">
        <v>485551.22</v>
      </c>
      <c r="O26" s="378">
        <v>1549584.9100000001</v>
      </c>
      <c r="P26" s="31">
        <f t="shared" si="2"/>
        <v>13.64075304</v>
      </c>
      <c r="Q26" s="31">
        <f t="shared" ref="Q26:V38" si="18">D26/1000000</f>
        <v>0</v>
      </c>
      <c r="R26" s="31">
        <f t="shared" si="18"/>
        <v>13.64075304</v>
      </c>
      <c r="S26" s="31">
        <f t="shared" si="18"/>
        <v>9.9358260000000005</v>
      </c>
      <c r="T26" s="31">
        <f t="shared" si="18"/>
        <v>0.01</v>
      </c>
      <c r="U26" s="31">
        <f t="shared" si="18"/>
        <v>3.6949270400000001</v>
      </c>
      <c r="V26" s="31">
        <f t="shared" si="18"/>
        <v>22.228648969999998</v>
      </c>
      <c r="W26" s="31">
        <f t="shared" si="4"/>
        <v>13.685947949999999</v>
      </c>
      <c r="X26" s="48">
        <f t="shared" si="4"/>
        <v>8.5427010199999991</v>
      </c>
      <c r="Y26" s="31">
        <f t="shared" si="4"/>
        <v>6.5075648899999994</v>
      </c>
      <c r="Z26" s="31">
        <f t="shared" si="4"/>
        <v>0.48555121999999995</v>
      </c>
      <c r="AA26" s="31">
        <f t="shared" si="4"/>
        <v>1.5495849100000001</v>
      </c>
      <c r="AB26" s="31">
        <f t="shared" si="16"/>
        <v>162.95763807772886</v>
      </c>
      <c r="AC26" s="49" t="s">
        <v>31</v>
      </c>
      <c r="AD26" s="32">
        <f t="shared" si="12"/>
        <v>62.626315387057247</v>
      </c>
      <c r="AE26" s="32">
        <f t="shared" si="13"/>
        <v>65.495962690973045</v>
      </c>
      <c r="AF26" s="32">
        <f t="shared" si="11"/>
        <v>4855.5121999999992</v>
      </c>
      <c r="AG26" s="33">
        <f t="shared" si="14"/>
        <v>41.938173426017102</v>
      </c>
      <c r="AH26" s="37">
        <f t="shared" si="8"/>
        <v>-5.0980520200000008</v>
      </c>
      <c r="AI26" s="50">
        <f t="shared" si="9"/>
        <v>0</v>
      </c>
      <c r="AJ26" s="50">
        <f>AI26*1000</f>
        <v>0</v>
      </c>
    </row>
    <row r="27" spans="1:39" s="54" customFormat="1" hidden="1" x14ac:dyDescent="0.25">
      <c r="A27" s="51" t="s">
        <v>46</v>
      </c>
      <c r="B27" s="381">
        <v>-555</v>
      </c>
      <c r="C27" s="381">
        <v>0</v>
      </c>
      <c r="D27" s="381">
        <v>0</v>
      </c>
      <c r="E27" s="377">
        <f t="shared" si="6"/>
        <v>-555</v>
      </c>
      <c r="F27" s="381">
        <v>-555</v>
      </c>
      <c r="G27" s="381">
        <v>0</v>
      </c>
      <c r="H27" s="381">
        <v>0</v>
      </c>
      <c r="I27" s="381">
        <v>13597338.210000001</v>
      </c>
      <c r="J27" s="381">
        <v>0</v>
      </c>
      <c r="K27" s="381">
        <v>13680505.050000001</v>
      </c>
      <c r="L27" s="377">
        <f t="shared" si="7"/>
        <v>-83166.84</v>
      </c>
      <c r="M27" s="381">
        <v>-82165.5</v>
      </c>
      <c r="N27" s="381">
        <v>147665.20000000001</v>
      </c>
      <c r="O27" s="381">
        <v>-148666.54</v>
      </c>
      <c r="P27" s="52">
        <f t="shared" si="2"/>
        <v>-5.5500000000000005E-4</v>
      </c>
      <c r="Q27" s="52"/>
      <c r="R27" s="52">
        <f t="shared" si="18"/>
        <v>-5.5500000000000005E-4</v>
      </c>
      <c r="S27" s="52">
        <f t="shared" si="18"/>
        <v>-5.5500000000000005E-4</v>
      </c>
      <c r="T27" s="52"/>
      <c r="U27" s="52">
        <f>H27/1000000</f>
        <v>0</v>
      </c>
      <c r="V27" s="52">
        <f t="shared" si="18"/>
        <v>13.59733821</v>
      </c>
      <c r="W27" s="52">
        <f t="shared" si="4"/>
        <v>13.680505050000001</v>
      </c>
      <c r="X27" s="52">
        <f t="shared" si="4"/>
        <v>-8.3166839999999992E-2</v>
      </c>
      <c r="Y27" s="52">
        <f t="shared" si="4"/>
        <v>-8.2165500000000002E-2</v>
      </c>
      <c r="Z27" s="52">
        <f t="shared" si="4"/>
        <v>0.14766520000000002</v>
      </c>
      <c r="AA27" s="52">
        <f t="shared" si="4"/>
        <v>-0.14866654000000001</v>
      </c>
      <c r="AB27" s="31">
        <f t="shared" si="16"/>
        <v>-2449970.8486486487</v>
      </c>
      <c r="AC27" s="31" t="e">
        <f t="shared" si="17"/>
        <v>#DIV/0!</v>
      </c>
      <c r="AD27" s="32">
        <f t="shared" si="12"/>
        <v>14985.016216216214</v>
      </c>
      <c r="AE27" s="32">
        <f t="shared" si="13"/>
        <v>14804.594594594595</v>
      </c>
      <c r="AF27" s="32" t="e">
        <f t="shared" si="11"/>
        <v>#DIV/0!</v>
      </c>
      <c r="AG27" s="33" t="e">
        <f t="shared" si="14"/>
        <v>#DIV/0!</v>
      </c>
      <c r="AH27" s="161">
        <f t="shared" si="8"/>
        <v>-8.2611839999999992E-2</v>
      </c>
      <c r="AI27" s="53">
        <f t="shared" si="9"/>
        <v>-5.2735593669694936E-16</v>
      </c>
      <c r="AJ27" s="54">
        <f>AI27*1000</f>
        <v>-5.2735593669694936E-13</v>
      </c>
    </row>
    <row r="28" spans="1:39" s="58" customFormat="1" ht="26.4" x14ac:dyDescent="0.25">
      <c r="A28" s="40" t="s">
        <v>47</v>
      </c>
      <c r="B28" s="382"/>
      <c r="C28" s="382"/>
      <c r="D28" s="382"/>
      <c r="E28" s="383">
        <f>F28+G28+H28</f>
        <v>0</v>
      </c>
      <c r="F28" s="382"/>
      <c r="G28" s="382"/>
      <c r="H28" s="382"/>
      <c r="I28" s="382"/>
      <c r="J28" s="382"/>
      <c r="K28" s="382"/>
      <c r="L28" s="377">
        <f t="shared" si="7"/>
        <v>0</v>
      </c>
      <c r="M28" s="382"/>
      <c r="N28" s="382"/>
      <c r="O28" s="382"/>
      <c r="P28" s="31">
        <f t="shared" si="2"/>
        <v>0</v>
      </c>
      <c r="Q28" s="31">
        <f t="shared" ref="Q28:Q37" si="19">D28/1000000</f>
        <v>0</v>
      </c>
      <c r="R28" s="31">
        <f t="shared" si="18"/>
        <v>0</v>
      </c>
      <c r="S28" s="31">
        <f t="shared" si="18"/>
        <v>0</v>
      </c>
      <c r="T28" s="31">
        <f t="shared" si="18"/>
        <v>0</v>
      </c>
      <c r="U28" s="31">
        <f t="shared" si="18"/>
        <v>0</v>
      </c>
      <c r="V28" s="31">
        <f t="shared" si="18"/>
        <v>0</v>
      </c>
      <c r="W28" s="31">
        <f t="shared" si="4"/>
        <v>0</v>
      </c>
      <c r="X28" s="55">
        <f t="shared" si="4"/>
        <v>0</v>
      </c>
      <c r="Y28" s="31">
        <f t="shared" si="4"/>
        <v>0</v>
      </c>
      <c r="Z28" s="31">
        <f t="shared" si="4"/>
        <v>0</v>
      </c>
      <c r="AA28" s="55">
        <f t="shared" si="4"/>
        <v>0</v>
      </c>
      <c r="AB28" s="49" t="s">
        <v>31</v>
      </c>
      <c r="AC28" s="49" t="s">
        <v>31</v>
      </c>
      <c r="AD28" s="41" t="s">
        <v>31</v>
      </c>
      <c r="AE28" s="41" t="s">
        <v>31</v>
      </c>
      <c r="AF28" s="41" t="s">
        <v>31</v>
      </c>
      <c r="AG28" s="46" t="s">
        <v>31</v>
      </c>
      <c r="AH28" s="37">
        <f t="shared" si="8"/>
        <v>0</v>
      </c>
      <c r="AI28" s="57"/>
    </row>
    <row r="29" spans="1:39" s="39" customFormat="1" x14ac:dyDescent="0.25">
      <c r="A29" s="34" t="s">
        <v>48</v>
      </c>
      <c r="B29" s="375">
        <v>18587503879.110001</v>
      </c>
      <c r="C29" s="375">
        <v>23635701319.990002</v>
      </c>
      <c r="D29" s="375">
        <v>18669861989.259998</v>
      </c>
      <c r="E29" s="163">
        <f>F29+G29+H29-E132</f>
        <v>22268512465.360001</v>
      </c>
      <c r="F29" s="375">
        <v>10670691728.27</v>
      </c>
      <c r="G29" s="375">
        <v>11704077679.190001</v>
      </c>
      <c r="H29" s="375">
        <v>1178573802.3800001</v>
      </c>
      <c r="I29" s="375">
        <v>9142486099.9899998</v>
      </c>
      <c r="J29" s="375">
        <v>11737262314.24</v>
      </c>
      <c r="K29" s="375">
        <v>9223696943.9799995</v>
      </c>
      <c r="L29" s="163">
        <f>M29+N29+O29-L132</f>
        <v>11197266534.25</v>
      </c>
      <c r="M29" s="375">
        <v>5249509149.75</v>
      </c>
      <c r="N29" s="375">
        <v>6003397744.4799995</v>
      </c>
      <c r="O29" s="375">
        <v>403144576.02000004</v>
      </c>
      <c r="P29" s="35">
        <f t="shared" si="2"/>
        <v>18587.503879110001</v>
      </c>
      <c r="Q29" s="35">
        <f t="shared" si="19"/>
        <v>18669.86198926</v>
      </c>
      <c r="R29" s="35">
        <f t="shared" si="18"/>
        <v>22268.51246536</v>
      </c>
      <c r="S29" s="35">
        <f t="shared" si="18"/>
        <v>10670.69172827</v>
      </c>
      <c r="T29" s="35">
        <f t="shared" si="18"/>
        <v>11704.077679190001</v>
      </c>
      <c r="U29" s="35">
        <f t="shared" si="18"/>
        <v>1178.5738023800002</v>
      </c>
      <c r="V29" s="35">
        <f t="shared" si="18"/>
        <v>9142.4860999899993</v>
      </c>
      <c r="W29" s="35">
        <f t="shared" si="4"/>
        <v>9223.6969439799996</v>
      </c>
      <c r="X29" s="35">
        <f t="shared" si="4"/>
        <v>11197.26653425</v>
      </c>
      <c r="Y29" s="35">
        <f t="shared" si="4"/>
        <v>5249.5091497499998</v>
      </c>
      <c r="Z29" s="35">
        <f t="shared" si="4"/>
        <v>6003.3977444799993</v>
      </c>
      <c r="AA29" s="35">
        <f t="shared" si="4"/>
        <v>403.14457602000004</v>
      </c>
      <c r="AB29" s="35">
        <f t="shared" si="11"/>
        <v>49.18619605650759</v>
      </c>
      <c r="AC29" s="35">
        <f t="shared" si="11"/>
        <v>49.404205287034323</v>
      </c>
      <c r="AD29" s="35">
        <f t="shared" si="11"/>
        <v>50.282956940514175</v>
      </c>
      <c r="AE29" s="35">
        <f t="shared" si="11"/>
        <v>49.195584348504873</v>
      </c>
      <c r="AF29" s="35">
        <f t="shared" si="11"/>
        <v>51.293215142907989</v>
      </c>
      <c r="AG29" s="36">
        <f t="shared" si="11"/>
        <v>34.206137554211189</v>
      </c>
      <c r="AH29" s="37"/>
      <c r="AI29" s="59">
        <f>V29-W29-X29</f>
        <v>-11278.477378240001</v>
      </c>
      <c r="AJ29" s="39">
        <f>AI29*1000</f>
        <v>-11278477.37824</v>
      </c>
    </row>
    <row r="30" spans="1:39" s="65" customFormat="1" hidden="1" x14ac:dyDescent="0.25">
      <c r="A30" s="60" t="s">
        <v>49</v>
      </c>
      <c r="B30" s="384"/>
      <c r="C30" s="384"/>
      <c r="D30" s="384"/>
      <c r="E30" s="385"/>
      <c r="F30" s="384"/>
      <c r="G30" s="384"/>
      <c r="H30" s="384"/>
      <c r="I30" s="386"/>
      <c r="J30" s="386"/>
      <c r="K30" s="386"/>
      <c r="L30" s="385"/>
      <c r="M30" s="384"/>
      <c r="N30" s="384"/>
      <c r="O30" s="384"/>
      <c r="P30" s="55">
        <f>B30/1000000</f>
        <v>0</v>
      </c>
      <c r="Q30" s="55">
        <f t="shared" si="19"/>
        <v>0</v>
      </c>
      <c r="R30" s="55">
        <f>E30/1000000</f>
        <v>0</v>
      </c>
      <c r="S30" s="55">
        <f>F30/1000000</f>
        <v>0</v>
      </c>
      <c r="T30" s="55">
        <f>G30/1000000</f>
        <v>0</v>
      </c>
      <c r="U30" s="55">
        <f>H30/1000000</f>
        <v>0</v>
      </c>
      <c r="V30" s="55">
        <f>I30/1000000</f>
        <v>0</v>
      </c>
      <c r="W30" s="55">
        <f>K30/1000000</f>
        <v>0</v>
      </c>
      <c r="X30" s="55">
        <f>L30/1000000</f>
        <v>0</v>
      </c>
      <c r="Y30" s="55">
        <f>M30/1000000</f>
        <v>0</v>
      </c>
      <c r="Z30" s="55">
        <f>N30/1000000</f>
        <v>0</v>
      </c>
      <c r="AA30" s="55">
        <f>O30/1000000</f>
        <v>0</v>
      </c>
      <c r="AB30" s="56" t="s">
        <v>31</v>
      </c>
      <c r="AC30" s="56" t="s">
        <v>31</v>
      </c>
      <c r="AD30" s="56" t="s">
        <v>31</v>
      </c>
      <c r="AE30" s="56" t="s">
        <v>31</v>
      </c>
      <c r="AF30" s="56" t="s">
        <v>31</v>
      </c>
      <c r="AG30" s="61" t="s">
        <v>31</v>
      </c>
      <c r="AH30" s="62"/>
      <c r="AI30" s="63"/>
      <c r="AJ30" s="64"/>
    </row>
    <row r="31" spans="1:39" x14ac:dyDescent="0.25">
      <c r="A31" s="40" t="s">
        <v>50</v>
      </c>
      <c r="B31" s="378">
        <v>18537848167.009998</v>
      </c>
      <c r="C31" s="378">
        <v>23635701319.990002</v>
      </c>
      <c r="D31" s="378">
        <v>18537768032.009998</v>
      </c>
      <c r="E31" s="387">
        <f>F31+G31+H31-G132-H132</f>
        <v>22350950710.509998</v>
      </c>
      <c r="F31" s="380">
        <v>10652497991.18</v>
      </c>
      <c r="G31" s="380">
        <v>11793460041.389999</v>
      </c>
      <c r="H31" s="380">
        <v>1189823422.4200001</v>
      </c>
      <c r="I31" s="375">
        <v>9110527458.8099995</v>
      </c>
      <c r="J31" s="375">
        <v>11737262314.24</v>
      </c>
      <c r="K31" s="375">
        <v>9110527458.8099995</v>
      </c>
      <c r="L31" s="387">
        <f>M31+N31+O31-N132-O132</f>
        <v>11278477378.24</v>
      </c>
      <c r="M31" s="378">
        <v>5231328900.4899998</v>
      </c>
      <c r="N31" s="378">
        <v>6093095511.5600004</v>
      </c>
      <c r="O31" s="378">
        <v>412837902.19</v>
      </c>
      <c r="P31" s="31">
        <f t="shared" si="2"/>
        <v>18537.848167009997</v>
      </c>
      <c r="Q31" s="31">
        <f t="shared" si="19"/>
        <v>18537.768032009997</v>
      </c>
      <c r="R31" s="31">
        <f t="shared" si="18"/>
        <v>22350.950710509998</v>
      </c>
      <c r="S31" s="31">
        <f t="shared" si="18"/>
        <v>10652.49799118</v>
      </c>
      <c r="T31" s="31">
        <f t="shared" si="18"/>
        <v>11793.460041389999</v>
      </c>
      <c r="U31" s="31">
        <f t="shared" si="18"/>
        <v>1189.82342242</v>
      </c>
      <c r="V31" s="31">
        <f t="shared" si="18"/>
        <v>9110.5274588100001</v>
      </c>
      <c r="W31" s="31">
        <f t="shared" si="4"/>
        <v>9110.5274588100001</v>
      </c>
      <c r="X31" s="31">
        <f t="shared" si="4"/>
        <v>11278.477378239999</v>
      </c>
      <c r="Y31" s="31">
        <f t="shared" si="4"/>
        <v>5231.3289004899998</v>
      </c>
      <c r="Z31" s="31">
        <f t="shared" si="4"/>
        <v>6093.09551156</v>
      </c>
      <c r="AA31" s="31">
        <f t="shared" si="4"/>
        <v>412.83790219000002</v>
      </c>
      <c r="AB31" s="31">
        <f t="shared" si="11"/>
        <v>49.145550102320499</v>
      </c>
      <c r="AC31" s="31">
        <f t="shared" si="11"/>
        <v>49.145762548535735</v>
      </c>
      <c r="AD31" s="31">
        <f t="shared" si="11"/>
        <v>50.460839560334968</v>
      </c>
      <c r="AE31" s="31">
        <f t="shared" si="11"/>
        <v>49.108940502231576</v>
      </c>
      <c r="AF31" s="31">
        <f t="shared" si="11"/>
        <v>51.665037149198298</v>
      </c>
      <c r="AG31" s="33">
        <f t="shared" si="11"/>
        <v>34.697409246686597</v>
      </c>
      <c r="AH31" s="30"/>
      <c r="AI31" s="7">
        <f>V31-W31-X31</f>
        <v>-11278.477378239999</v>
      </c>
      <c r="AJ31" s="3">
        <f>AI31*1000</f>
        <v>-11278477.378239999</v>
      </c>
      <c r="AK31" s="2">
        <f>AJ31-J31</f>
        <v>-11748540791.61824</v>
      </c>
    </row>
    <row r="32" spans="1:39" ht="26.4" x14ac:dyDescent="0.25">
      <c r="A32" s="40" t="s">
        <v>51</v>
      </c>
      <c r="B32" s="378">
        <v>119599806.95</v>
      </c>
      <c r="C32" s="378">
        <v>0</v>
      </c>
      <c r="D32" s="378">
        <v>119599806.95</v>
      </c>
      <c r="E32" s="387">
        <f>F32+G32+H32</f>
        <v>0</v>
      </c>
      <c r="F32" s="380">
        <v>0</v>
      </c>
      <c r="G32" s="380">
        <v>0</v>
      </c>
      <c r="H32" s="380">
        <v>0</v>
      </c>
      <c r="I32" s="375">
        <v>38493000</v>
      </c>
      <c r="J32" s="375">
        <v>0</v>
      </c>
      <c r="K32" s="375">
        <v>38493000</v>
      </c>
      <c r="L32" s="387">
        <f>M32+N32+O32</f>
        <v>0</v>
      </c>
      <c r="M32" s="378">
        <v>0</v>
      </c>
      <c r="N32" s="378">
        <v>0</v>
      </c>
      <c r="O32" s="378">
        <v>0</v>
      </c>
      <c r="P32" s="31">
        <f>B32/1000000</f>
        <v>119.59980695</v>
      </c>
      <c r="Q32" s="31">
        <f t="shared" si="19"/>
        <v>119.59980695</v>
      </c>
      <c r="R32" s="31">
        <f t="shared" si="18"/>
        <v>0</v>
      </c>
      <c r="S32" s="31">
        <f t="shared" si="18"/>
        <v>0</v>
      </c>
      <c r="T32" s="31">
        <f t="shared" si="18"/>
        <v>0</v>
      </c>
      <c r="U32" s="31">
        <f t="shared" si="18"/>
        <v>0</v>
      </c>
      <c r="V32" s="31">
        <f t="shared" si="18"/>
        <v>38.493000000000002</v>
      </c>
      <c r="W32" s="31">
        <f t="shared" si="4"/>
        <v>38.493000000000002</v>
      </c>
      <c r="X32" s="31">
        <f t="shared" si="4"/>
        <v>0</v>
      </c>
      <c r="Y32" s="31">
        <f t="shared" si="4"/>
        <v>0</v>
      </c>
      <c r="Z32" s="31">
        <f t="shared" si="4"/>
        <v>0</v>
      </c>
      <c r="AA32" s="31">
        <f t="shared" si="4"/>
        <v>0</v>
      </c>
      <c r="AB32" s="31">
        <f t="shared" ref="AB32:AB37" si="20">V32/P32%</f>
        <v>32.184834559216654</v>
      </c>
      <c r="AC32" s="31">
        <f t="shared" ref="AC32:AC37" si="21">W32/Q32%</f>
        <v>32.184834559216654</v>
      </c>
      <c r="AD32" s="49" t="s">
        <v>31</v>
      </c>
      <c r="AE32" s="49" t="s">
        <v>31</v>
      </c>
      <c r="AF32" s="49" t="s">
        <v>31</v>
      </c>
      <c r="AG32" s="46" t="s">
        <v>31</v>
      </c>
      <c r="AH32" s="30"/>
      <c r="AI32" s="7">
        <f>V32-W32-X32</f>
        <v>0</v>
      </c>
      <c r="AJ32" s="3">
        <f t="shared" ref="AJ32:AJ38" si="22">AI32*1000</f>
        <v>0</v>
      </c>
    </row>
    <row r="33" spans="1:37" s="66" customFormat="1" ht="26.4" x14ac:dyDescent="0.25">
      <c r="A33" s="40" t="s">
        <v>52</v>
      </c>
      <c r="B33" s="378">
        <v>1076163</v>
      </c>
      <c r="C33" s="378">
        <v>0</v>
      </c>
      <c r="D33" s="378">
        <v>95000</v>
      </c>
      <c r="E33" s="387">
        <f>F33+G33+H33</f>
        <v>981163</v>
      </c>
      <c r="F33" s="380">
        <v>866963</v>
      </c>
      <c r="G33" s="380">
        <v>105000</v>
      </c>
      <c r="H33" s="380">
        <v>9200</v>
      </c>
      <c r="I33" s="378">
        <v>1074808</v>
      </c>
      <c r="J33" s="378">
        <v>0</v>
      </c>
      <c r="K33" s="378">
        <v>95000</v>
      </c>
      <c r="L33" s="387">
        <f>M33+N33+O33</f>
        <v>979808</v>
      </c>
      <c r="M33" s="378">
        <v>866963</v>
      </c>
      <c r="N33" s="378">
        <v>105000</v>
      </c>
      <c r="O33" s="378">
        <v>7845</v>
      </c>
      <c r="P33" s="32">
        <f>B33/1000000</f>
        <v>1.076163</v>
      </c>
      <c r="Q33" s="32">
        <f t="shared" si="19"/>
        <v>9.5000000000000001E-2</v>
      </c>
      <c r="R33" s="32">
        <f>E33/1000000</f>
        <v>0.98116300000000001</v>
      </c>
      <c r="S33" s="32">
        <f>F33/1000000</f>
        <v>0.86696300000000004</v>
      </c>
      <c r="T33" s="32">
        <f>G33/1000000</f>
        <v>0.105</v>
      </c>
      <c r="U33" s="32">
        <f>H33/1000000</f>
        <v>9.1999999999999998E-3</v>
      </c>
      <c r="V33" s="32">
        <f>I33/1000000</f>
        <v>1.074808</v>
      </c>
      <c r="W33" s="32">
        <f t="shared" si="4"/>
        <v>9.5000000000000001E-2</v>
      </c>
      <c r="X33" s="32">
        <f t="shared" si="4"/>
        <v>0.97980800000000001</v>
      </c>
      <c r="Y33" s="32">
        <f t="shared" si="4"/>
        <v>0.86696300000000004</v>
      </c>
      <c r="Z33" s="32">
        <f t="shared" si="4"/>
        <v>0.105</v>
      </c>
      <c r="AA33" s="32">
        <f t="shared" si="4"/>
        <v>7.8449999999999995E-3</v>
      </c>
      <c r="AB33" s="31">
        <f t="shared" si="20"/>
        <v>99.874089705741611</v>
      </c>
      <c r="AC33" s="31">
        <f t="shared" si="21"/>
        <v>100</v>
      </c>
      <c r="AD33" s="31">
        <f t="shared" ref="AD33:AD37" si="23">X33/R33%</f>
        <v>99.861898583619649</v>
      </c>
      <c r="AE33" s="31">
        <f t="shared" ref="AE33:AE37" si="24">Y33/S33%</f>
        <v>99.999999999999986</v>
      </c>
      <c r="AF33" s="31">
        <f t="shared" ref="AF33:AF37" si="25">Z33/T33%</f>
        <v>100</v>
      </c>
      <c r="AG33" s="33">
        <f t="shared" ref="AG33:AG37" si="26">AA33/U33%</f>
        <v>85.271739130434781</v>
      </c>
      <c r="AH33" s="30"/>
      <c r="AI33" s="7">
        <f>V33-W33-X33</f>
        <v>0</v>
      </c>
      <c r="AJ33" s="3">
        <f t="shared" si="22"/>
        <v>0</v>
      </c>
    </row>
    <row r="34" spans="1:37" x14ac:dyDescent="0.25">
      <c r="A34" s="40" t="s">
        <v>53</v>
      </c>
      <c r="B34" s="378">
        <v>62643353.109999999</v>
      </c>
      <c r="C34" s="378">
        <v>0</v>
      </c>
      <c r="D34" s="378">
        <v>33417389.309999999</v>
      </c>
      <c r="E34" s="387">
        <f>F34+G34+H34</f>
        <v>29225963.800000001</v>
      </c>
      <c r="F34" s="378">
        <v>8972894.6500000004</v>
      </c>
      <c r="G34" s="378">
        <v>17114746.59</v>
      </c>
      <c r="H34" s="378">
        <v>3138322.5599999996</v>
      </c>
      <c r="I34" s="380">
        <v>32773826.18</v>
      </c>
      <c r="J34" s="380">
        <v>0</v>
      </c>
      <c r="K34" s="380">
        <v>3417389.31</v>
      </c>
      <c r="L34" s="387">
        <f>M34+N34+O34</f>
        <v>29356436.870000001</v>
      </c>
      <c r="M34" s="380">
        <v>8989578.8499999996</v>
      </c>
      <c r="N34" s="380">
        <v>16839285.789999999</v>
      </c>
      <c r="O34" s="380">
        <v>3527572.23</v>
      </c>
      <c r="P34" s="31">
        <f t="shared" si="2"/>
        <v>62.64335311</v>
      </c>
      <c r="Q34" s="31">
        <f t="shared" si="19"/>
        <v>33.417389309999997</v>
      </c>
      <c r="R34" s="31">
        <f t="shared" si="18"/>
        <v>29.225963800000002</v>
      </c>
      <c r="S34" s="31">
        <f t="shared" si="18"/>
        <v>8.9728946500000006</v>
      </c>
      <c r="T34" s="31">
        <f t="shared" si="18"/>
        <v>17.114746589999999</v>
      </c>
      <c r="U34" s="31">
        <f t="shared" si="18"/>
        <v>3.1383225599999998</v>
      </c>
      <c r="V34" s="31">
        <f t="shared" si="18"/>
        <v>32.77382618</v>
      </c>
      <c r="W34" s="31">
        <f t="shared" si="4"/>
        <v>3.4173893099999999</v>
      </c>
      <c r="X34" s="31">
        <f t="shared" si="4"/>
        <v>29.35643687</v>
      </c>
      <c r="Y34" s="31">
        <f t="shared" si="4"/>
        <v>8.9895788499999991</v>
      </c>
      <c r="Z34" s="31">
        <f t="shared" si="4"/>
        <v>16.839285789999998</v>
      </c>
      <c r="AA34" s="31">
        <f t="shared" si="4"/>
        <v>3.5275722300000001</v>
      </c>
      <c r="AB34" s="31">
        <f t="shared" si="20"/>
        <v>52.31812243902408</v>
      </c>
      <c r="AC34" s="31">
        <f t="shared" si="21"/>
        <v>10.226380278537684</v>
      </c>
      <c r="AD34" s="31">
        <f t="shared" si="23"/>
        <v>100.44642863069582</v>
      </c>
      <c r="AE34" s="31">
        <f t="shared" si="24"/>
        <v>100.1859399965205</v>
      </c>
      <c r="AF34" s="31">
        <f t="shared" si="25"/>
        <v>98.3905061138273</v>
      </c>
      <c r="AG34" s="33">
        <f t="shared" si="26"/>
        <v>112.40311225370029</v>
      </c>
      <c r="AH34" s="30"/>
      <c r="AI34" s="7">
        <f t="shared" si="9"/>
        <v>0</v>
      </c>
      <c r="AJ34" s="3">
        <f t="shared" si="22"/>
        <v>0</v>
      </c>
    </row>
    <row r="35" spans="1:37" ht="79.2" hidden="1" x14ac:dyDescent="0.25">
      <c r="A35" s="40" t="s">
        <v>54</v>
      </c>
      <c r="B35" s="378"/>
      <c r="C35" s="378"/>
      <c r="D35" s="378"/>
      <c r="E35" s="387"/>
      <c r="F35" s="378"/>
      <c r="G35" s="378"/>
      <c r="H35" s="378"/>
      <c r="I35" s="380"/>
      <c r="J35" s="380"/>
      <c r="K35" s="380"/>
      <c r="L35" s="387"/>
      <c r="M35" s="380"/>
      <c r="N35" s="380"/>
      <c r="O35" s="380"/>
      <c r="P35" s="31">
        <f t="shared" si="2"/>
        <v>0</v>
      </c>
      <c r="Q35" s="31">
        <f t="shared" si="19"/>
        <v>0</v>
      </c>
      <c r="R35" s="31">
        <f t="shared" si="18"/>
        <v>0</v>
      </c>
      <c r="S35" s="31">
        <f t="shared" si="18"/>
        <v>0</v>
      </c>
      <c r="T35" s="31">
        <f t="shared" si="18"/>
        <v>0</v>
      </c>
      <c r="U35" s="31">
        <f t="shared" si="18"/>
        <v>0</v>
      </c>
      <c r="V35" s="31">
        <f t="shared" si="18"/>
        <v>0</v>
      </c>
      <c r="W35" s="31">
        <f t="shared" si="4"/>
        <v>0</v>
      </c>
      <c r="X35" s="31">
        <f t="shared" si="4"/>
        <v>0</v>
      </c>
      <c r="Y35" s="31">
        <f t="shared" si="4"/>
        <v>0</v>
      </c>
      <c r="Z35" s="31">
        <f t="shared" si="4"/>
        <v>0</v>
      </c>
      <c r="AA35" s="31">
        <f t="shared" si="4"/>
        <v>0</v>
      </c>
      <c r="AB35" s="49" t="s">
        <v>31</v>
      </c>
      <c r="AC35" s="49" t="s">
        <v>31</v>
      </c>
      <c r="AD35" s="49" t="s">
        <v>31</v>
      </c>
      <c r="AE35" s="49" t="s">
        <v>31</v>
      </c>
      <c r="AF35" s="49" t="s">
        <v>31</v>
      </c>
      <c r="AG35" s="46" t="s">
        <v>31</v>
      </c>
      <c r="AH35" s="67"/>
      <c r="AI35" s="7"/>
      <c r="AK35" s="3">
        <f>(Q29-Q36-Q37)*1000</f>
        <v>18690880.228270002</v>
      </c>
    </row>
    <row r="36" spans="1:37" ht="26.4" x14ac:dyDescent="0.25">
      <c r="A36" s="40" t="s">
        <v>440</v>
      </c>
      <c r="B36" s="378">
        <v>10388764.859999999</v>
      </c>
      <c r="C36" s="378">
        <v>49812064.219999999</v>
      </c>
      <c r="D36" s="378">
        <v>34746228.090000004</v>
      </c>
      <c r="E36" s="387">
        <f>F36+G36+H36+H37</f>
        <v>10638125.119999997</v>
      </c>
      <c r="F36" s="378">
        <v>9949268.0999999996</v>
      </c>
      <c r="G36" s="378">
        <v>15085999.619999999</v>
      </c>
      <c r="H36" s="378">
        <v>419333.26999999996</v>
      </c>
      <c r="I36" s="378">
        <v>15381474.1</v>
      </c>
      <c r="J36" s="378">
        <v>136124381.06999999</v>
      </c>
      <c r="K36" s="378">
        <v>126928562.95999999</v>
      </c>
      <c r="L36" s="387">
        <f>M36+N36+O36+O37</f>
        <v>10810894.960000001</v>
      </c>
      <c r="M36" s="378">
        <v>10003717.359999999</v>
      </c>
      <c r="N36" s="378">
        <v>14035921</v>
      </c>
      <c r="O36" s="378">
        <v>537653.85</v>
      </c>
      <c r="P36" s="31">
        <f t="shared" si="2"/>
        <v>10.38876486</v>
      </c>
      <c r="Q36" s="31">
        <f t="shared" si="19"/>
        <v>34.746228090000002</v>
      </c>
      <c r="R36" s="31">
        <f t="shared" si="18"/>
        <v>10.638125119999998</v>
      </c>
      <c r="S36" s="31">
        <f t="shared" si="18"/>
        <v>9.9492680999999994</v>
      </c>
      <c r="T36" s="31">
        <f t="shared" si="18"/>
        <v>15.085999619999999</v>
      </c>
      <c r="U36" s="31">
        <f t="shared" si="18"/>
        <v>0.41933326999999998</v>
      </c>
      <c r="V36" s="31">
        <f t="shared" si="18"/>
        <v>15.3814741</v>
      </c>
      <c r="W36" s="31">
        <f t="shared" si="4"/>
        <v>126.92856295999999</v>
      </c>
      <c r="X36" s="31">
        <f t="shared" si="4"/>
        <v>10.810894960000001</v>
      </c>
      <c r="Y36" s="31">
        <f t="shared" si="4"/>
        <v>10.00371736</v>
      </c>
      <c r="Z36" s="31">
        <f t="shared" si="4"/>
        <v>14.035921</v>
      </c>
      <c r="AA36" s="31">
        <f t="shared" si="4"/>
        <v>0.53765384999999999</v>
      </c>
      <c r="AB36" s="31">
        <f t="shared" si="20"/>
        <v>148.05873756199347</v>
      </c>
      <c r="AC36" s="31">
        <f t="shared" si="21"/>
        <v>365.30170305458324</v>
      </c>
      <c r="AD36" s="31">
        <f t="shared" si="23"/>
        <v>101.62406286870221</v>
      </c>
      <c r="AE36" s="31">
        <f t="shared" si="24"/>
        <v>100.54726899961616</v>
      </c>
      <c r="AF36" s="31">
        <f t="shared" si="25"/>
        <v>93.039383226499126</v>
      </c>
      <c r="AG36" s="33">
        <f t="shared" si="26"/>
        <v>128.21635879261382</v>
      </c>
      <c r="AH36" s="30"/>
      <c r="AI36" s="7">
        <f t="shared" si="9"/>
        <v>-122.35798381999999</v>
      </c>
      <c r="AJ36" s="3">
        <f t="shared" si="22"/>
        <v>-122357.98381999999</v>
      </c>
    </row>
    <row r="37" spans="1:37" x14ac:dyDescent="0.25">
      <c r="A37" s="40" t="s">
        <v>441</v>
      </c>
      <c r="B37" s="378">
        <v>-144052375.81999999</v>
      </c>
      <c r="C37" s="378">
        <v>-49812064.219999999</v>
      </c>
      <c r="D37" s="378">
        <v>-55764467.100000001</v>
      </c>
      <c r="E37" s="387">
        <f>F37+G37</f>
        <v>-123283497.06999999</v>
      </c>
      <c r="F37" s="378">
        <v>-1595388.66</v>
      </c>
      <c r="G37" s="378">
        <v>-121688108.41</v>
      </c>
      <c r="H37" s="378">
        <v>-14816475.870000001</v>
      </c>
      <c r="I37" s="378">
        <v>-55764467.100000001</v>
      </c>
      <c r="J37" s="378">
        <v>-136124381.06999999</v>
      </c>
      <c r="K37" s="378">
        <v>-55764467.100000001</v>
      </c>
      <c r="L37" s="387">
        <f>M37+N37</f>
        <v>-122357983.82000001</v>
      </c>
      <c r="M37" s="378">
        <v>-1680009.95</v>
      </c>
      <c r="N37" s="378">
        <v>-120677973.87</v>
      </c>
      <c r="O37" s="378">
        <v>-13766397.25</v>
      </c>
      <c r="P37" s="31">
        <f t="shared" si="2"/>
        <v>-144.05237581999998</v>
      </c>
      <c r="Q37" s="31">
        <f t="shared" si="19"/>
        <v>-55.764467100000005</v>
      </c>
      <c r="R37" s="31">
        <f t="shared" si="18"/>
        <v>-123.28349707</v>
      </c>
      <c r="S37" s="31">
        <f t="shared" si="18"/>
        <v>-1.59538866</v>
      </c>
      <c r="T37" s="31">
        <f t="shared" si="18"/>
        <v>-121.68810841</v>
      </c>
      <c r="U37" s="31">
        <f t="shared" si="18"/>
        <v>-14.816475870000001</v>
      </c>
      <c r="V37" s="31">
        <f t="shared" si="18"/>
        <v>-55.764467100000005</v>
      </c>
      <c r="W37" s="31">
        <f t="shared" si="4"/>
        <v>-55.764467100000005</v>
      </c>
      <c r="X37" s="31">
        <f t="shared" si="4"/>
        <v>-122.35798382</v>
      </c>
      <c r="Y37" s="31">
        <f t="shared" si="4"/>
        <v>-1.6800099499999999</v>
      </c>
      <c r="Z37" s="31">
        <f t="shared" si="4"/>
        <v>-120.67797387</v>
      </c>
      <c r="AA37" s="31">
        <f t="shared" si="4"/>
        <v>-13.766397250000001</v>
      </c>
      <c r="AB37" s="31">
        <f t="shared" si="20"/>
        <v>38.711244283593246</v>
      </c>
      <c r="AC37" s="31">
        <f t="shared" si="21"/>
        <v>100</v>
      </c>
      <c r="AD37" s="31">
        <f t="shared" si="23"/>
        <v>99.249280502260177</v>
      </c>
      <c r="AE37" s="31">
        <f t="shared" si="24"/>
        <v>105.30411755590639</v>
      </c>
      <c r="AF37" s="31">
        <f t="shared" si="25"/>
        <v>99.169898724535528</v>
      </c>
      <c r="AG37" s="33">
        <f t="shared" si="26"/>
        <v>92.912763944588391</v>
      </c>
      <c r="AH37" s="30"/>
      <c r="AI37" s="7">
        <f t="shared" si="9"/>
        <v>122.35798382</v>
      </c>
      <c r="AJ37" s="3">
        <f t="shared" si="22"/>
        <v>122357.98381999999</v>
      </c>
    </row>
    <row r="38" spans="1:37" s="39" customFormat="1" x14ac:dyDescent="0.25">
      <c r="A38" s="103" t="s">
        <v>57</v>
      </c>
      <c r="B38" s="388">
        <f>B12+B13+B14+B15+B16+B17+B18+B19+B20+B21+B22+B23+B24+B25+B26+B28+B29</f>
        <v>85482296191.019989</v>
      </c>
      <c r="C38" s="388">
        <f t="shared" ref="C38:D38" si="27">C12+C13+C14+C15+C16+C17+C18+C19+C20+C21+C22+C23+C24+C25+C26+C29</f>
        <v>23636412786.66</v>
      </c>
      <c r="D38" s="388">
        <f t="shared" si="27"/>
        <v>71734973126.139999</v>
      </c>
      <c r="E38" s="388">
        <f>E12+E13+E14+E15+E16+E17+E18+E19+E20+E21+E22+E23+E24+E25+E26+E28+E29</f>
        <v>36098905107.059998</v>
      </c>
      <c r="F38" s="388">
        <f t="shared" ref="F38:O38" si="28">F12+F13+F14+F15+F16+F17+F18+F19+F20+F21+F22+F23+F24+F25+F26+F28+F29</f>
        <v>20760100102</v>
      </c>
      <c r="G38" s="388">
        <f t="shared" si="28"/>
        <v>14263094352.800001</v>
      </c>
      <c r="H38" s="388">
        <f t="shared" si="28"/>
        <v>2360541396.7399998</v>
      </c>
      <c r="I38" s="388">
        <f t="shared" si="28"/>
        <v>44184464047.719994</v>
      </c>
      <c r="J38" s="388">
        <f t="shared" si="28"/>
        <v>11737262314.24</v>
      </c>
      <c r="K38" s="388">
        <f t="shared" si="28"/>
        <v>37681495846.600006</v>
      </c>
      <c r="L38" s="388">
        <f t="shared" si="28"/>
        <v>17781445579.360001</v>
      </c>
      <c r="M38" s="388">
        <f t="shared" si="28"/>
        <v>10082993843.830002</v>
      </c>
      <c r="N38" s="388">
        <f t="shared" si="28"/>
        <v>7331609336.5799999</v>
      </c>
      <c r="O38" s="388">
        <f t="shared" si="28"/>
        <v>825627334.95000005</v>
      </c>
      <c r="P38" s="68">
        <f t="shared" si="2"/>
        <v>85482.296191019996</v>
      </c>
      <c r="Q38" s="68">
        <f>D38/1000000</f>
        <v>71734.973126140001</v>
      </c>
      <c r="R38" s="68">
        <f t="shared" si="18"/>
        <v>36098.905107059996</v>
      </c>
      <c r="S38" s="68">
        <f t="shared" si="18"/>
        <v>20760.100102</v>
      </c>
      <c r="T38" s="68">
        <f t="shared" si="18"/>
        <v>14263.094352800001</v>
      </c>
      <c r="U38" s="68">
        <f t="shared" si="18"/>
        <v>2360.54139674</v>
      </c>
      <c r="V38" s="68">
        <f t="shared" si="18"/>
        <v>44184.464047719994</v>
      </c>
      <c r="W38" s="68">
        <f>K38/1000000</f>
        <v>37681.495846600003</v>
      </c>
      <c r="X38" s="68">
        <f t="shared" si="4"/>
        <v>17781.445579359999</v>
      </c>
      <c r="Y38" s="68">
        <f t="shared" si="4"/>
        <v>10082.993843830001</v>
      </c>
      <c r="Z38" s="68">
        <f t="shared" si="4"/>
        <v>7331.6093365799998</v>
      </c>
      <c r="AA38" s="68">
        <f t="shared" si="4"/>
        <v>825.62733495000009</v>
      </c>
      <c r="AB38" s="68">
        <f t="shared" si="11"/>
        <v>51.688438444592947</v>
      </c>
      <c r="AC38" s="68">
        <f>W38/Q38%</f>
        <v>52.528765544165211</v>
      </c>
      <c r="AD38" s="68">
        <f t="shared" si="11"/>
        <v>49.257575892190751</v>
      </c>
      <c r="AE38" s="68">
        <f t="shared" si="11"/>
        <v>48.569100314013511</v>
      </c>
      <c r="AF38" s="68">
        <f t="shared" si="11"/>
        <v>51.402656080310685</v>
      </c>
      <c r="AG38" s="69">
        <f t="shared" si="11"/>
        <v>34.976185382312032</v>
      </c>
      <c r="AH38" s="70"/>
      <c r="AI38" s="7">
        <f>V38-W38-X38</f>
        <v>-11278.477378240008</v>
      </c>
      <c r="AJ38" s="3">
        <f t="shared" si="22"/>
        <v>-11278477.378240008</v>
      </c>
      <c r="AK38" s="39">
        <f>V38-P38</f>
        <v>-41297.832143300002</v>
      </c>
    </row>
    <row r="39" spans="1:37" s="39" customFormat="1" x14ac:dyDescent="0.25">
      <c r="A39" s="103" t="s">
        <v>58</v>
      </c>
      <c r="B39" s="389">
        <f>+B12+B13+B14+B15+B16+B17+B18+B19</f>
        <v>63476451928.539993</v>
      </c>
      <c r="C39" s="389">
        <f t="shared" ref="C39:AA39" si="29">+C12+C13+C14+C15+C16+C17+C18+C19</f>
        <v>0</v>
      </c>
      <c r="D39" s="389">
        <f t="shared" si="29"/>
        <v>51874320600</v>
      </c>
      <c r="E39" s="389">
        <f t="shared" si="29"/>
        <v>11602131328.540001</v>
      </c>
      <c r="F39" s="389">
        <f t="shared" si="29"/>
        <v>8636221090.7999992</v>
      </c>
      <c r="G39" s="389">
        <f t="shared" si="29"/>
        <v>2233991271.8599997</v>
      </c>
      <c r="H39" s="389">
        <f t="shared" si="29"/>
        <v>731918965.88</v>
      </c>
      <c r="I39" s="389">
        <f t="shared" si="29"/>
        <v>33196387760.080002</v>
      </c>
      <c r="J39" s="389">
        <f t="shared" si="29"/>
        <v>0</v>
      </c>
      <c r="K39" s="389">
        <f t="shared" si="29"/>
        <v>27709247618.240002</v>
      </c>
      <c r="L39" s="389">
        <f t="shared" si="29"/>
        <v>5487140141.8400002</v>
      </c>
      <c r="M39" s="389">
        <f t="shared" si="29"/>
        <v>4024075803.9099998</v>
      </c>
      <c r="N39" s="389">
        <f t="shared" si="29"/>
        <v>1149664656.1099999</v>
      </c>
      <c r="O39" s="389">
        <f t="shared" si="29"/>
        <v>313399681.81999993</v>
      </c>
      <c r="P39" s="280">
        <f>+P12+P13+P14+P15+P16+P17+P18+P19</f>
        <v>63476.451928539987</v>
      </c>
      <c r="Q39" s="280">
        <f t="shared" si="29"/>
        <v>51874.320600000006</v>
      </c>
      <c r="R39" s="280">
        <f t="shared" si="29"/>
        <v>11602.131328540001</v>
      </c>
      <c r="S39" s="280">
        <f t="shared" si="29"/>
        <v>8636.2210907999997</v>
      </c>
      <c r="T39" s="280">
        <f t="shared" si="29"/>
        <v>2233.9912718599999</v>
      </c>
      <c r="U39" s="280">
        <f t="shared" si="29"/>
        <v>731.91896588000009</v>
      </c>
      <c r="V39" s="280">
        <f t="shared" si="29"/>
        <v>33196.387760080004</v>
      </c>
      <c r="W39" s="280">
        <f t="shared" si="29"/>
        <v>27709.247618240002</v>
      </c>
      <c r="X39" s="280">
        <f t="shared" si="29"/>
        <v>5487.140141840001</v>
      </c>
      <c r="Y39" s="280">
        <f t="shared" si="29"/>
        <v>4024.0758039099996</v>
      </c>
      <c r="Z39" s="280">
        <f t="shared" si="29"/>
        <v>1149.6646561100001</v>
      </c>
      <c r="AA39" s="280">
        <f t="shared" si="29"/>
        <v>313.39968182000001</v>
      </c>
      <c r="AB39" s="68">
        <f t="shared" ref="AB39:AG40" si="30">V39/P39%</f>
        <v>52.297169661359725</v>
      </c>
      <c r="AC39" s="68">
        <f t="shared" si="30"/>
        <v>53.416116679203306</v>
      </c>
      <c r="AD39" s="68">
        <f t="shared" si="30"/>
        <v>47.294242639214261</v>
      </c>
      <c r="AE39" s="68">
        <f t="shared" si="30"/>
        <v>46.595331008799327</v>
      </c>
      <c r="AF39" s="68">
        <f t="shared" si="30"/>
        <v>51.462361137731769</v>
      </c>
      <c r="AG39" s="69">
        <f t="shared" si="30"/>
        <v>42.818904336382872</v>
      </c>
      <c r="AH39" s="70"/>
      <c r="AI39" s="7"/>
      <c r="AJ39" s="3"/>
    </row>
    <row r="40" spans="1:37" s="39" customFormat="1" ht="13.8" thickBot="1" x14ac:dyDescent="0.3">
      <c r="A40" s="118" t="s">
        <v>59</v>
      </c>
      <c r="B40" s="390">
        <f>+B20+B21+B22+B23+B24+B25+B26+B28</f>
        <v>3418340383.3699999</v>
      </c>
      <c r="C40" s="390">
        <f t="shared" ref="C40:AA40" si="31">+C20+C21+C22+C23+C24+C25+C26+C28</f>
        <v>711466.67</v>
      </c>
      <c r="D40" s="390">
        <f t="shared" si="31"/>
        <v>1190790536.8800001</v>
      </c>
      <c r="E40" s="390">
        <f t="shared" si="31"/>
        <v>2228261313.1599998</v>
      </c>
      <c r="F40" s="390">
        <f t="shared" si="31"/>
        <v>1453187282.9300001</v>
      </c>
      <c r="G40" s="390">
        <f t="shared" si="31"/>
        <v>325025401.75</v>
      </c>
      <c r="H40" s="390">
        <f t="shared" si="31"/>
        <v>450048628.48000002</v>
      </c>
      <c r="I40" s="390">
        <f t="shared" si="31"/>
        <v>1845590187.6499999</v>
      </c>
      <c r="J40" s="390">
        <f t="shared" si="31"/>
        <v>0</v>
      </c>
      <c r="K40" s="390">
        <f t="shared" si="31"/>
        <v>748551284.38000011</v>
      </c>
      <c r="L40" s="390">
        <f t="shared" si="31"/>
        <v>1097038903.27</v>
      </c>
      <c r="M40" s="390">
        <f t="shared" si="31"/>
        <v>809408890.17000008</v>
      </c>
      <c r="N40" s="390">
        <f t="shared" si="31"/>
        <v>178546935.99000001</v>
      </c>
      <c r="O40" s="390">
        <f t="shared" si="31"/>
        <v>109083077.11</v>
      </c>
      <c r="P40" s="281">
        <f t="shared" si="31"/>
        <v>3418.3403833699995</v>
      </c>
      <c r="Q40" s="281">
        <f t="shared" si="31"/>
        <v>1190.7905368799998</v>
      </c>
      <c r="R40" s="281">
        <f t="shared" si="31"/>
        <v>2228.2613131600001</v>
      </c>
      <c r="S40" s="281">
        <f t="shared" si="31"/>
        <v>1453.1872829299998</v>
      </c>
      <c r="T40" s="281">
        <f t="shared" si="31"/>
        <v>325.02540175000001</v>
      </c>
      <c r="U40" s="281">
        <f t="shared" si="31"/>
        <v>450.04862847999999</v>
      </c>
      <c r="V40" s="281">
        <f t="shared" si="31"/>
        <v>1845.5901876500002</v>
      </c>
      <c r="W40" s="281">
        <f t="shared" si="31"/>
        <v>748.55128437999997</v>
      </c>
      <c r="X40" s="281">
        <f t="shared" si="31"/>
        <v>1097.03890327</v>
      </c>
      <c r="Y40" s="281">
        <f t="shared" si="31"/>
        <v>809.40889017000006</v>
      </c>
      <c r="Z40" s="281">
        <f t="shared" si="31"/>
        <v>178.54693599000001</v>
      </c>
      <c r="AA40" s="281">
        <f t="shared" si="31"/>
        <v>109.08307711</v>
      </c>
      <c r="AB40" s="120">
        <f t="shared" si="30"/>
        <v>53.990825390843888</v>
      </c>
      <c r="AC40" s="120">
        <f>W40/Q40%</f>
        <v>62.861709192053659</v>
      </c>
      <c r="AD40" s="120">
        <f t="shared" si="30"/>
        <v>49.232955613910406</v>
      </c>
      <c r="AE40" s="120">
        <f t="shared" si="30"/>
        <v>55.698869628009909</v>
      </c>
      <c r="AF40" s="120">
        <f t="shared" si="30"/>
        <v>54.933225227526393</v>
      </c>
      <c r="AG40" s="209">
        <f t="shared" si="30"/>
        <v>24.238064557249867</v>
      </c>
      <c r="AH40" s="70"/>
      <c r="AI40" s="7"/>
      <c r="AJ40" s="3"/>
    </row>
    <row r="41" spans="1:37" s="64" customFormat="1" ht="13.8" hidden="1" thickTop="1" x14ac:dyDescent="0.25">
      <c r="A41" s="72" t="s">
        <v>60</v>
      </c>
      <c r="B41" s="73">
        <f>B38-B10</f>
        <v>0</v>
      </c>
      <c r="C41" s="73">
        <f t="shared" ref="C41:O41" si="32">C38-C10</f>
        <v>0</v>
      </c>
      <c r="D41" s="73">
        <f t="shared" si="32"/>
        <v>0</v>
      </c>
      <c r="E41" s="73">
        <f>E38-E10</f>
        <v>0</v>
      </c>
      <c r="F41" s="73">
        <f t="shared" si="32"/>
        <v>0</v>
      </c>
      <c r="G41" s="73">
        <f t="shared" si="32"/>
        <v>0</v>
      </c>
      <c r="H41" s="73">
        <f t="shared" si="32"/>
        <v>0</v>
      </c>
      <c r="I41" s="73">
        <f t="shared" si="32"/>
        <v>0</v>
      </c>
      <c r="J41" s="73">
        <f t="shared" si="32"/>
        <v>0</v>
      </c>
      <c r="K41" s="73">
        <f t="shared" si="32"/>
        <v>0</v>
      </c>
      <c r="L41" s="73">
        <f>L38-L10</f>
        <v>0</v>
      </c>
      <c r="M41" s="73">
        <f t="shared" si="32"/>
        <v>0</v>
      </c>
      <c r="N41" s="73">
        <f t="shared" si="32"/>
        <v>0</v>
      </c>
      <c r="O41" s="73">
        <f t="shared" si="32"/>
        <v>0</v>
      </c>
      <c r="P41" s="208">
        <f t="shared" si="2"/>
        <v>0</v>
      </c>
      <c r="Q41" s="74"/>
      <c r="R41" s="74"/>
      <c r="S41" s="74"/>
      <c r="T41" s="74"/>
      <c r="U41" s="74"/>
      <c r="V41" s="74"/>
      <c r="W41" s="74"/>
      <c r="X41" s="74"/>
      <c r="Y41" s="74"/>
      <c r="Z41" s="74"/>
      <c r="AA41" s="74"/>
      <c r="AB41" s="74"/>
      <c r="AC41" s="74"/>
      <c r="AD41" s="74"/>
      <c r="AE41" s="74"/>
      <c r="AF41" s="74"/>
      <c r="AG41" s="75"/>
      <c r="AH41" s="76"/>
    </row>
    <row r="42" spans="1:37" s="64" customFormat="1" hidden="1" x14ac:dyDescent="0.25">
      <c r="A42" s="77" t="s">
        <v>61</v>
      </c>
      <c r="B42" s="78">
        <f>B31+B32+B33+B34+B35+B36+B37</f>
        <v>18587503879.110001</v>
      </c>
      <c r="C42" s="78">
        <f t="shared" ref="C42:AA42" si="33">C31+C32+C33+C34+C35+C36+C37</f>
        <v>23635701319.990002</v>
      </c>
      <c r="D42" s="78">
        <f t="shared" si="33"/>
        <v>18669861989.260002</v>
      </c>
      <c r="E42" s="78">
        <f>E31+E32+E33+E34+E35+E36+E37</f>
        <v>22268512465.359997</v>
      </c>
      <c r="F42" s="78">
        <f t="shared" si="33"/>
        <v>10670691728.27</v>
      </c>
      <c r="G42" s="78">
        <f t="shared" si="33"/>
        <v>11704077679.190001</v>
      </c>
      <c r="H42" s="78">
        <f t="shared" si="33"/>
        <v>1178573802.3800001</v>
      </c>
      <c r="I42" s="78">
        <f t="shared" si="33"/>
        <v>9142486099.9899998</v>
      </c>
      <c r="J42" s="78">
        <f t="shared" si="33"/>
        <v>11737262314.24</v>
      </c>
      <c r="K42" s="78">
        <f t="shared" si="33"/>
        <v>9223696943.9799976</v>
      </c>
      <c r="L42" s="78">
        <f t="shared" si="33"/>
        <v>11197266534.25</v>
      </c>
      <c r="M42" s="78">
        <f t="shared" si="33"/>
        <v>5249509149.75</v>
      </c>
      <c r="N42" s="78">
        <f t="shared" si="33"/>
        <v>6003397744.4800005</v>
      </c>
      <c r="O42" s="78">
        <f t="shared" si="33"/>
        <v>403144576.02000004</v>
      </c>
      <c r="P42" s="167">
        <f t="shared" si="2"/>
        <v>18587.503879110001</v>
      </c>
      <c r="Q42" s="78">
        <f t="shared" si="33"/>
        <v>18669.861989259996</v>
      </c>
      <c r="R42" s="78">
        <f t="shared" si="33"/>
        <v>22268.51246536</v>
      </c>
      <c r="S42" s="78">
        <f t="shared" si="33"/>
        <v>10670.69172827</v>
      </c>
      <c r="T42" s="78">
        <f t="shared" si="33"/>
        <v>11704.077679189997</v>
      </c>
      <c r="U42" s="78">
        <f t="shared" si="33"/>
        <v>1178.57380238</v>
      </c>
      <c r="V42" s="78">
        <f t="shared" si="33"/>
        <v>9142.4860999900011</v>
      </c>
      <c r="W42" s="78">
        <f t="shared" si="33"/>
        <v>9223.6969439799996</v>
      </c>
      <c r="X42" s="78">
        <f t="shared" si="33"/>
        <v>11197.266534249999</v>
      </c>
      <c r="Y42" s="78">
        <f t="shared" si="33"/>
        <v>5249.5091497500007</v>
      </c>
      <c r="Z42" s="78">
        <f t="shared" si="33"/>
        <v>6003.3977444799993</v>
      </c>
      <c r="AA42" s="78">
        <f t="shared" si="33"/>
        <v>403.14457601999999</v>
      </c>
      <c r="AB42" s="79"/>
      <c r="AC42" s="79"/>
      <c r="AD42" s="79"/>
      <c r="AE42" s="79"/>
      <c r="AF42" s="79"/>
      <c r="AG42" s="79"/>
      <c r="AH42" s="76"/>
    </row>
    <row r="43" spans="1:37" s="64" customFormat="1" hidden="1" x14ac:dyDescent="0.25">
      <c r="A43" s="80" t="s">
        <v>62</v>
      </c>
      <c r="B43" s="81">
        <f>B42-B29</f>
        <v>0</v>
      </c>
      <c r="C43" s="81">
        <f t="shared" ref="C43:AA43" si="34">C42-C29</f>
        <v>0</v>
      </c>
      <c r="D43" s="81">
        <f t="shared" si="34"/>
        <v>0</v>
      </c>
      <c r="E43" s="81">
        <f>E42-E29</f>
        <v>0</v>
      </c>
      <c r="F43" s="81">
        <f t="shared" si="34"/>
        <v>0</v>
      </c>
      <c r="G43" s="81">
        <f t="shared" si="34"/>
        <v>0</v>
      </c>
      <c r="H43" s="81">
        <f t="shared" si="34"/>
        <v>0</v>
      </c>
      <c r="I43" s="81">
        <f t="shared" si="34"/>
        <v>0</v>
      </c>
      <c r="J43" s="81">
        <f t="shared" si="34"/>
        <v>0</v>
      </c>
      <c r="K43" s="81">
        <f t="shared" si="34"/>
        <v>0</v>
      </c>
      <c r="L43" s="81">
        <f t="shared" si="34"/>
        <v>0</v>
      </c>
      <c r="M43" s="81">
        <f t="shared" si="34"/>
        <v>0</v>
      </c>
      <c r="N43" s="81">
        <f t="shared" si="34"/>
        <v>0</v>
      </c>
      <c r="O43" s="81">
        <f t="shared" si="34"/>
        <v>0</v>
      </c>
      <c r="P43" s="111">
        <f t="shared" si="2"/>
        <v>0</v>
      </c>
      <c r="Q43" s="82">
        <f t="shared" si="34"/>
        <v>0</v>
      </c>
      <c r="R43" s="82">
        <f t="shared" si="34"/>
        <v>0</v>
      </c>
      <c r="S43" s="82">
        <f t="shared" si="34"/>
        <v>0</v>
      </c>
      <c r="T43" s="82">
        <f t="shared" si="34"/>
        <v>0</v>
      </c>
      <c r="U43" s="82">
        <f t="shared" si="34"/>
        <v>0</v>
      </c>
      <c r="V43" s="82">
        <f t="shared" si="34"/>
        <v>0</v>
      </c>
      <c r="W43" s="82">
        <f t="shared" si="34"/>
        <v>0</v>
      </c>
      <c r="X43" s="82">
        <f t="shared" si="34"/>
        <v>0</v>
      </c>
      <c r="Y43" s="82">
        <f t="shared" si="34"/>
        <v>0</v>
      </c>
      <c r="Z43" s="82">
        <f t="shared" si="34"/>
        <v>0</v>
      </c>
      <c r="AA43" s="82">
        <f t="shared" si="34"/>
        <v>0</v>
      </c>
      <c r="AB43" s="76"/>
      <c r="AC43" s="76"/>
      <c r="AD43" s="76"/>
      <c r="AE43" s="76"/>
      <c r="AF43" s="76"/>
      <c r="AG43" s="76"/>
      <c r="AH43" s="76"/>
    </row>
    <row r="44" spans="1:37" s="64" customFormat="1" hidden="1" x14ac:dyDescent="0.25">
      <c r="A44" s="80"/>
      <c r="B44" s="76"/>
      <c r="C44" s="76"/>
      <c r="D44" s="81"/>
      <c r="E44" s="81"/>
      <c r="F44" s="76"/>
      <c r="G44" s="76"/>
      <c r="H44" s="76"/>
      <c r="I44" s="76"/>
      <c r="J44" s="76"/>
      <c r="K44" s="76"/>
      <c r="L44" s="81"/>
      <c r="M44" s="81"/>
      <c r="N44" s="81"/>
      <c r="O44" s="81"/>
      <c r="P44" s="111"/>
      <c r="Q44" s="76"/>
      <c r="R44" s="76"/>
      <c r="S44" s="76"/>
      <c r="T44" s="76"/>
      <c r="U44" s="76"/>
      <c r="V44" s="76"/>
      <c r="W44" s="76"/>
      <c r="X44" s="76"/>
      <c r="Y44" s="76"/>
      <c r="Z44" s="76"/>
      <c r="AA44" s="76"/>
      <c r="AB44" s="76"/>
      <c r="AC44" s="76"/>
      <c r="AD44" s="76"/>
      <c r="AE44" s="76"/>
      <c r="AF44" s="76"/>
      <c r="AG44" s="76"/>
      <c r="AH44" s="76"/>
    </row>
    <row r="45" spans="1:37" s="64" customFormat="1" ht="40.200000000000003" hidden="1" thickBot="1" x14ac:dyDescent="0.3">
      <c r="A45" s="80" t="s">
        <v>63</v>
      </c>
      <c r="B45" s="76"/>
      <c r="C45" s="76"/>
      <c r="D45" s="76"/>
      <c r="E45" s="83">
        <f>G132-H31</f>
        <v>1343858.0599999428</v>
      </c>
      <c r="F45" s="76"/>
      <c r="G45" s="76"/>
      <c r="H45" s="76"/>
      <c r="I45" s="76"/>
      <c r="J45" s="76"/>
      <c r="K45" s="76"/>
      <c r="L45" s="83">
        <f>N132-O31</f>
        <v>339200</v>
      </c>
      <c r="M45" s="76"/>
      <c r="N45" s="76"/>
      <c r="O45" s="76"/>
      <c r="P45" s="168"/>
      <c r="Q45" s="76"/>
      <c r="R45" s="84">
        <f>T132-U31</f>
        <v>1.3438580600000023</v>
      </c>
      <c r="S45" s="85"/>
      <c r="T45" s="85"/>
      <c r="U45" s="85"/>
      <c r="V45" s="85"/>
      <c r="W45" s="85"/>
      <c r="X45" s="84">
        <f>Z132-AA31</f>
        <v>0.33919999999994843</v>
      </c>
      <c r="Y45" s="76"/>
      <c r="Z45" s="76"/>
      <c r="AA45" s="76"/>
      <c r="AB45" s="76"/>
      <c r="AC45" s="76"/>
      <c r="AD45" s="76"/>
      <c r="AE45" s="76"/>
      <c r="AF45" s="76"/>
      <c r="AG45" s="76"/>
      <c r="AH45" s="76"/>
    </row>
    <row r="46" spans="1:37" ht="13.5" customHeight="1" thickTop="1" x14ac:dyDescent="0.25">
      <c r="A46" s="493" t="s">
        <v>1</v>
      </c>
      <c r="B46" s="502" t="s">
        <v>427</v>
      </c>
      <c r="C46" s="502"/>
      <c r="D46" s="502"/>
      <c r="E46" s="502"/>
      <c r="F46" s="502"/>
      <c r="G46" s="502"/>
      <c r="H46" s="502"/>
      <c r="I46" s="502" t="s">
        <v>428</v>
      </c>
      <c r="J46" s="502"/>
      <c r="K46" s="502"/>
      <c r="L46" s="502"/>
      <c r="M46" s="502"/>
      <c r="N46" s="502"/>
      <c r="O46" s="502"/>
      <c r="P46" s="495" t="s">
        <v>429</v>
      </c>
      <c r="Q46" s="495"/>
      <c r="R46" s="495"/>
      <c r="S46" s="495"/>
      <c r="T46" s="495"/>
      <c r="U46" s="495"/>
      <c r="V46" s="495" t="s">
        <v>430</v>
      </c>
      <c r="W46" s="495"/>
      <c r="X46" s="495"/>
      <c r="Y46" s="495"/>
      <c r="Z46" s="495"/>
      <c r="AA46" s="495"/>
      <c r="AB46" s="495" t="s">
        <v>2</v>
      </c>
      <c r="AC46" s="495"/>
      <c r="AD46" s="495"/>
      <c r="AE46" s="495"/>
      <c r="AF46" s="495"/>
      <c r="AG46" s="496"/>
      <c r="AH46" s="10"/>
    </row>
    <row r="47" spans="1:37" x14ac:dyDescent="0.25">
      <c r="A47" s="494"/>
      <c r="B47" s="506" t="s">
        <v>3</v>
      </c>
      <c r="C47" s="506" t="s">
        <v>4</v>
      </c>
      <c r="D47" s="506"/>
      <c r="E47" s="506"/>
      <c r="F47" s="506"/>
      <c r="G47" s="506"/>
      <c r="H47" s="506"/>
      <c r="I47" s="506" t="s">
        <v>3</v>
      </c>
      <c r="J47" s="391"/>
      <c r="K47" s="506" t="s">
        <v>4</v>
      </c>
      <c r="L47" s="506"/>
      <c r="M47" s="506"/>
      <c r="N47" s="506"/>
      <c r="O47" s="506"/>
      <c r="P47" s="487" t="s">
        <v>3</v>
      </c>
      <c r="Q47" s="488" t="s">
        <v>5</v>
      </c>
      <c r="R47" s="488"/>
      <c r="S47" s="488"/>
      <c r="T47" s="488"/>
      <c r="U47" s="488"/>
      <c r="V47" s="487" t="s">
        <v>3</v>
      </c>
      <c r="W47" s="488" t="s">
        <v>5</v>
      </c>
      <c r="X47" s="488"/>
      <c r="Y47" s="488"/>
      <c r="Z47" s="488"/>
      <c r="AA47" s="488"/>
      <c r="AB47" s="487" t="s">
        <v>3</v>
      </c>
      <c r="AC47" s="488" t="s">
        <v>5</v>
      </c>
      <c r="AD47" s="488"/>
      <c r="AE47" s="488"/>
      <c r="AF47" s="488"/>
      <c r="AG47" s="503"/>
      <c r="AH47" s="10"/>
    </row>
    <row r="48" spans="1:37" x14ac:dyDescent="0.25">
      <c r="A48" s="494"/>
      <c r="B48" s="506"/>
      <c r="C48" s="508" t="s">
        <v>6</v>
      </c>
      <c r="D48" s="506" t="s">
        <v>7</v>
      </c>
      <c r="E48" s="506" t="s">
        <v>8</v>
      </c>
      <c r="F48" s="507" t="s">
        <v>9</v>
      </c>
      <c r="G48" s="507"/>
      <c r="H48" s="507"/>
      <c r="I48" s="506"/>
      <c r="J48" s="508" t="s">
        <v>6</v>
      </c>
      <c r="K48" s="506" t="s">
        <v>7</v>
      </c>
      <c r="L48" s="506" t="s">
        <v>8</v>
      </c>
      <c r="M48" s="507" t="s">
        <v>9</v>
      </c>
      <c r="N48" s="507"/>
      <c r="O48" s="507"/>
      <c r="P48" s="487"/>
      <c r="Q48" s="487" t="s">
        <v>7</v>
      </c>
      <c r="R48" s="487" t="s">
        <v>8</v>
      </c>
      <c r="S48" s="490" t="s">
        <v>9</v>
      </c>
      <c r="T48" s="490"/>
      <c r="U48" s="490"/>
      <c r="V48" s="487"/>
      <c r="W48" s="487" t="s">
        <v>7</v>
      </c>
      <c r="X48" s="487" t="s">
        <v>8</v>
      </c>
      <c r="Y48" s="490" t="s">
        <v>9</v>
      </c>
      <c r="Z48" s="490"/>
      <c r="AA48" s="490"/>
      <c r="AB48" s="487"/>
      <c r="AC48" s="489" t="s">
        <v>7</v>
      </c>
      <c r="AD48" s="489" t="s">
        <v>8</v>
      </c>
      <c r="AE48" s="500" t="s">
        <v>9</v>
      </c>
      <c r="AF48" s="500"/>
      <c r="AG48" s="501"/>
      <c r="AH48" s="12"/>
    </row>
    <row r="49" spans="1:34" ht="57.75" customHeight="1" x14ac:dyDescent="0.25">
      <c r="A49" s="494"/>
      <c r="B49" s="506"/>
      <c r="C49" s="508"/>
      <c r="D49" s="506"/>
      <c r="E49" s="506"/>
      <c r="F49" s="391" t="s">
        <v>10</v>
      </c>
      <c r="G49" s="391" t="s">
        <v>11</v>
      </c>
      <c r="H49" s="391" t="s">
        <v>12</v>
      </c>
      <c r="I49" s="506"/>
      <c r="J49" s="508"/>
      <c r="K49" s="506"/>
      <c r="L49" s="506"/>
      <c r="M49" s="391" t="s">
        <v>10</v>
      </c>
      <c r="N49" s="391" t="s">
        <v>11</v>
      </c>
      <c r="O49" s="391" t="s">
        <v>12</v>
      </c>
      <c r="P49" s="487"/>
      <c r="Q49" s="487"/>
      <c r="R49" s="487"/>
      <c r="S49" s="289" t="s">
        <v>10</v>
      </c>
      <c r="T49" s="289" t="s">
        <v>11</v>
      </c>
      <c r="U49" s="289" t="s">
        <v>12</v>
      </c>
      <c r="V49" s="487"/>
      <c r="W49" s="487"/>
      <c r="X49" s="487"/>
      <c r="Y49" s="289" t="s">
        <v>10</v>
      </c>
      <c r="Z49" s="289" t="s">
        <v>11</v>
      </c>
      <c r="AA49" s="289" t="s">
        <v>12</v>
      </c>
      <c r="AB49" s="487"/>
      <c r="AC49" s="489"/>
      <c r="AD49" s="489"/>
      <c r="AE49" s="14" t="s">
        <v>10</v>
      </c>
      <c r="AF49" s="14" t="s">
        <v>11</v>
      </c>
      <c r="AG49" s="15" t="s">
        <v>64</v>
      </c>
      <c r="AH49" s="16"/>
    </row>
    <row r="50" spans="1:34" x14ac:dyDescent="0.25">
      <c r="A50" s="17" t="s">
        <v>14</v>
      </c>
      <c r="B50" s="392"/>
      <c r="C50" s="392"/>
      <c r="D50" s="392"/>
      <c r="E50" s="392"/>
      <c r="F50" s="392"/>
      <c r="G50" s="392"/>
      <c r="H50" s="392"/>
      <c r="I50" s="392"/>
      <c r="J50" s="392"/>
      <c r="K50" s="392"/>
      <c r="L50" s="392"/>
      <c r="M50" s="392"/>
      <c r="N50" s="392"/>
      <c r="O50" s="392"/>
      <c r="P50" s="18" t="s">
        <v>15</v>
      </c>
      <c r="Q50" s="18" t="s">
        <v>16</v>
      </c>
      <c r="R50" s="18" t="s">
        <v>17</v>
      </c>
      <c r="S50" s="20">
        <v>4</v>
      </c>
      <c r="T50" s="20">
        <v>5</v>
      </c>
      <c r="U50" s="20">
        <v>6</v>
      </c>
      <c r="V50" s="18" t="s">
        <v>18</v>
      </c>
      <c r="W50" s="18" t="s">
        <v>19</v>
      </c>
      <c r="X50" s="18" t="s">
        <v>20</v>
      </c>
      <c r="Y50" s="20">
        <v>10</v>
      </c>
      <c r="Z50" s="20">
        <v>11</v>
      </c>
      <c r="AA50" s="20">
        <v>12</v>
      </c>
      <c r="AB50" s="18" t="s">
        <v>21</v>
      </c>
      <c r="AC50" s="18" t="s">
        <v>22</v>
      </c>
      <c r="AD50" s="18" t="s">
        <v>23</v>
      </c>
      <c r="AE50" s="20" t="s">
        <v>24</v>
      </c>
      <c r="AF50" s="20" t="s">
        <v>25</v>
      </c>
      <c r="AG50" s="21" t="s">
        <v>26</v>
      </c>
      <c r="AH50" s="22"/>
    </row>
    <row r="51" spans="1:34" x14ac:dyDescent="0.25">
      <c r="A51" s="304" t="s">
        <v>65</v>
      </c>
      <c r="B51" s="25"/>
      <c r="C51" s="25"/>
      <c r="D51" s="25"/>
      <c r="E51" s="25"/>
      <c r="F51" s="25"/>
      <c r="G51" s="25"/>
      <c r="H51" s="25"/>
      <c r="I51" s="25"/>
      <c r="J51" s="25"/>
      <c r="K51" s="25"/>
      <c r="L51" s="305"/>
      <c r="M51" s="25"/>
      <c r="N51" s="25"/>
      <c r="O51" s="25"/>
      <c r="P51" s="306"/>
      <c r="Q51" s="306"/>
      <c r="R51" s="306"/>
      <c r="S51" s="306"/>
      <c r="T51" s="306"/>
      <c r="U51" s="306"/>
      <c r="V51" s="306"/>
      <c r="W51" s="306"/>
      <c r="X51" s="27">
        <f>Y52+Z52+AA52-X52</f>
        <v>458.78493600000365</v>
      </c>
      <c r="Y51" s="306"/>
      <c r="Z51" s="306"/>
      <c r="AA51" s="306"/>
      <c r="AB51" s="306"/>
      <c r="AC51" s="306"/>
      <c r="AD51" s="306"/>
      <c r="AE51" s="306"/>
      <c r="AF51" s="306"/>
      <c r="AG51" s="307"/>
      <c r="AH51" s="86"/>
    </row>
    <row r="52" spans="1:34" s="39" customFormat="1" hidden="1" x14ac:dyDescent="0.25">
      <c r="A52" s="87" t="s">
        <v>66</v>
      </c>
      <c r="B52" s="393">
        <v>89993286405.139999</v>
      </c>
      <c r="C52" s="393">
        <v>23636412786.66</v>
      </c>
      <c r="D52" s="393">
        <v>74933378949.869995</v>
      </c>
      <c r="E52" s="394">
        <f>+F52+G52+H52-E132</f>
        <v>37411489497.449997</v>
      </c>
      <c r="F52" s="393">
        <v>21484851068.349998</v>
      </c>
      <c r="G52" s="393">
        <v>14707582932.040001</v>
      </c>
      <c r="H52" s="393">
        <v>2503886241.54</v>
      </c>
      <c r="I52" s="393">
        <v>42721065176.970001</v>
      </c>
      <c r="J52" s="393">
        <v>11737262314.24</v>
      </c>
      <c r="K52" s="393">
        <v>35811633850.660004</v>
      </c>
      <c r="L52" s="394">
        <f>+M52+N52+O52-L132</f>
        <v>18187908704.549999</v>
      </c>
      <c r="M52" s="393">
        <v>10187642510.98</v>
      </c>
      <c r="N52" s="393">
        <v>7635067131.9700003</v>
      </c>
      <c r="O52" s="393">
        <v>823983997.60000002</v>
      </c>
      <c r="P52" s="88">
        <f>B52/1000000</f>
        <v>89993.286405139996</v>
      </c>
      <c r="Q52" s="88">
        <f t="shared" ref="Q52:V67" si="35">D52/1000000</f>
        <v>74933.378949869992</v>
      </c>
      <c r="R52" s="88">
        <f t="shared" si="35"/>
        <v>37411.489497449998</v>
      </c>
      <c r="S52" s="88">
        <f t="shared" si="35"/>
        <v>21484.851068349999</v>
      </c>
      <c r="T52" s="88">
        <f t="shared" si="35"/>
        <v>14707.582932040001</v>
      </c>
      <c r="U52" s="88">
        <f t="shared" si="35"/>
        <v>2503.8862415399999</v>
      </c>
      <c r="V52" s="88">
        <f t="shared" si="35"/>
        <v>42721.065176969998</v>
      </c>
      <c r="W52" s="88">
        <f t="shared" ref="W52:AA110" si="36">K52/1000000</f>
        <v>35811.63385066</v>
      </c>
      <c r="X52" s="88">
        <f t="shared" si="36"/>
        <v>18187.908704549998</v>
      </c>
      <c r="Y52" s="88">
        <f t="shared" si="36"/>
        <v>10187.64251098</v>
      </c>
      <c r="Z52" s="88">
        <f t="shared" si="36"/>
        <v>7635.0671319700004</v>
      </c>
      <c r="AA52" s="88">
        <f t="shared" si="36"/>
        <v>823.98399760000007</v>
      </c>
      <c r="AB52" s="88">
        <f t="shared" ref="AB52:AG67" si="37">V52/P52%</f>
        <v>47.471391348732844</v>
      </c>
      <c r="AC52" s="88">
        <f t="shared" si="37"/>
        <v>47.791297219651312</v>
      </c>
      <c r="AD52" s="88">
        <f t="shared" si="37"/>
        <v>48.615836869552339</v>
      </c>
      <c r="AE52" s="88">
        <f t="shared" si="37"/>
        <v>47.417794419751566</v>
      </c>
      <c r="AF52" s="88">
        <f t="shared" si="37"/>
        <v>51.912453373540053</v>
      </c>
      <c r="AG52" s="89">
        <f t="shared" si="37"/>
        <v>32.908204211913947</v>
      </c>
      <c r="AH52" s="90"/>
    </row>
    <row r="53" spans="1:34" s="39" customFormat="1" x14ac:dyDescent="0.25">
      <c r="A53" s="91" t="s">
        <v>67</v>
      </c>
      <c r="B53" s="375">
        <v>6851569253.4799995</v>
      </c>
      <c r="C53" s="375">
        <v>146951508.81</v>
      </c>
      <c r="D53" s="375">
        <v>3243984493.6900001</v>
      </c>
      <c r="E53" s="395">
        <f>F53+G53+H53-E54</f>
        <v>3700161321.9800005</v>
      </c>
      <c r="F53" s="375">
        <v>1936861212.4000001</v>
      </c>
      <c r="G53" s="375">
        <v>1161739238.96</v>
      </c>
      <c r="H53" s="375">
        <v>655935817.24000001</v>
      </c>
      <c r="I53" s="375">
        <v>2591171258.8000002</v>
      </c>
      <c r="J53" s="375">
        <v>54641137.07</v>
      </c>
      <c r="K53" s="375">
        <v>1051672774.23</v>
      </c>
      <c r="L53" s="395">
        <f>M53+N53+O53-L54</f>
        <v>1573085608.71</v>
      </c>
      <c r="M53" s="375">
        <v>770316354.94000006</v>
      </c>
      <c r="N53" s="375">
        <v>537153805.01999998</v>
      </c>
      <c r="O53" s="375">
        <v>286669461.68000001</v>
      </c>
      <c r="P53" s="35">
        <f>B53/1000000</f>
        <v>6851.5692534799991</v>
      </c>
      <c r="Q53" s="35">
        <f t="shared" si="35"/>
        <v>3243.9844936899999</v>
      </c>
      <c r="R53" s="35">
        <f t="shared" si="35"/>
        <v>3700.1613219800006</v>
      </c>
      <c r="S53" s="35">
        <f t="shared" si="35"/>
        <v>1936.8612124000001</v>
      </c>
      <c r="T53" s="35">
        <f t="shared" si="35"/>
        <v>1161.73923896</v>
      </c>
      <c r="U53" s="35">
        <f t="shared" si="35"/>
        <v>655.93581724000001</v>
      </c>
      <c r="V53" s="35">
        <f t="shared" si="35"/>
        <v>2591.1712588</v>
      </c>
      <c r="W53" s="35">
        <f t="shared" si="36"/>
        <v>1051.67277423</v>
      </c>
      <c r="X53" s="35">
        <f>L53/1000000</f>
        <v>1573.0856087100001</v>
      </c>
      <c r="Y53" s="35">
        <f>M53/1000000</f>
        <v>770.31635494000011</v>
      </c>
      <c r="Z53" s="35">
        <f t="shared" si="36"/>
        <v>537.15380501999994</v>
      </c>
      <c r="AA53" s="35">
        <f t="shared" si="36"/>
        <v>286.66946167999998</v>
      </c>
      <c r="AB53" s="35">
        <f t="shared" si="37"/>
        <v>37.818653843189445</v>
      </c>
      <c r="AC53" s="35">
        <f t="shared" si="37"/>
        <v>32.41916773263403</v>
      </c>
      <c r="AD53" s="35">
        <f>X53/R53%</f>
        <v>42.513973630431423</v>
      </c>
      <c r="AE53" s="35">
        <f>Y53/S53%</f>
        <v>39.77137597719183</v>
      </c>
      <c r="AF53" s="35">
        <f t="shared" si="37"/>
        <v>46.237037280488622</v>
      </c>
      <c r="AG53" s="36">
        <f>AA53/U53%</f>
        <v>43.703889030824286</v>
      </c>
      <c r="AH53" s="37"/>
    </row>
    <row r="54" spans="1:34" s="250" customFormat="1" hidden="1" x14ac:dyDescent="0.25">
      <c r="A54" s="291" t="s">
        <v>68</v>
      </c>
      <c r="B54" s="295">
        <v>4433637.8100000005</v>
      </c>
      <c r="C54" s="396">
        <v>146951508.81</v>
      </c>
      <c r="D54" s="396">
        <v>97010200</v>
      </c>
      <c r="E54" s="397">
        <f>F54+G54+H54</f>
        <v>54374946.620000005</v>
      </c>
      <c r="F54" s="295">
        <v>0</v>
      </c>
      <c r="G54" s="396">
        <v>40928292.620000005</v>
      </c>
      <c r="H54" s="396">
        <v>13446654</v>
      </c>
      <c r="I54" s="398">
        <v>74400</v>
      </c>
      <c r="J54" s="398">
        <v>54641137.07</v>
      </c>
      <c r="K54" s="398">
        <v>33661524.140000001</v>
      </c>
      <c r="L54" s="397">
        <f>M54+N54+O54</f>
        <v>21054012.93</v>
      </c>
      <c r="M54" s="398">
        <v>0</v>
      </c>
      <c r="N54" s="398">
        <v>15555997.6</v>
      </c>
      <c r="O54" s="398">
        <v>5498015.3300000001</v>
      </c>
      <c r="P54" s="248">
        <f>B54/1000000</f>
        <v>4.4336378100000005</v>
      </c>
      <c r="Q54" s="248">
        <f t="shared" si="35"/>
        <v>97.010199999999998</v>
      </c>
      <c r="R54" s="248">
        <f>E54/1000000</f>
        <v>54.374946620000003</v>
      </c>
      <c r="S54" s="248">
        <f>F54/1000000</f>
        <v>0</v>
      </c>
      <c r="T54" s="248">
        <f t="shared" si="35"/>
        <v>40.928292620000008</v>
      </c>
      <c r="U54" s="248">
        <f t="shared" si="35"/>
        <v>13.446654000000001</v>
      </c>
      <c r="V54" s="248"/>
      <c r="W54" s="248">
        <f t="shared" si="36"/>
        <v>33.661524139999997</v>
      </c>
      <c r="X54" s="248"/>
      <c r="Y54" s="248"/>
      <c r="Z54" s="248">
        <f t="shared" si="36"/>
        <v>15.5559976</v>
      </c>
      <c r="AA54" s="248">
        <f t="shared" si="36"/>
        <v>5.4980153300000003</v>
      </c>
      <c r="AB54" s="248">
        <f t="shared" si="37"/>
        <v>0</v>
      </c>
      <c r="AC54" s="248">
        <f t="shared" si="37"/>
        <v>34.698953450255743</v>
      </c>
      <c r="AD54" s="248"/>
      <c r="AE54" s="248"/>
      <c r="AF54" s="248">
        <f t="shared" si="37"/>
        <v>38.007931932148104</v>
      </c>
      <c r="AG54" s="249">
        <f>AA54/U54%</f>
        <v>40.887609140534146</v>
      </c>
      <c r="AH54" s="292"/>
    </row>
    <row r="55" spans="1:34" s="39" customFormat="1" x14ac:dyDescent="0.25">
      <c r="A55" s="91" t="s">
        <v>69</v>
      </c>
      <c r="B55" s="375">
        <v>30631300</v>
      </c>
      <c r="C55" s="375">
        <v>55075500</v>
      </c>
      <c r="D55" s="375">
        <v>30631300</v>
      </c>
      <c r="E55" s="395">
        <f>F55+G55+H55-E56</f>
        <v>30631300</v>
      </c>
      <c r="F55" s="375">
        <v>6187100</v>
      </c>
      <c r="G55" s="375">
        <v>24444200</v>
      </c>
      <c r="H55" s="375">
        <v>24444200</v>
      </c>
      <c r="I55" s="375">
        <v>12819518.16</v>
      </c>
      <c r="J55" s="375">
        <v>25749653.210000001</v>
      </c>
      <c r="K55" s="375">
        <v>14120290.939999999</v>
      </c>
      <c r="L55" s="395">
        <f>M55+N55+O55-L56</f>
        <v>12819518.16</v>
      </c>
      <c r="M55" s="375">
        <v>2490928.67</v>
      </c>
      <c r="N55" s="375">
        <v>11629362.27</v>
      </c>
      <c r="O55" s="375">
        <v>10328589.49</v>
      </c>
      <c r="P55" s="35">
        <f t="shared" ref="P55:P107" si="38">B55/1000000</f>
        <v>30.6313</v>
      </c>
      <c r="Q55" s="35">
        <f t="shared" si="35"/>
        <v>30.6313</v>
      </c>
      <c r="R55" s="35">
        <f>E55/1000000</f>
        <v>30.6313</v>
      </c>
      <c r="S55" s="35">
        <f>F55/1000000</f>
        <v>6.1871</v>
      </c>
      <c r="T55" s="35">
        <f t="shared" si="35"/>
        <v>24.444199999999999</v>
      </c>
      <c r="U55" s="35">
        <f t="shared" si="35"/>
        <v>24.444199999999999</v>
      </c>
      <c r="V55" s="35">
        <f t="shared" si="35"/>
        <v>12.819518159999999</v>
      </c>
      <c r="W55" s="35">
        <f t="shared" si="36"/>
        <v>14.12029094</v>
      </c>
      <c r="X55" s="35">
        <f t="shared" si="36"/>
        <v>12.819518159999999</v>
      </c>
      <c r="Y55" s="35">
        <f>M55/1000000</f>
        <v>2.4909286699999997</v>
      </c>
      <c r="Z55" s="35">
        <f t="shared" si="36"/>
        <v>11.62936227</v>
      </c>
      <c r="AA55" s="35">
        <f t="shared" si="36"/>
        <v>10.328589490000001</v>
      </c>
      <c r="AB55" s="35">
        <f t="shared" si="37"/>
        <v>41.851041777528209</v>
      </c>
      <c r="AC55" s="35">
        <f t="shared" si="37"/>
        <v>46.097589524440686</v>
      </c>
      <c r="AD55" s="35">
        <f t="shared" si="37"/>
        <v>41.851041777528209</v>
      </c>
      <c r="AE55" s="35">
        <f>Y55/S55%</f>
        <v>40.260035719480847</v>
      </c>
      <c r="AF55" s="35">
        <f t="shared" si="37"/>
        <v>47.57513958321401</v>
      </c>
      <c r="AG55" s="36">
        <f>AA55/U55%</f>
        <v>42.253743178340876</v>
      </c>
      <c r="AH55" s="37">
        <f>N56-O55</f>
        <v>1300772.7799999993</v>
      </c>
    </row>
    <row r="56" spans="1:34" s="250" customFormat="1" hidden="1" x14ac:dyDescent="0.25">
      <c r="A56" s="291" t="s">
        <v>68</v>
      </c>
      <c r="B56" s="295">
        <v>0</v>
      </c>
      <c r="C56" s="295">
        <v>55075500</v>
      </c>
      <c r="D56" s="295">
        <v>30631300</v>
      </c>
      <c r="E56" s="399">
        <f>F56+G56+H56</f>
        <v>24444200</v>
      </c>
      <c r="F56" s="295">
        <v>0</v>
      </c>
      <c r="G56" s="295">
        <v>24444200</v>
      </c>
      <c r="H56" s="295">
        <v>0</v>
      </c>
      <c r="I56" s="295">
        <v>0</v>
      </c>
      <c r="J56" s="295">
        <v>25749653.210000001</v>
      </c>
      <c r="K56" s="295">
        <v>14120290.939999999</v>
      </c>
      <c r="L56" s="399">
        <f>M56+N56+O56</f>
        <v>11629362.27</v>
      </c>
      <c r="M56" s="295">
        <v>0</v>
      </c>
      <c r="N56" s="295">
        <v>11629362.27</v>
      </c>
      <c r="O56" s="295">
        <v>0</v>
      </c>
      <c r="P56" s="248">
        <f t="shared" si="38"/>
        <v>0</v>
      </c>
      <c r="Q56" s="248">
        <f t="shared" si="35"/>
        <v>30.6313</v>
      </c>
      <c r="R56" s="248"/>
      <c r="S56" s="248"/>
      <c r="T56" s="248">
        <f t="shared" si="35"/>
        <v>24.444199999999999</v>
      </c>
      <c r="U56" s="248">
        <f t="shared" si="35"/>
        <v>0</v>
      </c>
      <c r="V56" s="248">
        <f t="shared" si="35"/>
        <v>0</v>
      </c>
      <c r="W56" s="248">
        <f t="shared" si="36"/>
        <v>14.12029094</v>
      </c>
      <c r="X56" s="248"/>
      <c r="Y56" s="248"/>
      <c r="Z56" s="248">
        <f t="shared" si="36"/>
        <v>11.62936227</v>
      </c>
      <c r="AA56" s="248">
        <f t="shared" si="36"/>
        <v>0</v>
      </c>
      <c r="AB56" s="248"/>
      <c r="AC56" s="248">
        <f t="shared" si="37"/>
        <v>46.097589524440686</v>
      </c>
      <c r="AD56" s="248"/>
      <c r="AE56" s="248"/>
      <c r="AF56" s="248">
        <f t="shared" si="37"/>
        <v>47.57513958321401</v>
      </c>
      <c r="AG56" s="249"/>
      <c r="AH56" s="292"/>
    </row>
    <row r="57" spans="1:34" s="39" customFormat="1" ht="26.4" x14ac:dyDescent="0.25">
      <c r="A57" s="91" t="s">
        <v>70</v>
      </c>
      <c r="B57" s="375">
        <v>1520589248.98</v>
      </c>
      <c r="C57" s="375">
        <v>3968997.64</v>
      </c>
      <c r="D57" s="375">
        <v>1316694647.0799999</v>
      </c>
      <c r="E57" s="395">
        <f>F57+G57+H57-E58</f>
        <v>204494601.89999998</v>
      </c>
      <c r="F57" s="375">
        <v>154098849.75999999</v>
      </c>
      <c r="G57" s="375">
        <v>29846351.449999999</v>
      </c>
      <c r="H57" s="375">
        <v>23918398.329999998</v>
      </c>
      <c r="I57" s="375">
        <v>788004261.28999996</v>
      </c>
      <c r="J57" s="375">
        <v>1094112.8999999999</v>
      </c>
      <c r="K57" s="375">
        <v>704769839.72000003</v>
      </c>
      <c r="L57" s="395">
        <f>M57+N57+O57-L58</f>
        <v>83834421.569999993</v>
      </c>
      <c r="M57" s="375">
        <v>66866580.649999999</v>
      </c>
      <c r="N57" s="375">
        <v>12027495.74</v>
      </c>
      <c r="O57" s="375">
        <v>5434458.0800000001</v>
      </c>
      <c r="P57" s="35">
        <f t="shared" si="38"/>
        <v>1520.5892489800001</v>
      </c>
      <c r="Q57" s="35">
        <f t="shared" si="35"/>
        <v>1316.6946470799999</v>
      </c>
      <c r="R57" s="35">
        <f>E57/1000000</f>
        <v>204.49460189999996</v>
      </c>
      <c r="S57" s="35">
        <f>F57/1000000</f>
        <v>154.09884975999998</v>
      </c>
      <c r="T57" s="35">
        <f t="shared" si="35"/>
        <v>29.84635145</v>
      </c>
      <c r="U57" s="35">
        <f t="shared" si="35"/>
        <v>23.918398329999999</v>
      </c>
      <c r="V57" s="35">
        <f t="shared" si="35"/>
        <v>788.00426128999993</v>
      </c>
      <c r="W57" s="35">
        <f t="shared" si="36"/>
        <v>704.76983972000005</v>
      </c>
      <c r="X57" s="35">
        <f t="shared" si="36"/>
        <v>83.834421569999989</v>
      </c>
      <c r="Y57" s="35">
        <f>M57/1000000</f>
        <v>66.866580650000003</v>
      </c>
      <c r="Z57" s="35">
        <f t="shared" si="36"/>
        <v>12.027495740000001</v>
      </c>
      <c r="AA57" s="35">
        <f t="shared" si="36"/>
        <v>5.4344580799999997</v>
      </c>
      <c r="AB57" s="35">
        <f t="shared" si="37"/>
        <v>51.822295982862393</v>
      </c>
      <c r="AC57" s="35">
        <f t="shared" si="37"/>
        <v>53.525685798370191</v>
      </c>
      <c r="AD57" s="35">
        <f t="shared" si="37"/>
        <v>40.995909325272024</v>
      </c>
      <c r="AE57" s="35">
        <f>Y57/S57%</f>
        <v>43.39200503711794</v>
      </c>
      <c r="AF57" s="35">
        <f t="shared" si="37"/>
        <v>40.298043665903421</v>
      </c>
      <c r="AG57" s="36">
        <f t="shared" si="37"/>
        <v>22.72082772860151</v>
      </c>
      <c r="AH57" s="37"/>
    </row>
    <row r="58" spans="1:34" s="250" customFormat="1" hidden="1" x14ac:dyDescent="0.25">
      <c r="A58" s="291" t="s">
        <v>68</v>
      </c>
      <c r="B58" s="295">
        <v>0</v>
      </c>
      <c r="C58" s="295">
        <v>3968997.6399999997</v>
      </c>
      <c r="D58" s="295">
        <v>600000</v>
      </c>
      <c r="E58" s="399">
        <f>F58+G58+H58</f>
        <v>3368997.64</v>
      </c>
      <c r="F58" s="295">
        <v>0</v>
      </c>
      <c r="G58" s="295">
        <v>2662997.64</v>
      </c>
      <c r="H58" s="295">
        <v>706000</v>
      </c>
      <c r="I58" s="295">
        <v>0</v>
      </c>
      <c r="J58" s="295">
        <v>1094112.8999999999</v>
      </c>
      <c r="K58" s="295">
        <v>600000</v>
      </c>
      <c r="L58" s="399">
        <f>M58+N58+O58</f>
        <v>494112.9</v>
      </c>
      <c r="M58" s="295">
        <v>0</v>
      </c>
      <c r="N58" s="295">
        <v>252446.25</v>
      </c>
      <c r="O58" s="295">
        <v>241666.65</v>
      </c>
      <c r="P58" s="248"/>
      <c r="Q58" s="248">
        <f t="shared" si="35"/>
        <v>0.6</v>
      </c>
      <c r="R58" s="248"/>
      <c r="S58" s="248"/>
      <c r="T58" s="248">
        <f t="shared" si="35"/>
        <v>2.6629976399999999</v>
      </c>
      <c r="U58" s="248">
        <f t="shared" si="35"/>
        <v>0.70599999999999996</v>
      </c>
      <c r="V58" s="248"/>
      <c r="W58" s="248">
        <f t="shared" si="36"/>
        <v>0.6</v>
      </c>
      <c r="X58" s="248"/>
      <c r="Y58" s="248">
        <f t="shared" ref="Y58" si="39">M58/1000000</f>
        <v>0</v>
      </c>
      <c r="Z58" s="248">
        <f t="shared" si="36"/>
        <v>0.25244624999999998</v>
      </c>
      <c r="AA58" s="248">
        <f t="shared" si="36"/>
        <v>0.24166664999999998</v>
      </c>
      <c r="AB58" s="248"/>
      <c r="AC58" s="248">
        <f t="shared" si="37"/>
        <v>100</v>
      </c>
      <c r="AD58" s="248"/>
      <c r="AE58" s="248"/>
      <c r="AF58" s="248">
        <f t="shared" si="37"/>
        <v>9.4797774586086376</v>
      </c>
      <c r="AG58" s="249">
        <f t="shared" si="37"/>
        <v>34.230403682719547</v>
      </c>
      <c r="AH58" s="292"/>
    </row>
    <row r="59" spans="1:34" s="39" customFormat="1" x14ac:dyDescent="0.25">
      <c r="A59" s="91" t="s">
        <v>71</v>
      </c>
      <c r="B59" s="375">
        <v>11181212638.690001</v>
      </c>
      <c r="C59" s="375">
        <v>1009941755.28</v>
      </c>
      <c r="D59" s="375">
        <v>9023745752.7700005</v>
      </c>
      <c r="E59" s="395">
        <f>F59+G59+H59-E60</f>
        <v>2951877372.9199996</v>
      </c>
      <c r="F59" s="375">
        <v>2290563735.9200001</v>
      </c>
      <c r="G59" s="375">
        <v>513147253.87</v>
      </c>
      <c r="H59" s="375">
        <v>363697651.40999997</v>
      </c>
      <c r="I59" s="375">
        <v>3728303304.3299999</v>
      </c>
      <c r="J59" s="375">
        <v>97518109.150000006</v>
      </c>
      <c r="K59" s="375">
        <v>2860429272.2600002</v>
      </c>
      <c r="L59" s="395">
        <f>M59+N59+O59-L60</f>
        <v>913580716.17000008</v>
      </c>
      <c r="M59" s="375">
        <v>718792300.24000001</v>
      </c>
      <c r="N59" s="375">
        <v>143037875.27000001</v>
      </c>
      <c r="O59" s="375">
        <v>103561965.71000001</v>
      </c>
      <c r="P59" s="35">
        <f t="shared" si="38"/>
        <v>11181.21263869</v>
      </c>
      <c r="Q59" s="35">
        <f t="shared" si="35"/>
        <v>9023.7457527700008</v>
      </c>
      <c r="R59" s="35">
        <f>E59/1000000</f>
        <v>2951.8773729199997</v>
      </c>
      <c r="S59" s="35">
        <f>F59/1000000</f>
        <v>2290.56373592</v>
      </c>
      <c r="T59" s="35">
        <f t="shared" si="35"/>
        <v>513.14725386999999</v>
      </c>
      <c r="U59" s="35">
        <f t="shared" si="35"/>
        <v>363.69765140999999</v>
      </c>
      <c r="V59" s="35">
        <f t="shared" si="35"/>
        <v>3728.3033043299997</v>
      </c>
      <c r="W59" s="35">
        <f t="shared" si="36"/>
        <v>2860.4292722600003</v>
      </c>
      <c r="X59" s="35">
        <f t="shared" si="36"/>
        <v>913.58071617000007</v>
      </c>
      <c r="Y59" s="35">
        <f>M59/1000000</f>
        <v>718.79230024000003</v>
      </c>
      <c r="Z59" s="35">
        <f t="shared" si="36"/>
        <v>143.03787527</v>
      </c>
      <c r="AA59" s="35">
        <f t="shared" si="36"/>
        <v>103.56196571000001</v>
      </c>
      <c r="AB59" s="35">
        <f t="shared" si="37"/>
        <v>33.344355615142035</v>
      </c>
      <c r="AC59" s="35">
        <f t="shared" si="37"/>
        <v>31.698912520689543</v>
      </c>
      <c r="AD59" s="35">
        <f t="shared" si="37"/>
        <v>30.949141876658828</v>
      </c>
      <c r="AE59" s="35">
        <f>Y59/S59%</f>
        <v>31.38058500482191</v>
      </c>
      <c r="AF59" s="35">
        <f t="shared" si="37"/>
        <v>27.87462549809085</v>
      </c>
      <c r="AG59" s="36">
        <f t="shared" si="37"/>
        <v>28.474741398110808</v>
      </c>
      <c r="AH59" s="37"/>
    </row>
    <row r="60" spans="1:34" s="250" customFormat="1" hidden="1" x14ac:dyDescent="0.25">
      <c r="A60" s="291" t="s">
        <v>68</v>
      </c>
      <c r="B60" s="295">
        <v>94818136</v>
      </c>
      <c r="C60" s="295">
        <v>1009941755.28</v>
      </c>
      <c r="D60" s="295">
        <v>889228623</v>
      </c>
      <c r="E60" s="399">
        <f>F60+G60+H60</f>
        <v>215531268.28</v>
      </c>
      <c r="F60" s="295">
        <v>0</v>
      </c>
      <c r="G60" s="295">
        <v>215291268.28</v>
      </c>
      <c r="H60" s="295">
        <v>240000</v>
      </c>
      <c r="I60" s="295">
        <v>0</v>
      </c>
      <c r="J60" s="295">
        <v>97518109.149999991</v>
      </c>
      <c r="K60" s="295">
        <v>45706684.100000001</v>
      </c>
      <c r="L60" s="399">
        <f>M60+N60+O60</f>
        <v>51811425.049999997</v>
      </c>
      <c r="M60" s="295">
        <v>0</v>
      </c>
      <c r="N60" s="295">
        <v>51571425.049999997</v>
      </c>
      <c r="O60" s="295">
        <v>240000</v>
      </c>
      <c r="P60" s="248">
        <f t="shared" si="38"/>
        <v>94.818135999999996</v>
      </c>
      <c r="Q60" s="248">
        <f t="shared" si="35"/>
        <v>889.22862299999997</v>
      </c>
      <c r="R60" s="248"/>
      <c r="S60" s="248"/>
      <c r="T60" s="248">
        <f t="shared" si="35"/>
        <v>215.29126828</v>
      </c>
      <c r="U60" s="248">
        <f t="shared" si="35"/>
        <v>0.24</v>
      </c>
      <c r="V60" s="248">
        <f t="shared" si="35"/>
        <v>0</v>
      </c>
      <c r="W60" s="248">
        <f t="shared" si="36"/>
        <v>45.706684100000004</v>
      </c>
      <c r="X60" s="248"/>
      <c r="Y60" s="248"/>
      <c r="Z60" s="248">
        <f t="shared" si="36"/>
        <v>51.571425049999995</v>
      </c>
      <c r="AA60" s="248">
        <f t="shared" si="36"/>
        <v>0.24</v>
      </c>
      <c r="AB60" s="248">
        <f t="shared" si="37"/>
        <v>0</v>
      </c>
      <c r="AC60" s="248">
        <f t="shared" si="37"/>
        <v>5.1400374344450226</v>
      </c>
      <c r="AD60" s="293" t="s">
        <v>31</v>
      </c>
      <c r="AE60" s="293" t="s">
        <v>31</v>
      </c>
      <c r="AF60" s="248">
        <f t="shared" si="37"/>
        <v>23.954257625965617</v>
      </c>
      <c r="AG60" s="249">
        <f t="shared" si="37"/>
        <v>100</v>
      </c>
      <c r="AH60" s="292"/>
    </row>
    <row r="61" spans="1:34" x14ac:dyDescent="0.25">
      <c r="A61" s="92" t="s">
        <v>72</v>
      </c>
      <c r="B61" s="378">
        <v>556918178.46000004</v>
      </c>
      <c r="C61" s="378">
        <v>0</v>
      </c>
      <c r="D61" s="378">
        <v>556848178.46000004</v>
      </c>
      <c r="E61" s="400">
        <f>F61+G61+H61</f>
        <v>70000</v>
      </c>
      <c r="F61" s="378">
        <v>0</v>
      </c>
      <c r="G61" s="378">
        <v>50000</v>
      </c>
      <c r="H61" s="378">
        <v>20000</v>
      </c>
      <c r="I61" s="378">
        <v>229019953.91</v>
      </c>
      <c r="J61" s="378">
        <v>0</v>
      </c>
      <c r="K61" s="378">
        <v>229000332.19999999</v>
      </c>
      <c r="L61" s="400">
        <f>M61+N61+O61</f>
        <v>19621.71</v>
      </c>
      <c r="M61" s="378">
        <v>0</v>
      </c>
      <c r="N61" s="378">
        <v>0</v>
      </c>
      <c r="O61" s="378">
        <v>19621.71</v>
      </c>
      <c r="P61" s="31">
        <f t="shared" si="38"/>
        <v>556.91817846000004</v>
      </c>
      <c r="Q61" s="31">
        <f t="shared" si="35"/>
        <v>556.84817845999999</v>
      </c>
      <c r="R61" s="31">
        <f>E61/1000000</f>
        <v>7.0000000000000007E-2</v>
      </c>
      <c r="S61" s="31">
        <f>F61/1000000</f>
        <v>0</v>
      </c>
      <c r="T61" s="31">
        <f t="shared" si="35"/>
        <v>0.05</v>
      </c>
      <c r="U61" s="31">
        <f t="shared" si="35"/>
        <v>0.02</v>
      </c>
      <c r="V61" s="31">
        <f t="shared" si="35"/>
        <v>229.01995391</v>
      </c>
      <c r="W61" s="31">
        <f t="shared" si="36"/>
        <v>229.00033219999997</v>
      </c>
      <c r="X61" s="31">
        <f>L61/1000000</f>
        <v>1.9621710000000001E-2</v>
      </c>
      <c r="Y61" s="31">
        <f>M61/1000000</f>
        <v>0</v>
      </c>
      <c r="Z61" s="31">
        <f t="shared" si="36"/>
        <v>0</v>
      </c>
      <c r="AA61" s="31">
        <f t="shared" si="36"/>
        <v>1.9621710000000001E-2</v>
      </c>
      <c r="AB61" s="31">
        <f t="shared" si="37"/>
        <v>41.122729113150875</v>
      </c>
      <c r="AC61" s="31">
        <f t="shared" si="37"/>
        <v>41.124374840071376</v>
      </c>
      <c r="AD61" s="31">
        <f>X61/R61%</f>
        <v>28.031014285714281</v>
      </c>
      <c r="AE61" s="49" t="s">
        <v>31</v>
      </c>
      <c r="AF61" s="31">
        <f t="shared" si="37"/>
        <v>0</v>
      </c>
      <c r="AG61" s="33">
        <f t="shared" si="37"/>
        <v>98.108549999999994</v>
      </c>
      <c r="AH61" s="30"/>
    </row>
    <row r="62" spans="1:34" hidden="1" x14ac:dyDescent="0.25">
      <c r="A62" s="92" t="s">
        <v>73</v>
      </c>
      <c r="B62" s="378">
        <v>57177605.020000003</v>
      </c>
      <c r="C62" s="378">
        <v>0</v>
      </c>
      <c r="D62" s="378">
        <v>56600070.18</v>
      </c>
      <c r="E62" s="395">
        <f>F62+G62+H62-E63</f>
        <v>577534.84000000008</v>
      </c>
      <c r="F62" s="378">
        <v>0</v>
      </c>
      <c r="G62" s="378">
        <v>80800</v>
      </c>
      <c r="H62" s="378">
        <v>496734.84</v>
      </c>
      <c r="I62" s="378">
        <v>29769176.100000001</v>
      </c>
      <c r="J62" s="378">
        <v>0</v>
      </c>
      <c r="K62" s="378">
        <v>29730518.120000001</v>
      </c>
      <c r="L62" s="401">
        <f>M62+N62+O62-L63</f>
        <v>38657.980000000003</v>
      </c>
      <c r="M62" s="378">
        <v>0</v>
      </c>
      <c r="N62" s="378">
        <v>0</v>
      </c>
      <c r="O62" s="378">
        <v>38657.980000000003</v>
      </c>
      <c r="P62" s="31">
        <f t="shared" si="38"/>
        <v>57.177605020000001</v>
      </c>
      <c r="Q62" s="31">
        <f t="shared" si="35"/>
        <v>56.600070180000003</v>
      </c>
      <c r="R62" s="31">
        <f>E62/1000000</f>
        <v>0.5775348400000001</v>
      </c>
      <c r="S62" s="31">
        <f>F62/1000000</f>
        <v>0</v>
      </c>
      <c r="T62" s="31">
        <f t="shared" si="35"/>
        <v>8.0799999999999997E-2</v>
      </c>
      <c r="U62" s="31">
        <f t="shared" si="35"/>
        <v>0.49673484000000001</v>
      </c>
      <c r="V62" s="31">
        <f t="shared" si="35"/>
        <v>29.769176100000003</v>
      </c>
      <c r="W62" s="31">
        <f t="shared" si="36"/>
        <v>29.730518119999999</v>
      </c>
      <c r="X62" s="31">
        <f>L62/1000000</f>
        <v>3.8657980000000002E-2</v>
      </c>
      <c r="Y62" s="31">
        <f>M62/1000000</f>
        <v>0</v>
      </c>
      <c r="Z62" s="31">
        <f t="shared" si="36"/>
        <v>0</v>
      </c>
      <c r="AA62" s="31">
        <f t="shared" si="36"/>
        <v>3.8657980000000002E-2</v>
      </c>
      <c r="AB62" s="31">
        <f t="shared" si="37"/>
        <v>52.064398446886898</v>
      </c>
      <c r="AC62" s="31">
        <f t="shared" si="37"/>
        <v>52.527352042940514</v>
      </c>
      <c r="AD62" s="31">
        <f>X62/R62%</f>
        <v>6.693618691471495</v>
      </c>
      <c r="AE62" s="31" t="e">
        <f>Y62/S62%</f>
        <v>#DIV/0!</v>
      </c>
      <c r="AF62" s="31">
        <f t="shared" si="37"/>
        <v>0</v>
      </c>
      <c r="AG62" s="33">
        <f t="shared" si="37"/>
        <v>7.7824176778097547</v>
      </c>
      <c r="AH62" s="30"/>
    </row>
    <row r="63" spans="1:34" s="250" customFormat="1" hidden="1" x14ac:dyDescent="0.25">
      <c r="A63" s="291" t="s">
        <v>74</v>
      </c>
      <c r="B63" s="398"/>
      <c r="C63" s="398"/>
      <c r="D63" s="398"/>
      <c r="E63" s="399">
        <f>F63+G63+H63</f>
        <v>0</v>
      </c>
      <c r="F63" s="398"/>
      <c r="G63" s="398"/>
      <c r="H63" s="398"/>
      <c r="I63" s="398"/>
      <c r="J63" s="398"/>
      <c r="K63" s="398"/>
      <c r="L63" s="399">
        <f>M63+N63+O63</f>
        <v>0</v>
      </c>
      <c r="M63" s="398"/>
      <c r="N63" s="398"/>
      <c r="O63" s="398"/>
      <c r="P63" s="248"/>
      <c r="Q63" s="248">
        <f t="shared" si="35"/>
        <v>0</v>
      </c>
      <c r="R63" s="248"/>
      <c r="S63" s="248"/>
      <c r="T63" s="248">
        <f t="shared" si="35"/>
        <v>0</v>
      </c>
      <c r="U63" s="248">
        <f t="shared" si="35"/>
        <v>0</v>
      </c>
      <c r="V63" s="248"/>
      <c r="W63" s="248">
        <f t="shared" si="36"/>
        <v>0</v>
      </c>
      <c r="X63" s="248"/>
      <c r="Y63" s="248"/>
      <c r="Z63" s="248">
        <f t="shared" si="36"/>
        <v>0</v>
      </c>
      <c r="AA63" s="248">
        <f t="shared" si="36"/>
        <v>0</v>
      </c>
      <c r="AB63" s="294"/>
      <c r="AC63" s="248" t="e">
        <f t="shared" si="37"/>
        <v>#DIV/0!</v>
      </c>
      <c r="AD63" s="248"/>
      <c r="AE63" s="248" t="e">
        <f t="shared" ref="AE63:AE65" si="40">Y63/S63%</f>
        <v>#DIV/0!</v>
      </c>
      <c r="AF63" s="248"/>
      <c r="AG63" s="249" t="e">
        <f t="shared" si="37"/>
        <v>#DIV/0!</v>
      </c>
      <c r="AH63" s="292"/>
    </row>
    <row r="64" spans="1:34" x14ac:dyDescent="0.25">
      <c r="A64" s="92" t="s">
        <v>75</v>
      </c>
      <c r="B64" s="378">
        <v>949593600</v>
      </c>
      <c r="C64" s="378">
        <v>0</v>
      </c>
      <c r="D64" s="378">
        <v>940001600</v>
      </c>
      <c r="E64" s="395">
        <f>F64+G64+H64-E65</f>
        <v>9592000</v>
      </c>
      <c r="F64" s="378">
        <v>0</v>
      </c>
      <c r="G64" s="378">
        <v>9567000</v>
      </c>
      <c r="H64" s="378">
        <v>25000</v>
      </c>
      <c r="I64" s="378">
        <v>391943198.11000001</v>
      </c>
      <c r="J64" s="378">
        <v>0</v>
      </c>
      <c r="K64" s="378">
        <v>388166210.81999999</v>
      </c>
      <c r="L64" s="401">
        <f>M64+N64+O64-L65</f>
        <v>3776987.29</v>
      </c>
      <c r="M64" s="378">
        <v>0</v>
      </c>
      <c r="N64" s="378">
        <v>3776987.29</v>
      </c>
      <c r="O64" s="378">
        <v>0</v>
      </c>
      <c r="P64" s="31">
        <f t="shared" si="38"/>
        <v>949.59360000000004</v>
      </c>
      <c r="Q64" s="31">
        <f t="shared" si="35"/>
        <v>940.00160000000005</v>
      </c>
      <c r="R64" s="31">
        <f>E64/1000000</f>
        <v>9.5920000000000005</v>
      </c>
      <c r="S64" s="31">
        <f>F64/1000000</f>
        <v>0</v>
      </c>
      <c r="T64" s="31">
        <f t="shared" si="35"/>
        <v>9.5670000000000002</v>
      </c>
      <c r="U64" s="31">
        <f t="shared" si="35"/>
        <v>2.5000000000000001E-2</v>
      </c>
      <c r="V64" s="31">
        <f t="shared" si="35"/>
        <v>391.94319811000003</v>
      </c>
      <c r="W64" s="31">
        <f t="shared" si="36"/>
        <v>388.16621082</v>
      </c>
      <c r="X64" s="31">
        <f>L64/1000000</f>
        <v>3.7769872900000001</v>
      </c>
      <c r="Y64" s="31">
        <f>M64/1000000</f>
        <v>0</v>
      </c>
      <c r="Z64" s="31">
        <f t="shared" si="36"/>
        <v>3.7769872900000001</v>
      </c>
      <c r="AA64" s="31">
        <f t="shared" si="36"/>
        <v>0</v>
      </c>
      <c r="AB64" s="31">
        <f t="shared" si="37"/>
        <v>41.274835688656708</v>
      </c>
      <c r="AC64" s="31">
        <f t="shared" si="37"/>
        <v>41.29420745879581</v>
      </c>
      <c r="AD64" s="31">
        <f>X64/R64%</f>
        <v>39.376431296914092</v>
      </c>
      <c r="AE64" s="49" t="s">
        <v>31</v>
      </c>
      <c r="AF64" s="31">
        <f t="shared" si="37"/>
        <v>39.479327793456676</v>
      </c>
      <c r="AG64" s="33">
        <f>AA64/U64%</f>
        <v>0</v>
      </c>
      <c r="AH64" s="30"/>
    </row>
    <row r="65" spans="1:34" s="250" customFormat="1" hidden="1" x14ac:dyDescent="0.25">
      <c r="A65" s="291" t="s">
        <v>74</v>
      </c>
      <c r="B65" s="398"/>
      <c r="C65" s="398"/>
      <c r="D65" s="398"/>
      <c r="E65" s="399">
        <f>F65+G65+H65</f>
        <v>0</v>
      </c>
      <c r="F65" s="398"/>
      <c r="G65" s="398"/>
      <c r="H65" s="398"/>
      <c r="I65" s="295"/>
      <c r="J65" s="295"/>
      <c r="K65" s="295"/>
      <c r="L65" s="399">
        <f>M65+N65+O65</f>
        <v>0</v>
      </c>
      <c r="M65" s="295"/>
      <c r="N65" s="295"/>
      <c r="O65" s="295"/>
      <c r="P65" s="248"/>
      <c r="Q65" s="248">
        <f t="shared" si="35"/>
        <v>0</v>
      </c>
      <c r="R65" s="248"/>
      <c r="S65" s="248"/>
      <c r="T65" s="248">
        <f t="shared" si="35"/>
        <v>0</v>
      </c>
      <c r="U65" s="248">
        <f t="shared" si="35"/>
        <v>0</v>
      </c>
      <c r="V65" s="248"/>
      <c r="W65" s="248">
        <f t="shared" si="36"/>
        <v>0</v>
      </c>
      <c r="X65" s="248"/>
      <c r="Y65" s="248"/>
      <c r="Z65" s="248">
        <f t="shared" si="36"/>
        <v>0</v>
      </c>
      <c r="AA65" s="248">
        <f t="shared" si="36"/>
        <v>0</v>
      </c>
      <c r="AB65" s="248"/>
      <c r="AC65" s="248" t="e">
        <f t="shared" si="37"/>
        <v>#DIV/0!</v>
      </c>
      <c r="AD65" s="248"/>
      <c r="AE65" s="296" t="e">
        <f t="shared" si="40"/>
        <v>#DIV/0!</v>
      </c>
      <c r="AF65" s="248" t="e">
        <f t="shared" si="37"/>
        <v>#DIV/0!</v>
      </c>
      <c r="AG65" s="249"/>
      <c r="AH65" s="292"/>
    </row>
    <row r="66" spans="1:34" x14ac:dyDescent="0.25">
      <c r="A66" s="92" t="s">
        <v>76</v>
      </c>
      <c r="B66" s="97">
        <v>145507974.15000001</v>
      </c>
      <c r="C66" s="97">
        <v>1165500</v>
      </c>
      <c r="D66" s="97">
        <v>144295674.15000001</v>
      </c>
      <c r="E66" s="395">
        <f>F66+G66+H66-E67</f>
        <v>1212300</v>
      </c>
      <c r="F66" s="97">
        <v>0</v>
      </c>
      <c r="G66" s="97">
        <v>1167300</v>
      </c>
      <c r="H66" s="97">
        <v>1210500</v>
      </c>
      <c r="I66" s="378">
        <v>8321634.5700000003</v>
      </c>
      <c r="J66" s="378">
        <v>400000</v>
      </c>
      <c r="K66" s="378">
        <v>7921288.9299999997</v>
      </c>
      <c r="L66" s="401">
        <f>M66+N66+O66-L67</f>
        <v>400345.64</v>
      </c>
      <c r="M66" s="378">
        <v>0</v>
      </c>
      <c r="N66" s="378">
        <v>400345.64</v>
      </c>
      <c r="O66" s="378">
        <v>400000</v>
      </c>
      <c r="P66" s="31">
        <f t="shared" si="38"/>
        <v>145.50797415</v>
      </c>
      <c r="Q66" s="31">
        <f t="shared" si="35"/>
        <v>144.29567415</v>
      </c>
      <c r="R66" s="31">
        <f>E66/1000000</f>
        <v>1.2122999999999999</v>
      </c>
      <c r="S66" s="31">
        <f>F66/1000000</f>
        <v>0</v>
      </c>
      <c r="T66" s="31">
        <f t="shared" si="35"/>
        <v>1.1673</v>
      </c>
      <c r="U66" s="31">
        <f t="shared" si="35"/>
        <v>1.2104999999999999</v>
      </c>
      <c r="V66" s="31">
        <f t="shared" si="35"/>
        <v>8.3216345700000005</v>
      </c>
      <c r="W66" s="31">
        <f t="shared" si="36"/>
        <v>7.9212889299999993</v>
      </c>
      <c r="X66" s="31">
        <f>L66/1000000</f>
        <v>0.40034564</v>
      </c>
      <c r="Y66" s="31">
        <f>M66/1000000</f>
        <v>0</v>
      </c>
      <c r="Z66" s="31">
        <f t="shared" si="36"/>
        <v>0.40034564</v>
      </c>
      <c r="AA66" s="31">
        <f t="shared" si="36"/>
        <v>0.4</v>
      </c>
      <c r="AB66" s="31">
        <f t="shared" si="37"/>
        <v>5.7190230422845874</v>
      </c>
      <c r="AC66" s="31">
        <f t="shared" si="37"/>
        <v>5.4896232868114705</v>
      </c>
      <c r="AD66" s="31">
        <f>X66/R66%</f>
        <v>33.023644312463908</v>
      </c>
      <c r="AE66" s="49" t="s">
        <v>31</v>
      </c>
      <c r="AF66" s="31">
        <f t="shared" si="37"/>
        <v>34.296722350723897</v>
      </c>
      <c r="AG66" s="33">
        <f>AA66/U66%</f>
        <v>33.044196612969849</v>
      </c>
      <c r="AH66" s="30"/>
    </row>
    <row r="67" spans="1:34" s="250" customFormat="1" hidden="1" x14ac:dyDescent="0.25">
      <c r="A67" s="291" t="s">
        <v>74</v>
      </c>
      <c r="B67" s="295">
        <v>0</v>
      </c>
      <c r="C67" s="295">
        <v>1165500</v>
      </c>
      <c r="D67" s="295">
        <v>0</v>
      </c>
      <c r="E67" s="399">
        <f>F67+G67+H67</f>
        <v>1165500</v>
      </c>
      <c r="F67" s="295">
        <v>0</v>
      </c>
      <c r="G67" s="295">
        <v>1165500</v>
      </c>
      <c r="H67" s="295">
        <v>0</v>
      </c>
      <c r="I67" s="295">
        <v>0</v>
      </c>
      <c r="J67" s="295">
        <v>400000</v>
      </c>
      <c r="K67" s="295">
        <v>0</v>
      </c>
      <c r="L67" s="399">
        <f>M67+N67+O67</f>
        <v>400000</v>
      </c>
      <c r="M67" s="295">
        <v>0</v>
      </c>
      <c r="N67" s="295">
        <v>400000</v>
      </c>
      <c r="O67" s="295">
        <v>0</v>
      </c>
      <c r="P67" s="248"/>
      <c r="Q67" s="248">
        <f t="shared" si="35"/>
        <v>0</v>
      </c>
      <c r="R67" s="248"/>
      <c r="S67" s="248"/>
      <c r="T67" s="248">
        <f t="shared" si="35"/>
        <v>1.1655</v>
      </c>
      <c r="U67" s="248">
        <f t="shared" si="35"/>
        <v>0</v>
      </c>
      <c r="V67" s="248"/>
      <c r="W67" s="248">
        <f t="shared" si="36"/>
        <v>0</v>
      </c>
      <c r="X67" s="248"/>
      <c r="Y67" s="248"/>
      <c r="Z67" s="248">
        <f t="shared" si="36"/>
        <v>0.4</v>
      </c>
      <c r="AA67" s="248">
        <f t="shared" si="36"/>
        <v>0</v>
      </c>
      <c r="AB67" s="248"/>
      <c r="AC67" s="248" t="e">
        <f t="shared" si="37"/>
        <v>#DIV/0!</v>
      </c>
      <c r="AD67" s="248"/>
      <c r="AE67" s="296" t="s">
        <v>31</v>
      </c>
      <c r="AF67" s="248">
        <f>Z67/T67%</f>
        <v>34.320034320034324</v>
      </c>
      <c r="AG67" s="249"/>
      <c r="AH67" s="292"/>
    </row>
    <row r="68" spans="1:34" x14ac:dyDescent="0.25">
      <c r="A68" s="92" t="s">
        <v>77</v>
      </c>
      <c r="B68" s="378">
        <v>999473600</v>
      </c>
      <c r="C68" s="378">
        <v>0</v>
      </c>
      <c r="D68" s="378">
        <v>999043600</v>
      </c>
      <c r="E68" s="395">
        <f>F68+G68+H68-E69</f>
        <v>430000</v>
      </c>
      <c r="F68" s="378">
        <v>0</v>
      </c>
      <c r="G68" s="378">
        <v>0</v>
      </c>
      <c r="H68" s="378">
        <v>430000</v>
      </c>
      <c r="I68" s="378">
        <v>426392629.36000001</v>
      </c>
      <c r="J68" s="378">
        <v>0</v>
      </c>
      <c r="K68" s="378">
        <v>426392629.36000001</v>
      </c>
      <c r="L68" s="395">
        <f>M68+N68+O68-L69</f>
        <v>0</v>
      </c>
      <c r="M68" s="378">
        <v>0</v>
      </c>
      <c r="N68" s="378">
        <v>0</v>
      </c>
      <c r="O68" s="378">
        <v>0</v>
      </c>
      <c r="P68" s="31">
        <f t="shared" si="38"/>
        <v>999.47360000000003</v>
      </c>
      <c r="Q68" s="31">
        <f>D68/1000000</f>
        <v>999.04359999999997</v>
      </c>
      <c r="R68" s="31">
        <f>E68/1000000</f>
        <v>0.43</v>
      </c>
      <c r="S68" s="31">
        <f>F68/1000000</f>
        <v>0</v>
      </c>
      <c r="T68" s="31">
        <f t="shared" ref="T68:V109" si="41">G68/1000000</f>
        <v>0</v>
      </c>
      <c r="U68" s="31">
        <f t="shared" si="41"/>
        <v>0.43</v>
      </c>
      <c r="V68" s="31">
        <f t="shared" si="41"/>
        <v>426.39262936</v>
      </c>
      <c r="W68" s="31">
        <f t="shared" si="36"/>
        <v>426.39262936</v>
      </c>
      <c r="X68" s="31">
        <f>L68/1000000</f>
        <v>0</v>
      </c>
      <c r="Y68" s="31">
        <f>M68/1000000</f>
        <v>0</v>
      </c>
      <c r="Z68" s="31">
        <f t="shared" si="36"/>
        <v>0</v>
      </c>
      <c r="AA68" s="31">
        <f t="shared" si="36"/>
        <v>0</v>
      </c>
      <c r="AB68" s="31">
        <f>V68/P68%</f>
        <v>42.661720065442452</v>
      </c>
      <c r="AC68" s="31">
        <f>W68/Q68%</f>
        <v>42.680082166584128</v>
      </c>
      <c r="AD68" s="31">
        <f t="shared" ref="AD68" si="42">X68/R68%</f>
        <v>0</v>
      </c>
      <c r="AE68" s="49" t="s">
        <v>31</v>
      </c>
      <c r="AF68" s="49" t="s">
        <v>31</v>
      </c>
      <c r="AG68" s="33">
        <f t="shared" ref="AF68:AG69" si="43">AA68/U68%</f>
        <v>0</v>
      </c>
      <c r="AH68" s="30"/>
    </row>
    <row r="69" spans="1:34" s="250" customFormat="1" hidden="1" x14ac:dyDescent="0.25">
      <c r="A69" s="291" t="s">
        <v>74</v>
      </c>
      <c r="B69" s="398"/>
      <c r="C69" s="398"/>
      <c r="D69" s="398"/>
      <c r="E69" s="399">
        <f>F69+G69+H69</f>
        <v>0</v>
      </c>
      <c r="F69" s="398"/>
      <c r="G69" s="398"/>
      <c r="H69" s="398"/>
      <c r="I69" s="402"/>
      <c r="J69" s="402"/>
      <c r="K69" s="402"/>
      <c r="L69" s="399">
        <f>M69+N69+O69</f>
        <v>0</v>
      </c>
      <c r="M69" s="398"/>
      <c r="N69" s="398"/>
      <c r="O69" s="398"/>
      <c r="P69" s="248"/>
      <c r="Q69" s="248">
        <f t="shared" ref="Q69:S110" si="44">D69/1000000</f>
        <v>0</v>
      </c>
      <c r="R69" s="248"/>
      <c r="S69" s="248"/>
      <c r="T69" s="248">
        <f>G69/1000000</f>
        <v>0</v>
      </c>
      <c r="U69" s="248">
        <f t="shared" si="41"/>
        <v>0</v>
      </c>
      <c r="V69" s="248"/>
      <c r="W69" s="248">
        <f>K69/1000000</f>
        <v>0</v>
      </c>
      <c r="X69" s="248"/>
      <c r="Y69" s="248"/>
      <c r="Z69" s="248">
        <f>N69/1000000</f>
        <v>0</v>
      </c>
      <c r="AA69" s="248"/>
      <c r="AB69" s="294"/>
      <c r="AC69" s="248"/>
      <c r="AD69" s="248"/>
      <c r="AE69" s="248"/>
      <c r="AF69" s="248" t="e">
        <f t="shared" si="43"/>
        <v>#DIV/0!</v>
      </c>
      <c r="AG69" s="249"/>
      <c r="AH69" s="292"/>
    </row>
    <row r="70" spans="1:34" x14ac:dyDescent="0.25">
      <c r="A70" s="92" t="s">
        <v>78</v>
      </c>
      <c r="B70" s="378">
        <v>1450830270.9000001</v>
      </c>
      <c r="C70" s="378">
        <v>158988980</v>
      </c>
      <c r="D70" s="378">
        <v>1201907733.3299999</v>
      </c>
      <c r="E70" s="395">
        <f>F70+G70+H70-E71</f>
        <v>407342517.57000005</v>
      </c>
      <c r="F70" s="378">
        <v>349396203.49000001</v>
      </c>
      <c r="G70" s="378">
        <v>52335730.170000002</v>
      </c>
      <c r="H70" s="378">
        <v>6179583.9099999992</v>
      </c>
      <c r="I70" s="378">
        <v>374850406.19</v>
      </c>
      <c r="J70" s="378">
        <v>4243400</v>
      </c>
      <c r="K70" s="378">
        <v>209659522.84</v>
      </c>
      <c r="L70" s="401">
        <f>M70+N70+O70-L71</f>
        <v>169109783.34999999</v>
      </c>
      <c r="M70" s="378">
        <v>148963892.77000001</v>
      </c>
      <c r="N70" s="378">
        <v>17285418.48</v>
      </c>
      <c r="O70" s="378">
        <v>3184972.0999999996</v>
      </c>
      <c r="P70" s="31">
        <f t="shared" si="38"/>
        <v>1450.8302709000002</v>
      </c>
      <c r="Q70" s="31">
        <f t="shared" si="44"/>
        <v>1201.9077333299999</v>
      </c>
      <c r="R70" s="31">
        <f>E70/1000000</f>
        <v>407.34251757000004</v>
      </c>
      <c r="S70" s="31">
        <f>F70/1000000</f>
        <v>349.39620349</v>
      </c>
      <c r="T70" s="31">
        <f t="shared" si="41"/>
        <v>52.335730170000005</v>
      </c>
      <c r="U70" s="31">
        <f t="shared" si="41"/>
        <v>6.179583909999999</v>
      </c>
      <c r="V70" s="31">
        <f t="shared" si="41"/>
        <v>374.85040619</v>
      </c>
      <c r="W70" s="31">
        <f t="shared" si="36"/>
        <v>209.65952283999999</v>
      </c>
      <c r="X70" s="31">
        <f>L70/1000000</f>
        <v>169.10978334999999</v>
      </c>
      <c r="Y70" s="31">
        <f>M70/1000000</f>
        <v>148.96389277</v>
      </c>
      <c r="Z70" s="31">
        <f t="shared" si="36"/>
        <v>17.285418480000001</v>
      </c>
      <c r="AA70" s="31">
        <f t="shared" si="36"/>
        <v>3.1849720999999995</v>
      </c>
      <c r="AB70" s="31">
        <f>V70/P70%</f>
        <v>25.836957892908266</v>
      </c>
      <c r="AC70" s="31">
        <f t="shared" ref="AC70:AE130" si="45">W70/Q70%</f>
        <v>17.443894986773927</v>
      </c>
      <c r="AD70" s="31">
        <f>X70/R70%</f>
        <v>41.515377368123424</v>
      </c>
      <c r="AE70" s="31">
        <f>Y70/S70%</f>
        <v>42.634662678658287</v>
      </c>
      <c r="AF70" s="31">
        <f>Z70/T70%</f>
        <v>33.027949402544849</v>
      </c>
      <c r="AG70" s="33">
        <f>AA70/U70%</f>
        <v>51.540235497829819</v>
      </c>
      <c r="AH70" s="30"/>
    </row>
    <row r="71" spans="1:34" s="250" customFormat="1" hidden="1" x14ac:dyDescent="0.25">
      <c r="A71" s="291" t="s">
        <v>74</v>
      </c>
      <c r="B71" s="398">
        <v>237120</v>
      </c>
      <c r="C71" s="398">
        <v>158988980</v>
      </c>
      <c r="D71" s="398">
        <v>158657100</v>
      </c>
      <c r="E71" s="399">
        <f>F71+G71+H71</f>
        <v>569000</v>
      </c>
      <c r="F71" s="398">
        <v>0</v>
      </c>
      <c r="G71" s="398">
        <v>569000</v>
      </c>
      <c r="H71" s="398">
        <v>0</v>
      </c>
      <c r="I71" s="398">
        <v>0</v>
      </c>
      <c r="J71" s="398">
        <v>4243400</v>
      </c>
      <c r="K71" s="398">
        <v>3918900</v>
      </c>
      <c r="L71" s="399">
        <f>M71+N71+O71</f>
        <v>324500</v>
      </c>
      <c r="M71" s="398">
        <v>0</v>
      </c>
      <c r="N71" s="398">
        <v>324500</v>
      </c>
      <c r="O71" s="398">
        <v>0</v>
      </c>
      <c r="P71" s="248"/>
      <c r="Q71" s="248">
        <f t="shared" si="44"/>
        <v>158.65710000000001</v>
      </c>
      <c r="R71" s="248"/>
      <c r="S71" s="248"/>
      <c r="T71" s="248">
        <f t="shared" si="41"/>
        <v>0.56899999999999995</v>
      </c>
      <c r="U71" s="248">
        <f t="shared" si="41"/>
        <v>0</v>
      </c>
      <c r="V71" s="248"/>
      <c r="W71" s="248">
        <f t="shared" si="36"/>
        <v>3.9188999999999998</v>
      </c>
      <c r="X71" s="248"/>
      <c r="Y71" s="248"/>
      <c r="Z71" s="248">
        <f t="shared" si="36"/>
        <v>0.32450000000000001</v>
      </c>
      <c r="AA71" s="248">
        <f t="shared" si="36"/>
        <v>0</v>
      </c>
      <c r="AB71" s="248"/>
      <c r="AC71" s="248">
        <f t="shared" si="45"/>
        <v>2.4700438870999153</v>
      </c>
      <c r="AD71" s="248"/>
      <c r="AE71" s="248"/>
      <c r="AF71" s="248">
        <f t="shared" ref="AF71:AG87" si="46">Z71/T71%</f>
        <v>57.029876977152902</v>
      </c>
      <c r="AG71" s="249" t="e">
        <f t="shared" si="46"/>
        <v>#DIV/0!</v>
      </c>
      <c r="AH71" s="292"/>
    </row>
    <row r="72" spans="1:34" x14ac:dyDescent="0.25">
      <c r="A72" s="92" t="s">
        <v>79</v>
      </c>
      <c r="B72" s="378">
        <v>6484111673.8400002</v>
      </c>
      <c r="C72" s="378">
        <v>839731022.27999997</v>
      </c>
      <c r="D72" s="378">
        <v>4756314755.6099997</v>
      </c>
      <c r="E72" s="395">
        <f>F72+G72+H72-E73</f>
        <v>2355415518.2299995</v>
      </c>
      <c r="F72" s="378">
        <v>1833859487.8699999</v>
      </c>
      <c r="G72" s="378">
        <v>394698160.12</v>
      </c>
      <c r="H72" s="378">
        <v>338970292.51999998</v>
      </c>
      <c r="I72" s="378">
        <v>2060692272.24</v>
      </c>
      <c r="J72" s="378">
        <v>88214467.769999996</v>
      </c>
      <c r="K72" s="378">
        <v>1425261247.3099999</v>
      </c>
      <c r="L72" s="401">
        <f>M72+N72+O72-L73</f>
        <v>673754160.64999998</v>
      </c>
      <c r="M72" s="378">
        <v>522968973.95999998</v>
      </c>
      <c r="N72" s="378">
        <v>104188398.70999999</v>
      </c>
      <c r="O72" s="378">
        <v>96488120.030000001</v>
      </c>
      <c r="P72" s="31">
        <f t="shared" si="38"/>
        <v>6484.1116738400005</v>
      </c>
      <c r="Q72" s="31">
        <f t="shared" si="44"/>
        <v>4756.3147556099993</v>
      </c>
      <c r="R72" s="31">
        <f>E72/1000000</f>
        <v>2355.4155182299996</v>
      </c>
      <c r="S72" s="31">
        <f>F72/1000000</f>
        <v>1833.8594878699998</v>
      </c>
      <c r="T72" s="31">
        <f t="shared" si="41"/>
        <v>394.69816012000001</v>
      </c>
      <c r="U72" s="31">
        <f t="shared" si="41"/>
        <v>338.97029251999999</v>
      </c>
      <c r="V72" s="31">
        <f t="shared" si="41"/>
        <v>2060.69227224</v>
      </c>
      <c r="W72" s="31">
        <f t="shared" si="36"/>
        <v>1425.26124731</v>
      </c>
      <c r="X72" s="31">
        <f>L72/1000000</f>
        <v>673.75416065000002</v>
      </c>
      <c r="Y72" s="31">
        <f>M72/1000000</f>
        <v>522.96897395999997</v>
      </c>
      <c r="Z72" s="31">
        <f t="shared" si="36"/>
        <v>104.18839870999999</v>
      </c>
      <c r="AA72" s="31">
        <f t="shared" si="36"/>
        <v>96.488120030000005</v>
      </c>
      <c r="AB72" s="31">
        <f>V72/P72%</f>
        <v>31.780641295149429</v>
      </c>
      <c r="AC72" s="31">
        <f t="shared" si="45"/>
        <v>29.965662924829072</v>
      </c>
      <c r="AD72" s="31">
        <f>X72/R72%</f>
        <v>28.604471501329805</v>
      </c>
      <c r="AE72" s="31">
        <f>Y72/S72%</f>
        <v>28.517396093820722</v>
      </c>
      <c r="AF72" s="31">
        <f t="shared" si="46"/>
        <v>26.396981095205412</v>
      </c>
      <c r="AG72" s="33">
        <f t="shared" si="46"/>
        <v>28.465066750445981</v>
      </c>
      <c r="AH72" s="30"/>
    </row>
    <row r="73" spans="1:34" s="250" customFormat="1" hidden="1" x14ac:dyDescent="0.25">
      <c r="A73" s="291" t="s">
        <v>74</v>
      </c>
      <c r="B73" s="398">
        <v>84086800</v>
      </c>
      <c r="C73" s="398">
        <v>839731022.27999997</v>
      </c>
      <c r="D73" s="398">
        <v>711705400</v>
      </c>
      <c r="E73" s="399">
        <f>F73+G73+H73</f>
        <v>212112422.28</v>
      </c>
      <c r="F73" s="398">
        <v>0</v>
      </c>
      <c r="G73" s="398">
        <v>212112422.28</v>
      </c>
      <c r="H73" s="398">
        <v>0</v>
      </c>
      <c r="I73" s="398">
        <v>0</v>
      </c>
      <c r="J73" s="398">
        <v>88214467.769999996</v>
      </c>
      <c r="K73" s="398">
        <v>38323135.719999999</v>
      </c>
      <c r="L73" s="399">
        <f>M73+N73+O73</f>
        <v>49891332.049999997</v>
      </c>
      <c r="M73" s="398">
        <v>0</v>
      </c>
      <c r="N73" s="398">
        <v>49891332.049999997</v>
      </c>
      <c r="O73" s="398">
        <v>0</v>
      </c>
      <c r="P73" s="248">
        <f t="shared" si="38"/>
        <v>84.086799999999997</v>
      </c>
      <c r="Q73" s="248">
        <f t="shared" si="44"/>
        <v>711.70540000000005</v>
      </c>
      <c r="R73" s="248"/>
      <c r="S73" s="248"/>
      <c r="T73" s="248">
        <f t="shared" si="41"/>
        <v>212.11242228</v>
      </c>
      <c r="U73" s="248">
        <f t="shared" si="41"/>
        <v>0</v>
      </c>
      <c r="V73" s="248">
        <f t="shared" si="41"/>
        <v>0</v>
      </c>
      <c r="W73" s="248">
        <f t="shared" si="36"/>
        <v>38.323135719999996</v>
      </c>
      <c r="X73" s="248"/>
      <c r="Y73" s="248"/>
      <c r="Z73" s="248">
        <f t="shared" si="36"/>
        <v>49.891332049999995</v>
      </c>
      <c r="AA73" s="248">
        <f t="shared" si="36"/>
        <v>0</v>
      </c>
      <c r="AB73" s="248"/>
      <c r="AC73" s="248">
        <f t="shared" si="45"/>
        <v>5.3846908734990624</v>
      </c>
      <c r="AD73" s="248"/>
      <c r="AE73" s="248"/>
      <c r="AF73" s="248">
        <f t="shared" si="46"/>
        <v>23.521174061244135</v>
      </c>
      <c r="AG73" s="249" t="e">
        <f t="shared" si="46"/>
        <v>#DIV/0!</v>
      </c>
      <c r="AH73" s="292"/>
    </row>
    <row r="74" spans="1:34" hidden="1" x14ac:dyDescent="0.25">
      <c r="A74" s="92" t="s">
        <v>80</v>
      </c>
      <c r="B74" s="378">
        <v>44976512.740000002</v>
      </c>
      <c r="C74" s="378">
        <v>0</v>
      </c>
      <c r="D74" s="378">
        <v>33509400</v>
      </c>
      <c r="E74" s="395">
        <f>F74+G74+H74-E75</f>
        <v>11467112.74</v>
      </c>
      <c r="F74" s="378">
        <v>11467112.74</v>
      </c>
      <c r="G74" s="378">
        <v>0</v>
      </c>
      <c r="H74" s="378">
        <v>0</v>
      </c>
      <c r="I74" s="378">
        <v>20457546.690000001</v>
      </c>
      <c r="J74" s="378">
        <v>0</v>
      </c>
      <c r="K74" s="378">
        <v>13687546.689999999</v>
      </c>
      <c r="L74" s="401">
        <f>M74+N74+O74-L75</f>
        <v>6770000</v>
      </c>
      <c r="M74" s="378">
        <v>6770000</v>
      </c>
      <c r="N74" s="378">
        <v>0</v>
      </c>
      <c r="O74" s="378">
        <v>0</v>
      </c>
      <c r="P74" s="31">
        <f t="shared" si="38"/>
        <v>44.976512740000004</v>
      </c>
      <c r="Q74" s="31">
        <f t="shared" si="44"/>
        <v>33.509399999999999</v>
      </c>
      <c r="R74" s="31">
        <f>E74/1000000</f>
        <v>11.467112740000001</v>
      </c>
      <c r="S74" s="31">
        <f>F74/1000000</f>
        <v>11.467112740000001</v>
      </c>
      <c r="T74" s="31">
        <f t="shared" si="41"/>
        <v>0</v>
      </c>
      <c r="U74" s="31">
        <f t="shared" si="41"/>
        <v>0</v>
      </c>
      <c r="V74" s="31">
        <f t="shared" si="41"/>
        <v>20.457546690000001</v>
      </c>
      <c r="W74" s="31">
        <f t="shared" si="36"/>
        <v>13.68754669</v>
      </c>
      <c r="X74" s="31">
        <f t="shared" si="36"/>
        <v>6.77</v>
      </c>
      <c r="Y74" s="31">
        <f t="shared" si="36"/>
        <v>6.77</v>
      </c>
      <c r="Z74" s="31">
        <f t="shared" si="36"/>
        <v>0</v>
      </c>
      <c r="AA74" s="31">
        <f t="shared" si="36"/>
        <v>0</v>
      </c>
      <c r="AB74" s="31">
        <f>V74/P74%</f>
        <v>45.484955243775531</v>
      </c>
      <c r="AC74" s="31">
        <f t="shared" si="45"/>
        <v>40.846886813849245</v>
      </c>
      <c r="AD74" s="31">
        <f>X74/R74%</f>
        <v>59.03840097764661</v>
      </c>
      <c r="AE74" s="31">
        <f>Y74/S74%</f>
        <v>59.03840097764661</v>
      </c>
      <c r="AF74" s="31" t="e">
        <f t="shared" si="46"/>
        <v>#DIV/0!</v>
      </c>
      <c r="AG74" s="33"/>
      <c r="AH74" s="30"/>
    </row>
    <row r="75" spans="1:34" s="250" customFormat="1" hidden="1" x14ac:dyDescent="0.25">
      <c r="A75" s="291" t="s">
        <v>74</v>
      </c>
      <c r="B75" s="398"/>
      <c r="C75" s="398"/>
      <c r="D75" s="398"/>
      <c r="E75" s="399">
        <f>F75+G75+H75</f>
        <v>0</v>
      </c>
      <c r="F75" s="398"/>
      <c r="G75" s="398"/>
      <c r="H75" s="398"/>
      <c r="I75" s="398"/>
      <c r="J75" s="398"/>
      <c r="K75" s="398"/>
      <c r="L75" s="399">
        <f>M75+N75+O75</f>
        <v>0</v>
      </c>
      <c r="M75" s="398"/>
      <c r="N75" s="398"/>
      <c r="O75" s="398"/>
      <c r="P75" s="248"/>
      <c r="Q75" s="248">
        <f t="shared" si="44"/>
        <v>0</v>
      </c>
      <c r="R75" s="248"/>
      <c r="S75" s="248"/>
      <c r="T75" s="55">
        <f t="shared" si="41"/>
        <v>0</v>
      </c>
      <c r="U75" s="248"/>
      <c r="V75" s="248"/>
      <c r="W75" s="248">
        <f>K75/1000000</f>
        <v>0</v>
      </c>
      <c r="X75" s="248"/>
      <c r="Y75" s="248"/>
      <c r="Z75" s="55">
        <f t="shared" si="36"/>
        <v>0</v>
      </c>
      <c r="AA75" s="248"/>
      <c r="AB75" s="248"/>
      <c r="AC75" s="55" t="e">
        <f t="shared" si="45"/>
        <v>#DIV/0!</v>
      </c>
      <c r="AD75" s="248"/>
      <c r="AE75" s="55"/>
      <c r="AF75" s="55" t="e">
        <f t="shared" si="46"/>
        <v>#DIV/0!</v>
      </c>
      <c r="AG75" s="249"/>
      <c r="AH75" s="292"/>
    </row>
    <row r="76" spans="1:34" ht="26.4" x14ac:dyDescent="0.25">
      <c r="A76" s="92" t="s">
        <v>81</v>
      </c>
      <c r="B76" s="378">
        <v>491667523.57999998</v>
      </c>
      <c r="C76" s="378">
        <v>10056253</v>
      </c>
      <c r="D76" s="378">
        <v>334269041.04000002</v>
      </c>
      <c r="E76" s="395">
        <f>F76+G76+H76-E77</f>
        <v>165770389.53999996</v>
      </c>
      <c r="F76" s="378">
        <v>95840931.819999993</v>
      </c>
      <c r="G76" s="378">
        <v>55248263.579999998</v>
      </c>
      <c r="H76" s="378">
        <v>16365540.140000001</v>
      </c>
      <c r="I76" s="378">
        <v>186856487.16</v>
      </c>
      <c r="J76" s="378">
        <v>4660241.38</v>
      </c>
      <c r="K76" s="378">
        <v>130609975.98999999</v>
      </c>
      <c r="L76" s="401">
        <f>M76+N76+O76-L77</f>
        <v>59711159.549999997</v>
      </c>
      <c r="M76" s="378">
        <v>40089433.509999998</v>
      </c>
      <c r="N76" s="378">
        <v>17386725.149999999</v>
      </c>
      <c r="O76" s="378">
        <v>3430593.8899999997</v>
      </c>
      <c r="P76" s="31">
        <f t="shared" si="38"/>
        <v>491.66752357999997</v>
      </c>
      <c r="Q76" s="31">
        <f t="shared" si="44"/>
        <v>334.26904104000005</v>
      </c>
      <c r="R76" s="31">
        <f t="shared" si="44"/>
        <v>165.77038953999997</v>
      </c>
      <c r="S76" s="31">
        <f t="shared" si="44"/>
        <v>95.840931819999994</v>
      </c>
      <c r="T76" s="31">
        <f t="shared" si="41"/>
        <v>55.24826358</v>
      </c>
      <c r="U76" s="31">
        <f t="shared" si="41"/>
        <v>16.36554014</v>
      </c>
      <c r="V76" s="31">
        <f t="shared" si="41"/>
        <v>186.85648716</v>
      </c>
      <c r="W76" s="31">
        <f t="shared" si="36"/>
        <v>130.60997598999998</v>
      </c>
      <c r="X76" s="31">
        <f t="shared" si="36"/>
        <v>59.711159549999998</v>
      </c>
      <c r="Y76" s="31">
        <f t="shared" si="36"/>
        <v>40.089433509999999</v>
      </c>
      <c r="Z76" s="31">
        <f t="shared" si="36"/>
        <v>17.38672515</v>
      </c>
      <c r="AA76" s="31">
        <f t="shared" si="36"/>
        <v>3.4305938899999995</v>
      </c>
      <c r="AB76" s="31">
        <f>V76/P76%</f>
        <v>38.004643015555267</v>
      </c>
      <c r="AC76" s="31">
        <f t="shared" si="45"/>
        <v>39.073309207349133</v>
      </c>
      <c r="AD76" s="31">
        <f>X76/R76%</f>
        <v>36.020401300674905</v>
      </c>
      <c r="AE76" s="31">
        <f>Y76/S76%</f>
        <v>41.829135786463809</v>
      </c>
      <c r="AF76" s="31">
        <f t="shared" si="46"/>
        <v>31.470174849611084</v>
      </c>
      <c r="AG76" s="33">
        <f>AA76/U76%</f>
        <v>20.962301645120032</v>
      </c>
      <c r="AH76" s="30"/>
    </row>
    <row r="77" spans="1:34" s="250" customFormat="1" hidden="1" x14ac:dyDescent="0.25">
      <c r="A77" s="291" t="s">
        <v>74</v>
      </c>
      <c r="B77" s="398">
        <v>10494216</v>
      </c>
      <c r="C77" s="398">
        <v>10056253</v>
      </c>
      <c r="D77" s="398">
        <v>18866123</v>
      </c>
      <c r="E77" s="399">
        <f>F77+G77+H77</f>
        <v>1684346</v>
      </c>
      <c r="F77" s="398">
        <v>0</v>
      </c>
      <c r="G77" s="398">
        <v>1444346</v>
      </c>
      <c r="H77" s="398">
        <v>240000</v>
      </c>
      <c r="I77" s="398">
        <v>0</v>
      </c>
      <c r="J77" s="398">
        <v>4660241.38</v>
      </c>
      <c r="K77" s="398">
        <v>3464648.38</v>
      </c>
      <c r="L77" s="399">
        <f>M77+N77+O77</f>
        <v>1195593</v>
      </c>
      <c r="M77" s="398">
        <v>0</v>
      </c>
      <c r="N77" s="398">
        <v>955593</v>
      </c>
      <c r="O77" s="398">
        <v>240000</v>
      </c>
      <c r="P77" s="248">
        <f t="shared" si="38"/>
        <v>10.494216</v>
      </c>
      <c r="Q77" s="248">
        <f t="shared" si="44"/>
        <v>18.866123000000002</v>
      </c>
      <c r="R77" s="248">
        <f t="shared" si="44"/>
        <v>1.6843459999999999</v>
      </c>
      <c r="S77" s="248">
        <f t="shared" si="44"/>
        <v>0</v>
      </c>
      <c r="T77" s="248">
        <f t="shared" si="41"/>
        <v>1.4443459999999999</v>
      </c>
      <c r="U77" s="248">
        <f t="shared" si="41"/>
        <v>0.24</v>
      </c>
      <c r="V77" s="248">
        <f t="shared" si="41"/>
        <v>0</v>
      </c>
      <c r="W77" s="248">
        <f t="shared" si="36"/>
        <v>3.4646483799999999</v>
      </c>
      <c r="X77" s="248"/>
      <c r="Y77" s="248"/>
      <c r="Z77" s="248">
        <f t="shared" si="36"/>
        <v>0.95559300000000003</v>
      </c>
      <c r="AA77" s="248">
        <f t="shared" si="36"/>
        <v>0.24</v>
      </c>
      <c r="AB77" s="248">
        <f>V77/P77%</f>
        <v>0</v>
      </c>
      <c r="AC77" s="248">
        <f t="shared" si="45"/>
        <v>18.364389864308631</v>
      </c>
      <c r="AD77" s="248"/>
      <c r="AE77" s="248"/>
      <c r="AF77" s="248">
        <f t="shared" si="46"/>
        <v>66.16094758458155</v>
      </c>
      <c r="AG77" s="249">
        <f t="shared" si="46"/>
        <v>100</v>
      </c>
      <c r="AH77" s="292"/>
    </row>
    <row r="78" spans="1:34" s="39" customFormat="1" ht="13.5" customHeight="1" x14ac:dyDescent="0.25">
      <c r="A78" s="34" t="s">
        <v>82</v>
      </c>
      <c r="B78" s="375">
        <v>6679383621.75</v>
      </c>
      <c r="C78" s="375">
        <v>1117530264.52</v>
      </c>
      <c r="D78" s="375">
        <v>4701891696.29</v>
      </c>
      <c r="E78" s="395">
        <f>F78+G78+H78-E79</f>
        <v>2825815410.0200005</v>
      </c>
      <c r="F78" s="375">
        <v>1720278185.26</v>
      </c>
      <c r="G78" s="375">
        <v>473535471.25</v>
      </c>
      <c r="H78" s="375">
        <v>901208533.47000003</v>
      </c>
      <c r="I78" s="375">
        <v>3192901403.4299998</v>
      </c>
      <c r="J78" s="375">
        <v>129935501.8</v>
      </c>
      <c r="K78" s="375">
        <v>2526460111.5700002</v>
      </c>
      <c r="L78" s="395">
        <f>M78+N78+O78-L79</f>
        <v>784616878.98000014</v>
      </c>
      <c r="M78" s="375">
        <v>546759575.62</v>
      </c>
      <c r="N78" s="375">
        <v>85327956.239999995</v>
      </c>
      <c r="O78" s="375">
        <v>164289261.80000001</v>
      </c>
      <c r="P78" s="35">
        <f t="shared" si="38"/>
        <v>6679.3836217500002</v>
      </c>
      <c r="Q78" s="35">
        <f t="shared" si="44"/>
        <v>4701.8916962900003</v>
      </c>
      <c r="R78" s="35">
        <f t="shared" si="44"/>
        <v>2825.8154100200004</v>
      </c>
      <c r="S78" s="35">
        <f t="shared" si="44"/>
        <v>1720.2781852600001</v>
      </c>
      <c r="T78" s="35">
        <f t="shared" si="41"/>
        <v>473.53547125</v>
      </c>
      <c r="U78" s="35">
        <f t="shared" si="41"/>
        <v>901.20853347000002</v>
      </c>
      <c r="V78" s="35">
        <f t="shared" si="41"/>
        <v>3192.9014034299998</v>
      </c>
      <c r="W78" s="35">
        <f t="shared" si="36"/>
        <v>2526.4601115700002</v>
      </c>
      <c r="X78" s="35">
        <f t="shared" si="36"/>
        <v>784.61687898000014</v>
      </c>
      <c r="Y78" s="35">
        <f t="shared" si="36"/>
        <v>546.75957561999996</v>
      </c>
      <c r="Z78" s="35">
        <f t="shared" si="36"/>
        <v>85.327956239999992</v>
      </c>
      <c r="AA78" s="35">
        <f t="shared" si="36"/>
        <v>164.28926180000002</v>
      </c>
      <c r="AB78" s="35">
        <f>V78/P78%</f>
        <v>47.802336027429114</v>
      </c>
      <c r="AC78" s="35">
        <f t="shared" si="45"/>
        <v>53.732843603426439</v>
      </c>
      <c r="AD78" s="35">
        <f>X78/R78%</f>
        <v>27.766034405426606</v>
      </c>
      <c r="AE78" s="35">
        <f>Y78/S78%</f>
        <v>31.783206943205155</v>
      </c>
      <c r="AF78" s="35">
        <f t="shared" si="46"/>
        <v>18.019337815340055</v>
      </c>
      <c r="AG78" s="36">
        <f t="shared" si="46"/>
        <v>18.229883062405442</v>
      </c>
      <c r="AH78" s="37"/>
    </row>
    <row r="79" spans="1:34" s="64" customFormat="1" hidden="1" x14ac:dyDescent="0.25">
      <c r="A79" s="297" t="s">
        <v>68</v>
      </c>
      <c r="B79" s="298">
        <v>49951662.109999999</v>
      </c>
      <c r="C79" s="298">
        <v>1117530264.52</v>
      </c>
      <c r="D79" s="298">
        <v>898275146.66999996</v>
      </c>
      <c r="E79" s="403">
        <f>F79+G79+H79</f>
        <v>269206779.95999998</v>
      </c>
      <c r="F79" s="298">
        <v>0</v>
      </c>
      <c r="G79" s="298">
        <v>268944679.95999998</v>
      </c>
      <c r="H79" s="298">
        <v>262100</v>
      </c>
      <c r="I79" s="298">
        <v>0</v>
      </c>
      <c r="J79" s="298">
        <v>129935501.79999998</v>
      </c>
      <c r="K79" s="298">
        <v>118175587.12000002</v>
      </c>
      <c r="L79" s="403">
        <f>M79+N79+O79</f>
        <v>11759914.68</v>
      </c>
      <c r="M79" s="298">
        <v>0</v>
      </c>
      <c r="N79" s="298">
        <v>11497814.68</v>
      </c>
      <c r="O79" s="298">
        <v>262100</v>
      </c>
      <c r="P79" s="55">
        <f t="shared" si="38"/>
        <v>49.951662110000001</v>
      </c>
      <c r="Q79" s="55">
        <f t="shared" si="44"/>
        <v>898.27514666999991</v>
      </c>
      <c r="R79" s="55"/>
      <c r="S79" s="55"/>
      <c r="T79" s="55">
        <f t="shared" si="41"/>
        <v>268.94467995999997</v>
      </c>
      <c r="U79" s="55">
        <f t="shared" si="41"/>
        <v>0.2621</v>
      </c>
      <c r="V79" s="55">
        <f t="shared" si="41"/>
        <v>0</v>
      </c>
      <c r="W79" s="55">
        <f t="shared" si="36"/>
        <v>118.17558712000002</v>
      </c>
      <c r="X79" s="55"/>
      <c r="Y79" s="55"/>
      <c r="Z79" s="55">
        <f t="shared" si="36"/>
        <v>11.497814679999999</v>
      </c>
      <c r="AA79" s="55">
        <f t="shared" si="36"/>
        <v>0.2621</v>
      </c>
      <c r="AB79" s="55">
        <f>V79/P79%</f>
        <v>0</v>
      </c>
      <c r="AC79" s="55">
        <f t="shared" si="45"/>
        <v>13.155833995640343</v>
      </c>
      <c r="AD79" s="299"/>
      <c r="AE79" s="55"/>
      <c r="AF79" s="55">
        <f t="shared" si="46"/>
        <v>4.2751597398059946</v>
      </c>
      <c r="AG79" s="252">
        <f t="shared" si="46"/>
        <v>100</v>
      </c>
      <c r="AH79" s="85"/>
    </row>
    <row r="80" spans="1:34" x14ac:dyDescent="0.25">
      <c r="A80" s="99" t="s">
        <v>83</v>
      </c>
      <c r="B80" s="98">
        <v>1359306440.71</v>
      </c>
      <c r="C80" s="98">
        <v>293539699.63999999</v>
      </c>
      <c r="D80" s="98">
        <v>693110059.00999999</v>
      </c>
      <c r="E80" s="395">
        <f>F80+G80+H80-E81</f>
        <v>954765094.34000003</v>
      </c>
      <c r="F80" s="98">
        <v>794950500.37</v>
      </c>
      <c r="G80" s="98">
        <v>51472803.109999999</v>
      </c>
      <c r="H80" s="98">
        <v>113312777.86</v>
      </c>
      <c r="I80" s="98">
        <v>441099092.92000002</v>
      </c>
      <c r="J80" s="98">
        <v>75555868.349999994</v>
      </c>
      <c r="K80" s="98">
        <v>159758781.56999999</v>
      </c>
      <c r="L80" s="395">
        <f>M80+N80+O80-L81</f>
        <v>353594909.57999992</v>
      </c>
      <c r="M80" s="98">
        <v>292877275.76999998</v>
      </c>
      <c r="N80" s="98">
        <v>19533716.09</v>
      </c>
      <c r="O80" s="98">
        <v>44485187.840000004</v>
      </c>
      <c r="P80" s="31">
        <f>B80/1000000</f>
        <v>1359.3064407100001</v>
      </c>
      <c r="Q80" s="31">
        <f t="shared" si="44"/>
        <v>693.11005900999999</v>
      </c>
      <c r="R80" s="31">
        <f>E80/1000000</f>
        <v>954.76509434000002</v>
      </c>
      <c r="S80" s="31">
        <f>F80/1000000</f>
        <v>794.95050036999999</v>
      </c>
      <c r="T80" s="31">
        <f>G80/1000000</f>
        <v>51.472803110000001</v>
      </c>
      <c r="U80" s="31">
        <f>H80/1000000</f>
        <v>113.31277786</v>
      </c>
      <c r="V80" s="31">
        <f>I80/1000000</f>
        <v>441.09909292000003</v>
      </c>
      <c r="W80" s="31">
        <f>K80/1000000</f>
        <v>159.75878157</v>
      </c>
      <c r="X80" s="31">
        <f>L80/1000000</f>
        <v>353.59490957999992</v>
      </c>
      <c r="Y80" s="31">
        <f>M80/1000000</f>
        <v>292.87727576999998</v>
      </c>
      <c r="Z80" s="31">
        <f>N80/1000000</f>
        <v>19.533716089999999</v>
      </c>
      <c r="AA80" s="31">
        <f>O80/1000000</f>
        <v>44.485187840000002</v>
      </c>
      <c r="AB80" s="31">
        <f>V80/P80%</f>
        <v>32.450305516804796</v>
      </c>
      <c r="AC80" s="31">
        <f>W80/Q80%</f>
        <v>23.049554611599575</v>
      </c>
      <c r="AD80" s="31">
        <f>X80/R80%</f>
        <v>37.034754587926081</v>
      </c>
      <c r="AE80" s="31">
        <f>Y80/S80%</f>
        <v>36.842202833218401</v>
      </c>
      <c r="AF80" s="31">
        <f t="shared" si="46"/>
        <v>37.949586791019435</v>
      </c>
      <c r="AG80" s="33">
        <f t="shared" si="46"/>
        <v>39.258756761715134</v>
      </c>
      <c r="AH80" s="30"/>
    </row>
    <row r="81" spans="1:35" s="250" customFormat="1" hidden="1" x14ac:dyDescent="0.25">
      <c r="A81" s="291" t="s">
        <v>74</v>
      </c>
      <c r="B81" s="300">
        <v>49947040.75</v>
      </c>
      <c r="C81" s="300">
        <v>293539699.63999999</v>
      </c>
      <c r="D81" s="300">
        <v>338515753.38999999</v>
      </c>
      <c r="E81" s="399">
        <f>F81+G81+H81</f>
        <v>4970987</v>
      </c>
      <c r="F81" s="300">
        <v>0</v>
      </c>
      <c r="G81" s="300">
        <v>4970987</v>
      </c>
      <c r="H81" s="300">
        <v>0</v>
      </c>
      <c r="I81" s="300">
        <v>0</v>
      </c>
      <c r="J81" s="300">
        <v>75555868.349999994</v>
      </c>
      <c r="K81" s="300">
        <v>72254598.230000004</v>
      </c>
      <c r="L81" s="399">
        <f>M81+N81+O81</f>
        <v>3301270.12</v>
      </c>
      <c r="M81" s="300">
        <v>0</v>
      </c>
      <c r="N81" s="300">
        <v>3301270.12</v>
      </c>
      <c r="O81" s="300">
        <v>0</v>
      </c>
      <c r="P81" s="248"/>
      <c r="Q81" s="248">
        <f t="shared" si="44"/>
        <v>338.51575338999999</v>
      </c>
      <c r="R81" s="248"/>
      <c r="S81" s="248"/>
      <c r="T81" s="248">
        <f t="shared" ref="T81:U87" si="47">G81/1000000</f>
        <v>4.970987</v>
      </c>
      <c r="U81" s="248">
        <f t="shared" si="47"/>
        <v>0</v>
      </c>
      <c r="V81" s="248"/>
      <c r="W81" s="248">
        <f t="shared" ref="W81:W87" si="48">K81/1000000</f>
        <v>72.254598229999999</v>
      </c>
      <c r="X81" s="248"/>
      <c r="Y81" s="248"/>
      <c r="Z81" s="248">
        <f t="shared" ref="Z81:AA87" si="49">N81/1000000</f>
        <v>3.3012701200000003</v>
      </c>
      <c r="AA81" s="248">
        <f t="shared" si="49"/>
        <v>0</v>
      </c>
      <c r="AB81" s="248"/>
      <c r="AC81" s="248">
        <f t="shared" ref="AC81:AC86" si="50">W81/Q81%</f>
        <v>21.344530500108316</v>
      </c>
      <c r="AD81" s="248"/>
      <c r="AE81" s="248"/>
      <c r="AF81" s="248">
        <f t="shared" si="46"/>
        <v>66.410757461244614</v>
      </c>
      <c r="AG81" s="249" t="e">
        <f t="shared" si="46"/>
        <v>#DIV/0!</v>
      </c>
      <c r="AH81" s="292"/>
    </row>
    <row r="82" spans="1:35" x14ac:dyDescent="0.25">
      <c r="A82" s="92" t="s">
        <v>84</v>
      </c>
      <c r="B82" s="98">
        <v>4089520484.25</v>
      </c>
      <c r="C82" s="98">
        <v>416687547.69999999</v>
      </c>
      <c r="D82" s="98">
        <v>3648592033.2800002</v>
      </c>
      <c r="E82" s="395">
        <f>F82+G82+H82-E83</f>
        <v>696629640.25000012</v>
      </c>
      <c r="F82" s="98">
        <v>117574947.81999999</v>
      </c>
      <c r="G82" s="98">
        <v>291343478.22000003</v>
      </c>
      <c r="H82" s="98">
        <v>448697572.63</v>
      </c>
      <c r="I82" s="98">
        <v>2387214134.54</v>
      </c>
      <c r="J82" s="98">
        <v>42148335.630000003</v>
      </c>
      <c r="K82" s="98">
        <v>2336597434.2800002</v>
      </c>
      <c r="L82" s="395">
        <f>M82+N82+O82-L83</f>
        <v>91224885.890000015</v>
      </c>
      <c r="M82" s="98">
        <v>20859016.07</v>
      </c>
      <c r="N82" s="98">
        <v>51409252.109999999</v>
      </c>
      <c r="O82" s="98">
        <v>20496767.710000001</v>
      </c>
      <c r="P82" s="31">
        <f>B82/1000000</f>
        <v>4089.5204842500002</v>
      </c>
      <c r="Q82" s="31">
        <f t="shared" si="44"/>
        <v>3648.5920332800001</v>
      </c>
      <c r="R82" s="31">
        <f>E82/1000000</f>
        <v>696.62964025000008</v>
      </c>
      <c r="S82" s="31">
        <f>F82/1000000</f>
        <v>117.57494781999999</v>
      </c>
      <c r="T82" s="31">
        <f t="shared" si="47"/>
        <v>291.34347822000001</v>
      </c>
      <c r="U82" s="31">
        <f t="shared" si="47"/>
        <v>448.69757262999997</v>
      </c>
      <c r="V82" s="31">
        <f>I82/1000000</f>
        <v>2387.21413454</v>
      </c>
      <c r="W82" s="31">
        <f t="shared" si="48"/>
        <v>2336.59743428</v>
      </c>
      <c r="X82" s="31">
        <f>L82/1000000</f>
        <v>91.22488589000001</v>
      </c>
      <c r="Y82" s="31">
        <f>M82/1000000</f>
        <v>20.859016069999999</v>
      </c>
      <c r="Z82" s="31">
        <f t="shared" si="49"/>
        <v>51.409252109999997</v>
      </c>
      <c r="AA82" s="31">
        <f t="shared" si="49"/>
        <v>20.49676771</v>
      </c>
      <c r="AB82" s="31">
        <f>V82/P82%</f>
        <v>58.373937573705653</v>
      </c>
      <c r="AC82" s="31">
        <f t="shared" si="50"/>
        <v>64.041071541217306</v>
      </c>
      <c r="AD82" s="31">
        <f>X82/R82%</f>
        <v>13.095177210269441</v>
      </c>
      <c r="AE82" s="31">
        <f>Y82/S82%</f>
        <v>17.741037913904812</v>
      </c>
      <c r="AF82" s="31">
        <f t="shared" si="46"/>
        <v>17.645581917292727</v>
      </c>
      <c r="AG82" s="33">
        <f t="shared" si="46"/>
        <v>4.5680585232186708</v>
      </c>
      <c r="AH82" s="30"/>
    </row>
    <row r="83" spans="1:35" s="250" customFormat="1" hidden="1" x14ac:dyDescent="0.25">
      <c r="A83" s="291" t="s">
        <v>74</v>
      </c>
      <c r="B83" s="300">
        <v>0</v>
      </c>
      <c r="C83" s="300">
        <v>416687547.69999999</v>
      </c>
      <c r="D83" s="300">
        <v>255701189.28</v>
      </c>
      <c r="E83" s="399">
        <f>F83+G83+H83</f>
        <v>160986358.41999999</v>
      </c>
      <c r="F83" s="300">
        <v>0</v>
      </c>
      <c r="G83" s="300">
        <v>160986358.41999999</v>
      </c>
      <c r="H83" s="300">
        <v>0</v>
      </c>
      <c r="I83" s="300">
        <v>0</v>
      </c>
      <c r="J83" s="300">
        <v>42148335.630000003</v>
      </c>
      <c r="K83" s="300">
        <v>40608185.630000003</v>
      </c>
      <c r="L83" s="399">
        <f>M83+N83+O83</f>
        <v>1540150</v>
      </c>
      <c r="M83" s="300">
        <v>0</v>
      </c>
      <c r="N83" s="300">
        <v>1540150</v>
      </c>
      <c r="O83" s="300">
        <v>0</v>
      </c>
      <c r="P83" s="248"/>
      <c r="Q83" s="248">
        <f t="shared" si="44"/>
        <v>255.70118927999999</v>
      </c>
      <c r="R83" s="248"/>
      <c r="S83" s="248"/>
      <c r="T83" s="248">
        <f t="shared" si="47"/>
        <v>160.98635841999999</v>
      </c>
      <c r="U83" s="248">
        <f t="shared" si="47"/>
        <v>0</v>
      </c>
      <c r="V83" s="248"/>
      <c r="W83" s="248">
        <f t="shared" si="48"/>
        <v>40.608185630000001</v>
      </c>
      <c r="X83" s="248"/>
      <c r="Y83" s="248"/>
      <c r="Z83" s="248">
        <f t="shared" si="49"/>
        <v>1.5401499999999999</v>
      </c>
      <c r="AA83" s="248">
        <f t="shared" si="49"/>
        <v>0</v>
      </c>
      <c r="AB83" s="248"/>
      <c r="AC83" s="248">
        <f t="shared" si="50"/>
        <v>15.881109409128674</v>
      </c>
      <c r="AD83" s="248"/>
      <c r="AE83" s="248"/>
      <c r="AF83" s="248">
        <f t="shared" si="46"/>
        <v>0.95669596797877543</v>
      </c>
      <c r="AG83" s="249" t="e">
        <f t="shared" si="46"/>
        <v>#DIV/0!</v>
      </c>
      <c r="AH83" s="292"/>
    </row>
    <row r="84" spans="1:35" x14ac:dyDescent="0.25">
      <c r="A84" s="92" t="s">
        <v>85</v>
      </c>
      <c r="B84" s="98">
        <v>984698219.48000002</v>
      </c>
      <c r="C84" s="98">
        <v>405992817.18000001</v>
      </c>
      <c r="D84" s="98">
        <v>304058204</v>
      </c>
      <c r="E84" s="395">
        <f>F84+G84+H84-E85</f>
        <v>984693598.12000012</v>
      </c>
      <c r="F84" s="98">
        <v>660771441.60000002</v>
      </c>
      <c r="G84" s="98">
        <v>116094787.37</v>
      </c>
      <c r="H84" s="98">
        <v>309766603.69</v>
      </c>
      <c r="I84" s="98">
        <v>249202670.80000001</v>
      </c>
      <c r="J84" s="98">
        <v>11674445.82</v>
      </c>
      <c r="K84" s="98">
        <v>5312803.26</v>
      </c>
      <c r="L84" s="395">
        <f>M84+N84+O84-L85</f>
        <v>249202670.80000001</v>
      </c>
      <c r="M84" s="98">
        <v>161527122.49000001</v>
      </c>
      <c r="N84" s="98">
        <v>7263854.0800000001</v>
      </c>
      <c r="O84" s="98">
        <v>86773336.789999992</v>
      </c>
      <c r="P84" s="31">
        <f>B84/1000000</f>
        <v>984.69821948000003</v>
      </c>
      <c r="Q84" s="31">
        <f t="shared" si="44"/>
        <v>304.05820399999999</v>
      </c>
      <c r="R84" s="31">
        <f>E84/1000000</f>
        <v>984.69359812000016</v>
      </c>
      <c r="S84" s="31">
        <f>F84/1000000</f>
        <v>660.7714416</v>
      </c>
      <c r="T84" s="31">
        <f t="shared" si="47"/>
        <v>116.09478737000001</v>
      </c>
      <c r="U84" s="31">
        <f t="shared" si="47"/>
        <v>309.76660369000001</v>
      </c>
      <c r="V84" s="31">
        <f>I84/1000000</f>
        <v>249.20267080000002</v>
      </c>
      <c r="W84" s="31">
        <f t="shared" si="48"/>
        <v>5.3128032599999999</v>
      </c>
      <c r="X84" s="31">
        <f>L84/1000000</f>
        <v>249.20267080000002</v>
      </c>
      <c r="Y84" s="31">
        <f>M84/1000000</f>
        <v>161.52712249000001</v>
      </c>
      <c r="Z84" s="31">
        <f t="shared" si="49"/>
        <v>7.2638540799999998</v>
      </c>
      <c r="AA84" s="31">
        <f t="shared" si="49"/>
        <v>86.773336789999988</v>
      </c>
      <c r="AB84" s="31">
        <f>V84/P84%</f>
        <v>25.307517152981053</v>
      </c>
      <c r="AC84" s="31">
        <f t="shared" si="50"/>
        <v>1.7472981126995015</v>
      </c>
      <c r="AD84" s="31">
        <f>X84/R84%</f>
        <v>25.307635926117886</v>
      </c>
      <c r="AE84" s="31">
        <f>Y84/S84%</f>
        <v>24.445233604357394</v>
      </c>
      <c r="AF84" s="31">
        <f t="shared" si="46"/>
        <v>6.256830512854747</v>
      </c>
      <c r="AG84" s="33">
        <f t="shared" si="46"/>
        <v>28.012489324652538</v>
      </c>
      <c r="AH84" s="30"/>
    </row>
    <row r="85" spans="1:35" s="250" customFormat="1" hidden="1" x14ac:dyDescent="0.25">
      <c r="A85" s="291" t="s">
        <v>74</v>
      </c>
      <c r="B85" s="300">
        <v>4621.3599999999997</v>
      </c>
      <c r="C85" s="300">
        <v>405992817.18000001</v>
      </c>
      <c r="D85" s="300">
        <v>304058204</v>
      </c>
      <c r="E85" s="403">
        <f>F85+G85+H85</f>
        <v>101939234.54000001</v>
      </c>
      <c r="F85" s="300">
        <v>0</v>
      </c>
      <c r="G85" s="300">
        <v>101677134.54000001</v>
      </c>
      <c r="H85" s="300">
        <v>262100</v>
      </c>
      <c r="I85" s="300">
        <v>0</v>
      </c>
      <c r="J85" s="300">
        <v>11674445.82</v>
      </c>
      <c r="K85" s="300">
        <v>5312803.26</v>
      </c>
      <c r="L85" s="403">
        <f>M85+N85+O85</f>
        <v>6361642.5599999996</v>
      </c>
      <c r="M85" s="300">
        <v>0</v>
      </c>
      <c r="N85" s="300">
        <v>6099542.5599999996</v>
      </c>
      <c r="O85" s="300">
        <v>262100</v>
      </c>
      <c r="P85" s="248"/>
      <c r="Q85" s="248">
        <f t="shared" si="44"/>
        <v>304.05820399999999</v>
      </c>
      <c r="R85" s="248"/>
      <c r="S85" s="248"/>
      <c r="T85" s="248">
        <f t="shared" si="47"/>
        <v>101.67713454000001</v>
      </c>
      <c r="U85" s="248">
        <f t="shared" si="47"/>
        <v>0.2621</v>
      </c>
      <c r="V85" s="248"/>
      <c r="W85" s="248">
        <f t="shared" si="48"/>
        <v>5.3128032599999999</v>
      </c>
      <c r="X85" s="248"/>
      <c r="Y85" s="248"/>
      <c r="Z85" s="248">
        <f t="shared" si="49"/>
        <v>6.0995425599999997</v>
      </c>
      <c r="AA85" s="248">
        <f t="shared" si="49"/>
        <v>0.2621</v>
      </c>
      <c r="AB85" s="248"/>
      <c r="AC85" s="248">
        <f t="shared" si="50"/>
        <v>1.7472981126995015</v>
      </c>
      <c r="AD85" s="248"/>
      <c r="AE85" s="248"/>
      <c r="AF85" s="248">
        <f t="shared" si="46"/>
        <v>5.9989323928089524</v>
      </c>
      <c r="AG85" s="249">
        <f t="shared" si="46"/>
        <v>100</v>
      </c>
      <c r="AH85" s="292"/>
    </row>
    <row r="86" spans="1:35" ht="26.4" x14ac:dyDescent="0.25">
      <c r="A86" s="92" t="s">
        <v>86</v>
      </c>
      <c r="B86" s="98">
        <v>245858477.31</v>
      </c>
      <c r="C86" s="98">
        <v>1310200</v>
      </c>
      <c r="D86" s="98">
        <v>56131400</v>
      </c>
      <c r="E86" s="395">
        <f>F86+G86+H86-E87</f>
        <v>189727077.31</v>
      </c>
      <c r="F86" s="98">
        <v>146981295.47</v>
      </c>
      <c r="G86" s="98">
        <v>14624402.550000001</v>
      </c>
      <c r="H86" s="98">
        <v>29431579.289999999</v>
      </c>
      <c r="I86" s="98">
        <v>115385505.17</v>
      </c>
      <c r="J86" s="98">
        <v>556852</v>
      </c>
      <c r="K86" s="98">
        <v>24791092.460000001</v>
      </c>
      <c r="L86" s="395">
        <f>M86+N86+O86-L87</f>
        <v>90594412.710000008</v>
      </c>
      <c r="M86" s="98">
        <v>71496161.290000007</v>
      </c>
      <c r="N86" s="98">
        <v>7121133.96</v>
      </c>
      <c r="O86" s="98">
        <v>12533969.460000001</v>
      </c>
      <c r="P86" s="31">
        <f>B86/1000000</f>
        <v>245.85847731000001</v>
      </c>
      <c r="Q86" s="31">
        <f t="shared" si="44"/>
        <v>56.131399999999999</v>
      </c>
      <c r="R86" s="31">
        <f>E86/1000000</f>
        <v>189.72707731</v>
      </c>
      <c r="S86" s="31">
        <f>F86/1000000</f>
        <v>146.98129546999999</v>
      </c>
      <c r="T86" s="31">
        <f t="shared" si="47"/>
        <v>14.624402550000001</v>
      </c>
      <c r="U86" s="31">
        <f t="shared" si="47"/>
        <v>29.431579289999998</v>
      </c>
      <c r="V86" s="31">
        <f>I86/1000000</f>
        <v>115.38550517</v>
      </c>
      <c r="W86" s="31">
        <f t="shared" si="48"/>
        <v>24.791092460000002</v>
      </c>
      <c r="X86" s="31">
        <f>L86/1000000</f>
        <v>90.594412710000014</v>
      </c>
      <c r="Y86" s="31">
        <f>M86/1000000</f>
        <v>71.496161290000003</v>
      </c>
      <c r="Z86" s="31">
        <f t="shared" si="49"/>
        <v>7.1211339599999999</v>
      </c>
      <c r="AA86" s="31">
        <f t="shared" si="49"/>
        <v>12.533969460000002</v>
      </c>
      <c r="AB86" s="31">
        <f>V86/P86%</f>
        <v>46.931676480088093</v>
      </c>
      <c r="AC86" s="31">
        <f t="shared" si="50"/>
        <v>44.166175188931689</v>
      </c>
      <c r="AD86" s="31">
        <f>X86/R86%</f>
        <v>47.749859426746688</v>
      </c>
      <c r="AE86" s="31">
        <f>Y86/S86%</f>
        <v>48.643033837317702</v>
      </c>
      <c r="AF86" s="31">
        <f t="shared" si="46"/>
        <v>48.69350344845369</v>
      </c>
      <c r="AG86" s="33">
        <f t="shared" si="46"/>
        <v>42.586805609370352</v>
      </c>
      <c r="AH86" s="30"/>
    </row>
    <row r="87" spans="1:35" s="250" customFormat="1" hidden="1" x14ac:dyDescent="0.25">
      <c r="A87" s="291" t="s">
        <v>74</v>
      </c>
      <c r="B87" s="300">
        <v>0</v>
      </c>
      <c r="C87" s="300">
        <v>1310200</v>
      </c>
      <c r="D87" s="300">
        <v>0</v>
      </c>
      <c r="E87" s="403">
        <f>F87+G87+H87</f>
        <v>1310200</v>
      </c>
      <c r="F87" s="300">
        <v>0</v>
      </c>
      <c r="G87" s="300">
        <v>1310200</v>
      </c>
      <c r="H87" s="300">
        <v>0</v>
      </c>
      <c r="I87" s="300">
        <v>0</v>
      </c>
      <c r="J87" s="300">
        <v>556852</v>
      </c>
      <c r="K87" s="300">
        <v>0</v>
      </c>
      <c r="L87" s="403">
        <f>M87+N87+O87</f>
        <v>556852</v>
      </c>
      <c r="M87" s="300">
        <v>0</v>
      </c>
      <c r="N87" s="300">
        <v>556852</v>
      </c>
      <c r="O87" s="300">
        <v>0</v>
      </c>
      <c r="P87" s="248"/>
      <c r="Q87" s="248">
        <f t="shared" si="44"/>
        <v>0</v>
      </c>
      <c r="R87" s="248"/>
      <c r="S87" s="248"/>
      <c r="T87" s="248">
        <f t="shared" si="47"/>
        <v>1.3102</v>
      </c>
      <c r="U87" s="248">
        <f t="shared" si="47"/>
        <v>0</v>
      </c>
      <c r="V87" s="248"/>
      <c r="W87" s="248">
        <f t="shared" si="48"/>
        <v>0</v>
      </c>
      <c r="X87" s="248"/>
      <c r="Y87" s="248"/>
      <c r="Z87" s="248">
        <f t="shared" si="49"/>
        <v>0.55685200000000001</v>
      </c>
      <c r="AA87" s="248">
        <f t="shared" si="49"/>
        <v>0</v>
      </c>
      <c r="AB87" s="248"/>
      <c r="AC87" s="248"/>
      <c r="AD87" s="248"/>
      <c r="AE87" s="248"/>
      <c r="AF87" s="55"/>
      <c r="AG87" s="252" t="e">
        <f t="shared" si="46"/>
        <v>#DIV/0!</v>
      </c>
      <c r="AH87" s="85"/>
    </row>
    <row r="88" spans="1:35" s="39" customFormat="1" x14ac:dyDescent="0.25">
      <c r="A88" s="91" t="s">
        <v>87</v>
      </c>
      <c r="B88" s="375">
        <v>62065416.960000001</v>
      </c>
      <c r="C88" s="375">
        <v>0</v>
      </c>
      <c r="D88" s="375">
        <v>59159204</v>
      </c>
      <c r="E88" s="395">
        <f>F88+G88+H88-E89</f>
        <v>2906212.96</v>
      </c>
      <c r="F88" s="375">
        <v>2377712.96</v>
      </c>
      <c r="G88" s="375">
        <v>528500</v>
      </c>
      <c r="H88" s="375">
        <v>0</v>
      </c>
      <c r="I88" s="375">
        <v>25827403.73</v>
      </c>
      <c r="J88" s="375">
        <v>0</v>
      </c>
      <c r="K88" s="375">
        <v>25493437.989999998</v>
      </c>
      <c r="L88" s="395">
        <f>M88+N88+O88-L89</f>
        <v>333965.74</v>
      </c>
      <c r="M88" s="375">
        <v>264603.18</v>
      </c>
      <c r="N88" s="375">
        <v>69362.559999999998</v>
      </c>
      <c r="O88" s="375">
        <v>0</v>
      </c>
      <c r="P88" s="35">
        <f t="shared" si="38"/>
        <v>62.06541696</v>
      </c>
      <c r="Q88" s="35">
        <f t="shared" si="44"/>
        <v>59.159204000000003</v>
      </c>
      <c r="R88" s="35">
        <f>E88/1000000</f>
        <v>2.90621296</v>
      </c>
      <c r="S88" s="35">
        <f>F88/1000000</f>
        <v>2.3777129599999998</v>
      </c>
      <c r="T88" s="35">
        <f t="shared" si="41"/>
        <v>0.52849999999999997</v>
      </c>
      <c r="U88" s="35">
        <f t="shared" si="41"/>
        <v>0</v>
      </c>
      <c r="V88" s="35">
        <f t="shared" si="41"/>
        <v>25.82740373</v>
      </c>
      <c r="W88" s="35">
        <f t="shared" si="36"/>
        <v>25.493437989999997</v>
      </c>
      <c r="X88" s="35">
        <f>L88/1000000</f>
        <v>0.33396574000000001</v>
      </c>
      <c r="Y88" s="35">
        <f>M88/1000000</f>
        <v>0.26460317999999999</v>
      </c>
      <c r="Z88" s="35">
        <f t="shared" si="36"/>
        <v>6.9362560000000004E-2</v>
      </c>
      <c r="AA88" s="35">
        <f t="shared" si="36"/>
        <v>0</v>
      </c>
      <c r="AB88" s="35">
        <f>V88/P88%</f>
        <v>41.613196196917968</v>
      </c>
      <c r="AC88" s="35">
        <f t="shared" si="45"/>
        <v>43.092936121993795</v>
      </c>
      <c r="AD88" s="35">
        <f>X88/R88%</f>
        <v>11.491440737364272</v>
      </c>
      <c r="AE88" s="35">
        <f>Y88/S88%</f>
        <v>11.128474481629608</v>
      </c>
      <c r="AF88" s="35">
        <f>Z88/T88%</f>
        <v>13.124420056764428</v>
      </c>
      <c r="AG88" s="100" t="s">
        <v>31</v>
      </c>
      <c r="AH88" s="37"/>
    </row>
    <row r="89" spans="1:35" s="250" customFormat="1" hidden="1" x14ac:dyDescent="0.25">
      <c r="A89" s="291" t="s">
        <v>68</v>
      </c>
      <c r="B89" s="300"/>
      <c r="C89" s="300"/>
      <c r="D89" s="300"/>
      <c r="E89" s="399">
        <f>F89+G89+H89</f>
        <v>0</v>
      </c>
      <c r="F89" s="300"/>
      <c r="G89" s="300"/>
      <c r="H89" s="300"/>
      <c r="I89" s="300"/>
      <c r="J89" s="300"/>
      <c r="K89" s="300"/>
      <c r="L89" s="399">
        <f>M89+N89+O89</f>
        <v>0</v>
      </c>
      <c r="M89" s="300"/>
      <c r="N89" s="300"/>
      <c r="O89" s="300"/>
      <c r="P89" s="248"/>
      <c r="Q89" s="248">
        <f t="shared" si="44"/>
        <v>0</v>
      </c>
      <c r="R89" s="248"/>
      <c r="S89" s="248"/>
      <c r="T89" s="248">
        <f t="shared" si="41"/>
        <v>0</v>
      </c>
      <c r="U89" s="248"/>
      <c r="V89" s="248"/>
      <c r="W89" s="248">
        <f t="shared" si="36"/>
        <v>0</v>
      </c>
      <c r="X89" s="248"/>
      <c r="Y89" s="248"/>
      <c r="Z89" s="248">
        <f t="shared" si="36"/>
        <v>0</v>
      </c>
      <c r="AA89" s="248"/>
      <c r="AB89" s="248"/>
      <c r="AC89" s="248"/>
      <c r="AD89" s="294"/>
      <c r="AE89" s="294"/>
      <c r="AF89" s="248" t="e">
        <f t="shared" ref="AF89:AG107" si="51">Z89/T89%</f>
        <v>#DIV/0!</v>
      </c>
      <c r="AG89" s="301"/>
      <c r="AH89" s="302"/>
    </row>
    <row r="90" spans="1:35" s="39" customFormat="1" x14ac:dyDescent="0.25">
      <c r="A90" s="91" t="s">
        <v>360</v>
      </c>
      <c r="B90" s="375">
        <v>28552080501.619999</v>
      </c>
      <c r="C90" s="375">
        <v>14385342978.32</v>
      </c>
      <c r="D90" s="375">
        <v>20279601810.139999</v>
      </c>
      <c r="E90" s="395">
        <f>F90+G90+H90-E91</f>
        <v>22657160769.799999</v>
      </c>
      <c r="F90" s="375">
        <v>12517526596.41</v>
      </c>
      <c r="G90" s="375">
        <v>10137926544.41</v>
      </c>
      <c r="H90" s="375">
        <v>2368528.98</v>
      </c>
      <c r="I90" s="375">
        <v>15577247893.139999</v>
      </c>
      <c r="J90" s="375">
        <v>8208502662.3199997</v>
      </c>
      <c r="K90" s="375">
        <v>11138749928.01</v>
      </c>
      <c r="L90" s="395">
        <f>M90+N90+O90-L91</f>
        <v>12646545627.449999</v>
      </c>
      <c r="M90" s="375">
        <v>6921812613.4899998</v>
      </c>
      <c r="N90" s="375">
        <v>5724393869.7399998</v>
      </c>
      <c r="O90" s="375">
        <v>794144.22</v>
      </c>
      <c r="P90" s="35">
        <f t="shared" si="38"/>
        <v>28552.080501619999</v>
      </c>
      <c r="Q90" s="35">
        <f t="shared" si="44"/>
        <v>20279.60181014</v>
      </c>
      <c r="R90" s="35">
        <f>E90/1000000</f>
        <v>22657.160769800001</v>
      </c>
      <c r="S90" s="35">
        <f>F90/1000000</f>
        <v>12517.52659641</v>
      </c>
      <c r="T90" s="35">
        <f t="shared" si="41"/>
        <v>10137.92654441</v>
      </c>
      <c r="U90" s="35">
        <f t="shared" si="41"/>
        <v>2.3685289799999998</v>
      </c>
      <c r="V90" s="35">
        <f t="shared" si="41"/>
        <v>15577.24789314</v>
      </c>
      <c r="W90" s="35">
        <f t="shared" si="36"/>
        <v>11138.74992801</v>
      </c>
      <c r="X90" s="35">
        <f>L90/1000000</f>
        <v>12646.545627449999</v>
      </c>
      <c r="Y90" s="35">
        <f>M90/1000000</f>
        <v>6921.8126134899994</v>
      </c>
      <c r="Z90" s="35">
        <f t="shared" si="36"/>
        <v>5724.3938697399999</v>
      </c>
      <c r="AA90" s="35">
        <f t="shared" si="36"/>
        <v>0.79414421999999996</v>
      </c>
      <c r="AB90" s="35">
        <f t="shared" ref="AB90:AB122" si="52">V90/P90%</f>
        <v>54.557312880426252</v>
      </c>
      <c r="AC90" s="35">
        <f t="shared" si="45"/>
        <v>54.925880854527016</v>
      </c>
      <c r="AD90" s="35">
        <f>X90/R90%</f>
        <v>55.816992058010776</v>
      </c>
      <c r="AE90" s="35">
        <f>Y90/S90%</f>
        <v>55.296967497358153</v>
      </c>
      <c r="AF90" s="35">
        <f t="shared" si="51"/>
        <v>56.465134607790198</v>
      </c>
      <c r="AG90" s="36">
        <f>AA90/U90%</f>
        <v>33.529005838889923</v>
      </c>
      <c r="AH90" s="37"/>
      <c r="AI90" s="59">
        <f>V90/V130%</f>
        <v>36.462686097858246</v>
      </c>
    </row>
    <row r="91" spans="1:35" s="250" customFormat="1" hidden="1" x14ac:dyDescent="0.25">
      <c r="A91" s="291" t="s">
        <v>68</v>
      </c>
      <c r="B91" s="300">
        <v>293539457.69999999</v>
      </c>
      <c r="C91" s="300">
        <v>14385342978.32</v>
      </c>
      <c r="D91" s="300">
        <v>14678221536.02</v>
      </c>
      <c r="E91" s="399">
        <f>F91+G91+H91</f>
        <v>660900</v>
      </c>
      <c r="F91" s="300">
        <v>0</v>
      </c>
      <c r="G91" s="300">
        <v>606900</v>
      </c>
      <c r="H91" s="300">
        <v>54000</v>
      </c>
      <c r="I91" s="300">
        <v>64200</v>
      </c>
      <c r="J91" s="300">
        <v>8208502662.3200006</v>
      </c>
      <c r="K91" s="300">
        <v>8208111862.3200006</v>
      </c>
      <c r="L91" s="399">
        <f>M91+N91+O91</f>
        <v>455000</v>
      </c>
      <c r="M91" s="300">
        <v>0</v>
      </c>
      <c r="N91" s="300">
        <v>414000</v>
      </c>
      <c r="O91" s="300">
        <v>41000</v>
      </c>
      <c r="P91" s="248">
        <f t="shared" si="38"/>
        <v>293.53945770000001</v>
      </c>
      <c r="Q91" s="248">
        <f t="shared" si="44"/>
        <v>14678.221536020001</v>
      </c>
      <c r="R91" s="294"/>
      <c r="S91" s="248"/>
      <c r="T91" s="248">
        <f t="shared" si="41"/>
        <v>0.6069</v>
      </c>
      <c r="U91" s="248">
        <f t="shared" si="41"/>
        <v>5.3999999999999999E-2</v>
      </c>
      <c r="V91" s="248">
        <f t="shared" si="41"/>
        <v>6.4199999999999993E-2</v>
      </c>
      <c r="W91" s="248">
        <f t="shared" si="36"/>
        <v>8208.11186232</v>
      </c>
      <c r="X91" s="248"/>
      <c r="Y91" s="248"/>
      <c r="Z91" s="248">
        <f t="shared" si="36"/>
        <v>0.41399999999999998</v>
      </c>
      <c r="AA91" s="248">
        <f t="shared" si="36"/>
        <v>4.1000000000000002E-2</v>
      </c>
      <c r="AB91" s="248">
        <f t="shared" si="52"/>
        <v>2.1870994960279912E-2</v>
      </c>
      <c r="AC91" s="248">
        <f t="shared" si="45"/>
        <v>55.920343225352553</v>
      </c>
      <c r="AD91" s="248"/>
      <c r="AE91" s="248"/>
      <c r="AF91" s="248">
        <f t="shared" si="51"/>
        <v>68.21552150271873</v>
      </c>
      <c r="AG91" s="301"/>
      <c r="AH91" s="302"/>
    </row>
    <row r="92" spans="1:35" x14ac:dyDescent="0.25">
      <c r="A92" s="92" t="s">
        <v>351</v>
      </c>
      <c r="B92" s="303">
        <v>8947241291.1000004</v>
      </c>
      <c r="C92" s="303">
        <v>791311373.85000002</v>
      </c>
      <c r="D92" s="303">
        <v>806818773.85000002</v>
      </c>
      <c r="E92" s="395">
        <f>F92+G92+H92-E93</f>
        <v>8931733891.1000004</v>
      </c>
      <c r="F92" s="303">
        <v>5894407046.1700001</v>
      </c>
      <c r="G92" s="303">
        <v>3037204144.9299998</v>
      </c>
      <c r="H92" s="303">
        <v>122700</v>
      </c>
      <c r="I92" s="303">
        <v>4698771252.9700003</v>
      </c>
      <c r="J92" s="303">
        <v>3037020.08</v>
      </c>
      <c r="K92" s="303">
        <v>8742320.0800000001</v>
      </c>
      <c r="L92" s="395">
        <f>M92+N92+O92-L93</f>
        <v>4693065952.9700003</v>
      </c>
      <c r="M92" s="303">
        <v>3089690087.3200002</v>
      </c>
      <c r="N92" s="303">
        <v>1603353165.6500001</v>
      </c>
      <c r="O92" s="303">
        <v>22700</v>
      </c>
      <c r="P92" s="31">
        <f t="shared" ref="P92:P97" si="53">B92/1000000</f>
        <v>8947.241291100001</v>
      </c>
      <c r="Q92" s="31">
        <f t="shared" ref="Q92:Q97" si="54">D92/1000000</f>
        <v>806.81877385000007</v>
      </c>
      <c r="R92" s="31">
        <f>E92/1000000</f>
        <v>8931.7338911000006</v>
      </c>
      <c r="S92" s="31">
        <f>F92/1000000</f>
        <v>5894.4070461700003</v>
      </c>
      <c r="T92" s="31">
        <f t="shared" ref="T92:T97" si="55">G92/1000000</f>
        <v>3037.20414493</v>
      </c>
      <c r="U92" s="31">
        <f t="shared" ref="U92:U97" si="56">H92/1000000</f>
        <v>0.1227</v>
      </c>
      <c r="V92" s="31">
        <f t="shared" ref="V92:V97" si="57">I92/1000000</f>
        <v>4698.7712529700002</v>
      </c>
      <c r="W92" s="31">
        <f t="shared" ref="W92:W97" si="58">K92/1000000</f>
        <v>8.7423200800000007</v>
      </c>
      <c r="X92" s="31">
        <f>L92/1000000</f>
        <v>4693.0659529700006</v>
      </c>
      <c r="Y92" s="31">
        <f>M92/1000000</f>
        <v>3089.6900873200002</v>
      </c>
      <c r="Z92" s="31">
        <f t="shared" ref="Z92:Z97" si="59">N92/1000000</f>
        <v>1603.3531656500002</v>
      </c>
      <c r="AA92" s="31">
        <f t="shared" ref="AA92:AA97" si="60">O92/1000000</f>
        <v>2.2700000000000001E-2</v>
      </c>
      <c r="AB92" s="31">
        <f t="shared" ref="AB92:AB97" si="61">V92/P92%</f>
        <v>52.516424896732822</v>
      </c>
      <c r="AC92" s="31">
        <f t="shared" ref="AC92:AC97" si="62">W92/Q92%</f>
        <v>1.0835543697481351</v>
      </c>
      <c r="AD92" s="31">
        <f>X92/R92%</f>
        <v>52.543727905355439</v>
      </c>
      <c r="AE92" s="31">
        <f>Y92/S92%</f>
        <v>52.417318029089685</v>
      </c>
      <c r="AF92" s="31">
        <f t="shared" ref="AF92:AF97" si="63">Z92/T92%</f>
        <v>52.790431236783178</v>
      </c>
      <c r="AG92" s="33">
        <f>AA92/U92%</f>
        <v>18.500407497962509</v>
      </c>
      <c r="AH92" s="37"/>
    </row>
    <row r="93" spans="1:35" s="250" customFormat="1" hidden="1" x14ac:dyDescent="0.25">
      <c r="A93" s="247" t="s">
        <v>74</v>
      </c>
      <c r="B93" s="300">
        <v>1800000</v>
      </c>
      <c r="C93" s="300">
        <v>791311373.85000002</v>
      </c>
      <c r="D93" s="300">
        <v>793111373.85000002</v>
      </c>
      <c r="E93" s="399">
        <f>F93+G93+H93</f>
        <v>0</v>
      </c>
      <c r="F93" s="300">
        <v>0</v>
      </c>
      <c r="G93" s="300">
        <v>0</v>
      </c>
      <c r="H93" s="300">
        <v>0</v>
      </c>
      <c r="I93" s="300">
        <v>0</v>
      </c>
      <c r="J93" s="300">
        <v>3037020.08</v>
      </c>
      <c r="K93" s="300">
        <v>3037020.08</v>
      </c>
      <c r="L93" s="399">
        <f>M93+N93+O93</f>
        <v>0</v>
      </c>
      <c r="M93" s="300">
        <v>0</v>
      </c>
      <c r="N93" s="300">
        <v>0</v>
      </c>
      <c r="O93" s="300">
        <v>0</v>
      </c>
      <c r="P93" s="248">
        <f t="shared" si="53"/>
        <v>1.8</v>
      </c>
      <c r="Q93" s="248">
        <f t="shared" si="54"/>
        <v>793.11137385000006</v>
      </c>
      <c r="R93" s="248"/>
      <c r="S93" s="248"/>
      <c r="T93" s="248">
        <f t="shared" si="55"/>
        <v>0</v>
      </c>
      <c r="U93" s="248">
        <f t="shared" si="56"/>
        <v>0</v>
      </c>
      <c r="V93" s="248">
        <f t="shared" si="57"/>
        <v>0</v>
      </c>
      <c r="W93" s="248">
        <f t="shared" si="58"/>
        <v>3.03702008</v>
      </c>
      <c r="X93" s="248"/>
      <c r="Y93" s="248"/>
      <c r="Z93" s="248">
        <f t="shared" si="59"/>
        <v>0</v>
      </c>
      <c r="AA93" s="248">
        <f t="shared" si="60"/>
        <v>0</v>
      </c>
      <c r="AB93" s="248">
        <f t="shared" si="61"/>
        <v>0</v>
      </c>
      <c r="AC93" s="248">
        <f t="shared" si="62"/>
        <v>0.38292479217104092</v>
      </c>
      <c r="AD93" s="248"/>
      <c r="AE93" s="248"/>
      <c r="AF93" s="248" t="e">
        <f t="shared" si="63"/>
        <v>#DIV/0!</v>
      </c>
      <c r="AG93" s="249"/>
      <c r="AH93" s="302"/>
    </row>
    <row r="94" spans="1:35" x14ac:dyDescent="0.25">
      <c r="A94" s="92" t="s">
        <v>352</v>
      </c>
      <c r="B94" s="303">
        <v>13418972380.370001</v>
      </c>
      <c r="C94" s="303">
        <v>13018658585.92</v>
      </c>
      <c r="D94" s="303">
        <v>15400780106.780001</v>
      </c>
      <c r="E94" s="395">
        <f>F94+G94+H94-E95</f>
        <v>11036850859.51</v>
      </c>
      <c r="F94" s="303">
        <v>4929051382.9200001</v>
      </c>
      <c r="G94" s="303">
        <v>6107799476.5900002</v>
      </c>
      <c r="H94" s="303">
        <v>0</v>
      </c>
      <c r="I94" s="303">
        <v>7570184207.7399998</v>
      </c>
      <c r="J94" s="303">
        <v>7853468217.5900002</v>
      </c>
      <c r="K94" s="303">
        <v>8948382972.5900002</v>
      </c>
      <c r="L94" s="395">
        <f>M94+N94+O94-L95</f>
        <v>6475269452.7399998</v>
      </c>
      <c r="M94" s="303">
        <v>2907519126.9699998</v>
      </c>
      <c r="N94" s="303">
        <v>3567750325.77</v>
      </c>
      <c r="O94" s="303">
        <v>0</v>
      </c>
      <c r="P94" s="31">
        <f t="shared" si="53"/>
        <v>13418.972380370002</v>
      </c>
      <c r="Q94" s="31">
        <f t="shared" si="54"/>
        <v>15400.780106780001</v>
      </c>
      <c r="R94" s="31">
        <f>E94/1000000</f>
        <v>11036.850859510001</v>
      </c>
      <c r="S94" s="31">
        <f>F94/1000000</f>
        <v>4929.0513829199999</v>
      </c>
      <c r="T94" s="31">
        <f t="shared" si="55"/>
        <v>6107.7994765900003</v>
      </c>
      <c r="U94" s="31">
        <f t="shared" si="56"/>
        <v>0</v>
      </c>
      <c r="V94" s="31">
        <f t="shared" si="57"/>
        <v>7570.1842077399997</v>
      </c>
      <c r="W94" s="31">
        <f t="shared" si="58"/>
        <v>8948.3829725899996</v>
      </c>
      <c r="X94" s="31">
        <f>L94/1000000</f>
        <v>6475.2694527399999</v>
      </c>
      <c r="Y94" s="31">
        <f>M94/1000000</f>
        <v>2907.5191269699999</v>
      </c>
      <c r="Z94" s="31">
        <f t="shared" si="59"/>
        <v>3567.75032577</v>
      </c>
      <c r="AA94" s="31">
        <f t="shared" si="60"/>
        <v>0</v>
      </c>
      <c r="AB94" s="31">
        <f t="shared" si="61"/>
        <v>56.414038222584573</v>
      </c>
      <c r="AC94" s="31">
        <f t="shared" si="62"/>
        <v>58.103439634532442</v>
      </c>
      <c r="AD94" s="31">
        <f>X94/R94%</f>
        <v>58.669538396095355</v>
      </c>
      <c r="AE94" s="31">
        <f>Y94/S94%</f>
        <v>58.987397393442627</v>
      </c>
      <c r="AF94" s="31">
        <f t="shared" si="63"/>
        <v>58.413023208186331</v>
      </c>
      <c r="AG94" s="100" t="s">
        <v>31</v>
      </c>
      <c r="AH94" s="37"/>
    </row>
    <row r="95" spans="1:35" s="250" customFormat="1" hidden="1" x14ac:dyDescent="0.25">
      <c r="A95" s="247" t="s">
        <v>74</v>
      </c>
      <c r="B95" s="300">
        <v>264932553.59999999</v>
      </c>
      <c r="C95" s="300">
        <v>13018658585.92</v>
      </c>
      <c r="D95" s="300">
        <v>13283591139.52</v>
      </c>
      <c r="E95" s="399">
        <f>F95+G95+H95</f>
        <v>0</v>
      </c>
      <c r="F95" s="300">
        <v>0</v>
      </c>
      <c r="G95" s="300">
        <v>0</v>
      </c>
      <c r="H95" s="300">
        <v>0</v>
      </c>
      <c r="I95" s="300">
        <v>0</v>
      </c>
      <c r="J95" s="300">
        <v>7853468217.5900002</v>
      </c>
      <c r="K95" s="300">
        <v>7853468217.5900002</v>
      </c>
      <c r="L95" s="399">
        <f>M95+N95+O95</f>
        <v>0</v>
      </c>
      <c r="M95" s="300">
        <v>0</v>
      </c>
      <c r="N95" s="300">
        <v>0</v>
      </c>
      <c r="O95" s="300">
        <v>0</v>
      </c>
      <c r="P95" s="248">
        <f t="shared" si="53"/>
        <v>264.93255360000001</v>
      </c>
      <c r="Q95" s="248">
        <f t="shared" si="54"/>
        <v>13283.59113952</v>
      </c>
      <c r="R95" s="248"/>
      <c r="S95" s="248"/>
      <c r="T95" s="248">
        <f t="shared" si="55"/>
        <v>0</v>
      </c>
      <c r="U95" s="248">
        <f t="shared" si="56"/>
        <v>0</v>
      </c>
      <c r="V95" s="248">
        <f t="shared" si="57"/>
        <v>0</v>
      </c>
      <c r="W95" s="248">
        <f t="shared" si="58"/>
        <v>7853.4682175899998</v>
      </c>
      <c r="X95" s="248"/>
      <c r="Y95" s="248"/>
      <c r="Z95" s="248">
        <f t="shared" si="59"/>
        <v>0</v>
      </c>
      <c r="AA95" s="248">
        <f t="shared" si="60"/>
        <v>0</v>
      </c>
      <c r="AB95" s="248">
        <f t="shared" si="61"/>
        <v>0</v>
      </c>
      <c r="AC95" s="248">
        <f t="shared" si="62"/>
        <v>59.12157439282479</v>
      </c>
      <c r="AD95" s="248"/>
      <c r="AE95" s="248"/>
      <c r="AF95" s="248" t="e">
        <f t="shared" si="63"/>
        <v>#DIV/0!</v>
      </c>
      <c r="AG95" s="249"/>
      <c r="AH95" s="302"/>
    </row>
    <row r="96" spans="1:35" x14ac:dyDescent="0.25">
      <c r="A96" s="92" t="s">
        <v>353</v>
      </c>
      <c r="B96" s="303">
        <v>2208223428.0900002</v>
      </c>
      <c r="C96" s="303">
        <v>44421518.549999997</v>
      </c>
      <c r="D96" s="303">
        <v>201624322.65000001</v>
      </c>
      <c r="E96" s="395">
        <f>F96+G96+H96-E97</f>
        <v>2051020623.99</v>
      </c>
      <c r="F96" s="303">
        <v>1306600943.97</v>
      </c>
      <c r="G96" s="303">
        <v>744419680.01999998</v>
      </c>
      <c r="H96" s="303">
        <v>0</v>
      </c>
      <c r="I96" s="303">
        <v>1256164473.5699999</v>
      </c>
      <c r="J96" s="303">
        <v>26464205.510000002</v>
      </c>
      <c r="K96" s="303">
        <v>113631194.51000001</v>
      </c>
      <c r="L96" s="395">
        <f>M96+N96+O96-L97</f>
        <v>1168997484.5699999</v>
      </c>
      <c r="M96" s="303">
        <v>750444646.11000001</v>
      </c>
      <c r="N96" s="303">
        <v>418552838.45999998</v>
      </c>
      <c r="O96" s="303">
        <v>0</v>
      </c>
      <c r="P96" s="31">
        <f t="shared" si="53"/>
        <v>2208.2234280900002</v>
      </c>
      <c r="Q96" s="31">
        <f t="shared" si="54"/>
        <v>201.62432265000001</v>
      </c>
      <c r="R96" s="31">
        <f>E96/1000000</f>
        <v>2051.0206239899999</v>
      </c>
      <c r="S96" s="31">
        <f>F96/1000000</f>
        <v>1306.6009439700001</v>
      </c>
      <c r="T96" s="31">
        <f t="shared" si="55"/>
        <v>744.41968001999999</v>
      </c>
      <c r="U96" s="31">
        <f t="shared" si="56"/>
        <v>0</v>
      </c>
      <c r="V96" s="31">
        <f t="shared" si="57"/>
        <v>1256.1644735699999</v>
      </c>
      <c r="W96" s="31">
        <f t="shared" si="58"/>
        <v>113.63119451</v>
      </c>
      <c r="X96" s="31">
        <f>L96/1000000</f>
        <v>1168.9974845699999</v>
      </c>
      <c r="Y96" s="31">
        <f>M96/1000000</f>
        <v>750.44464611000001</v>
      </c>
      <c r="Z96" s="31">
        <f t="shared" si="59"/>
        <v>418.55283845999998</v>
      </c>
      <c r="AA96" s="31">
        <f t="shared" si="60"/>
        <v>0</v>
      </c>
      <c r="AB96" s="31">
        <f t="shared" si="61"/>
        <v>56.885750671367418</v>
      </c>
      <c r="AC96" s="31">
        <f t="shared" si="62"/>
        <v>56.357880347230015</v>
      </c>
      <c r="AD96" s="31">
        <f>X96/R96%</f>
        <v>56.995891260023697</v>
      </c>
      <c r="AE96" s="31">
        <f>Y96/S96%</f>
        <v>57.434877081125876</v>
      </c>
      <c r="AF96" s="31">
        <f t="shared" si="63"/>
        <v>56.225385987747515</v>
      </c>
      <c r="AG96" s="100" t="s">
        <v>31</v>
      </c>
      <c r="AH96" s="37"/>
    </row>
    <row r="97" spans="1:35" s="250" customFormat="1" hidden="1" x14ac:dyDescent="0.25">
      <c r="A97" s="247" t="s">
        <v>74</v>
      </c>
      <c r="B97" s="300">
        <v>2995204.1</v>
      </c>
      <c r="C97" s="300">
        <v>44421518.549999997</v>
      </c>
      <c r="D97" s="300">
        <v>47416722.649999999</v>
      </c>
      <c r="E97" s="399">
        <f>F97+G97+H97</f>
        <v>0</v>
      </c>
      <c r="F97" s="300">
        <v>0</v>
      </c>
      <c r="G97" s="300">
        <v>0</v>
      </c>
      <c r="H97" s="300">
        <v>0</v>
      </c>
      <c r="I97" s="300">
        <v>0</v>
      </c>
      <c r="J97" s="300">
        <v>26464205.510000002</v>
      </c>
      <c r="K97" s="300">
        <v>26464205.510000002</v>
      </c>
      <c r="L97" s="399">
        <f>M97+N97+O97</f>
        <v>0</v>
      </c>
      <c r="M97" s="300">
        <v>0</v>
      </c>
      <c r="N97" s="300">
        <v>0</v>
      </c>
      <c r="O97" s="300">
        <v>0</v>
      </c>
      <c r="P97" s="248">
        <f t="shared" si="53"/>
        <v>2.9952041</v>
      </c>
      <c r="Q97" s="248">
        <f t="shared" si="54"/>
        <v>47.416722649999997</v>
      </c>
      <c r="R97" s="248"/>
      <c r="S97" s="248"/>
      <c r="T97" s="248">
        <f t="shared" si="55"/>
        <v>0</v>
      </c>
      <c r="U97" s="248">
        <f t="shared" si="56"/>
        <v>0</v>
      </c>
      <c r="V97" s="248">
        <f t="shared" si="57"/>
        <v>0</v>
      </c>
      <c r="W97" s="248">
        <f t="shared" si="58"/>
        <v>26.464205510000003</v>
      </c>
      <c r="X97" s="248"/>
      <c r="Y97" s="248"/>
      <c r="Z97" s="248">
        <f t="shared" si="59"/>
        <v>0</v>
      </c>
      <c r="AA97" s="248">
        <f t="shared" si="60"/>
        <v>0</v>
      </c>
      <c r="AB97" s="248">
        <f t="shared" si="61"/>
        <v>0</v>
      </c>
      <c r="AC97" s="248">
        <f t="shared" si="62"/>
        <v>55.811966814623375</v>
      </c>
      <c r="AD97" s="248"/>
      <c r="AE97" s="248"/>
      <c r="AF97" s="248" t="e">
        <f t="shared" si="63"/>
        <v>#DIV/0!</v>
      </c>
      <c r="AG97" s="249"/>
      <c r="AH97" s="302"/>
    </row>
    <row r="98" spans="1:35" x14ac:dyDescent="0.25">
      <c r="A98" s="92" t="s">
        <v>354</v>
      </c>
      <c r="B98" s="303">
        <v>2494706898.8600001</v>
      </c>
      <c r="C98" s="303">
        <v>0</v>
      </c>
      <c r="D98" s="303">
        <v>2494706898.8600001</v>
      </c>
      <c r="E98" s="395">
        <f>F98+G98+H98</f>
        <v>0</v>
      </c>
      <c r="F98" s="303">
        <v>0</v>
      </c>
      <c r="G98" s="303">
        <v>0</v>
      </c>
      <c r="H98" s="303">
        <v>0</v>
      </c>
      <c r="I98" s="303">
        <v>1423183795.6700001</v>
      </c>
      <c r="J98" s="303">
        <v>0</v>
      </c>
      <c r="K98" s="303">
        <v>1423183795.6700001</v>
      </c>
      <c r="L98" s="395">
        <f>M98+N98+O98</f>
        <v>0</v>
      </c>
      <c r="M98" s="303">
        <v>0</v>
      </c>
      <c r="N98" s="303">
        <v>0</v>
      </c>
      <c r="O98" s="303">
        <v>0</v>
      </c>
      <c r="P98" s="31">
        <f t="shared" ref="P98:P101" si="64">B98/1000000</f>
        <v>2494.7068988599999</v>
      </c>
      <c r="Q98" s="31">
        <f t="shared" ref="Q98:Q101" si="65">D98/1000000</f>
        <v>2494.7068988599999</v>
      </c>
      <c r="R98" s="31">
        <f t="shared" ref="R98:S100" si="66">E98/1000000</f>
        <v>0</v>
      </c>
      <c r="S98" s="31">
        <f t="shared" si="66"/>
        <v>0</v>
      </c>
      <c r="T98" s="31">
        <f t="shared" ref="T98:T101" si="67">G98/1000000</f>
        <v>0</v>
      </c>
      <c r="U98" s="31">
        <f t="shared" ref="U98:U101" si="68">H98/1000000</f>
        <v>0</v>
      </c>
      <c r="V98" s="31">
        <f t="shared" ref="V98:V101" si="69">I98/1000000</f>
        <v>1423.1837956700001</v>
      </c>
      <c r="W98" s="31">
        <f t="shared" ref="W98:W101" si="70">K98/1000000</f>
        <v>1423.1837956700001</v>
      </c>
      <c r="X98" s="31">
        <f t="shared" ref="X98:Y100" si="71">L98/1000000</f>
        <v>0</v>
      </c>
      <c r="Y98" s="31">
        <f t="shared" si="71"/>
        <v>0</v>
      </c>
      <c r="Z98" s="31">
        <f t="shared" ref="Z98:Z101" si="72">N98/1000000</f>
        <v>0</v>
      </c>
      <c r="AA98" s="31">
        <f t="shared" ref="AA98:AA101" si="73">O98/1000000</f>
        <v>0</v>
      </c>
      <c r="AB98" s="31">
        <f t="shared" ref="AB98:AB101" si="74">V98/P98%</f>
        <v>57.048136449229723</v>
      </c>
      <c r="AC98" s="31">
        <f t="shared" ref="AC98:AC101" si="75">W98/Q98%</f>
        <v>57.048136449229723</v>
      </c>
      <c r="AD98" s="93" t="s">
        <v>31</v>
      </c>
      <c r="AE98" s="93" t="s">
        <v>31</v>
      </c>
      <c r="AF98" s="93" t="s">
        <v>31</v>
      </c>
      <c r="AG98" s="100" t="s">
        <v>31</v>
      </c>
      <c r="AH98" s="37"/>
    </row>
    <row r="99" spans="1:35" ht="26.4" hidden="1" x14ac:dyDescent="0.25">
      <c r="A99" s="92" t="s">
        <v>355</v>
      </c>
      <c r="B99" s="303">
        <v>124029696.98999999</v>
      </c>
      <c r="C99" s="303">
        <v>0</v>
      </c>
      <c r="D99" s="303">
        <v>119140963</v>
      </c>
      <c r="E99" s="395">
        <f>F99+G99+H99</f>
        <v>4888733.99</v>
      </c>
      <c r="F99" s="303">
        <v>2359800</v>
      </c>
      <c r="G99" s="303">
        <v>2511933.9900000002</v>
      </c>
      <c r="H99" s="303">
        <v>17000</v>
      </c>
      <c r="I99" s="303">
        <v>67052723.409999996</v>
      </c>
      <c r="J99" s="303">
        <v>0</v>
      </c>
      <c r="K99" s="303">
        <v>65261975.670000002</v>
      </c>
      <c r="L99" s="395">
        <f>M99+N99+O99</f>
        <v>1790747.74</v>
      </c>
      <c r="M99" s="303">
        <v>457900</v>
      </c>
      <c r="N99" s="303">
        <v>1332847.74</v>
      </c>
      <c r="O99" s="303">
        <v>0</v>
      </c>
      <c r="P99" s="31">
        <f t="shared" si="64"/>
        <v>124.02969698999999</v>
      </c>
      <c r="Q99" s="31">
        <f t="shared" si="65"/>
        <v>119.140963</v>
      </c>
      <c r="R99" s="31">
        <f t="shared" si="66"/>
        <v>4.8887339900000004</v>
      </c>
      <c r="S99" s="31">
        <f t="shared" si="66"/>
        <v>2.3597999999999999</v>
      </c>
      <c r="T99" s="31">
        <f t="shared" si="67"/>
        <v>2.5119339900000002</v>
      </c>
      <c r="U99" s="31">
        <f t="shared" si="68"/>
        <v>1.7000000000000001E-2</v>
      </c>
      <c r="V99" s="31">
        <f t="shared" si="69"/>
        <v>67.052723409999999</v>
      </c>
      <c r="W99" s="31">
        <f t="shared" si="70"/>
        <v>65.261975669999998</v>
      </c>
      <c r="X99" s="31">
        <f t="shared" si="71"/>
        <v>1.79074774</v>
      </c>
      <c r="Y99" s="31">
        <f t="shared" si="71"/>
        <v>0.45789999999999997</v>
      </c>
      <c r="Z99" s="31">
        <f t="shared" si="72"/>
        <v>1.3328477400000001</v>
      </c>
      <c r="AA99" s="31">
        <f t="shared" si="73"/>
        <v>0</v>
      </c>
      <c r="AB99" s="31">
        <f t="shared" si="74"/>
        <v>54.061829575707328</v>
      </c>
      <c r="AC99" s="31">
        <f t="shared" si="75"/>
        <v>54.777109422894291</v>
      </c>
      <c r="AD99" s="31">
        <f>X99/R99%</f>
        <v>36.630091628282678</v>
      </c>
      <c r="AE99" s="93" t="s">
        <v>31</v>
      </c>
      <c r="AF99" s="31">
        <f t="shared" ref="AF99:AF101" si="76">Z99/T99%</f>
        <v>53.06061963833691</v>
      </c>
      <c r="AG99" s="100" t="s">
        <v>31</v>
      </c>
      <c r="AH99" s="37"/>
    </row>
    <row r="100" spans="1:35" x14ac:dyDescent="0.25">
      <c r="A100" s="92" t="s">
        <v>356</v>
      </c>
      <c r="B100" s="303">
        <v>598945561.00999999</v>
      </c>
      <c r="C100" s="303">
        <v>78529000</v>
      </c>
      <c r="D100" s="303">
        <v>499298545</v>
      </c>
      <c r="E100" s="395">
        <f>F100+G100+H100-E101</f>
        <v>177515116.00999999</v>
      </c>
      <c r="F100" s="303">
        <v>119810772.33</v>
      </c>
      <c r="G100" s="303">
        <v>56255114.700000003</v>
      </c>
      <c r="H100" s="303">
        <v>2110128.98</v>
      </c>
      <c r="I100" s="303">
        <v>241024285.44999999</v>
      </c>
      <c r="J100" s="303">
        <v>64314156.759999998</v>
      </c>
      <c r="K100" s="303">
        <v>216433394.44</v>
      </c>
      <c r="L100" s="395">
        <f>M100+N100+O100-L101</f>
        <v>88450047.770000011</v>
      </c>
      <c r="M100" s="303">
        <v>44668577.130000003</v>
      </c>
      <c r="N100" s="303">
        <v>43503026.420000002</v>
      </c>
      <c r="O100" s="303">
        <v>733444.22</v>
      </c>
      <c r="P100" s="31">
        <f t="shared" si="64"/>
        <v>598.94556101000001</v>
      </c>
      <c r="Q100" s="31">
        <f t="shared" si="65"/>
        <v>499.29854499999999</v>
      </c>
      <c r="R100" s="31">
        <f t="shared" si="66"/>
        <v>177.51511600999999</v>
      </c>
      <c r="S100" s="31">
        <f t="shared" si="66"/>
        <v>119.81077232999999</v>
      </c>
      <c r="T100" s="31">
        <f t="shared" si="67"/>
        <v>56.2551147</v>
      </c>
      <c r="U100" s="31">
        <f t="shared" si="68"/>
        <v>2.1101289799999998</v>
      </c>
      <c r="V100" s="31">
        <f t="shared" si="69"/>
        <v>241.02428544999998</v>
      </c>
      <c r="W100" s="31">
        <f t="shared" si="70"/>
        <v>216.43339444</v>
      </c>
      <c r="X100" s="31">
        <f t="shared" si="71"/>
        <v>88.450047770000012</v>
      </c>
      <c r="Y100" s="31">
        <f t="shared" si="71"/>
        <v>44.668577130000003</v>
      </c>
      <c r="Z100" s="31">
        <f t="shared" si="72"/>
        <v>43.503026420000005</v>
      </c>
      <c r="AA100" s="31">
        <f t="shared" si="73"/>
        <v>0.73344421999999998</v>
      </c>
      <c r="AB100" s="31">
        <f t="shared" si="74"/>
        <v>40.241434470866011</v>
      </c>
      <c r="AC100" s="31">
        <f t="shared" si="75"/>
        <v>43.347491517324571</v>
      </c>
      <c r="AD100" s="31">
        <f>X100/R100%</f>
        <v>49.826769549595618</v>
      </c>
      <c r="AE100" s="31">
        <f>Y100/S100%</f>
        <v>37.282605112474705</v>
      </c>
      <c r="AF100" s="31">
        <f t="shared" si="76"/>
        <v>77.331682020372824</v>
      </c>
      <c r="AG100" s="33">
        <f>AA100/U100%</f>
        <v>34.758264871562496</v>
      </c>
      <c r="AH100" s="37"/>
    </row>
    <row r="101" spans="1:35" s="250" customFormat="1" hidden="1" x14ac:dyDescent="0.25">
      <c r="A101" s="247" t="s">
        <v>74</v>
      </c>
      <c r="B101" s="300">
        <v>0</v>
      </c>
      <c r="C101" s="300">
        <v>78529000</v>
      </c>
      <c r="D101" s="300">
        <v>77868100</v>
      </c>
      <c r="E101" s="399">
        <f>F101+G101+H101</f>
        <v>660900</v>
      </c>
      <c r="F101" s="300">
        <v>0</v>
      </c>
      <c r="G101" s="300">
        <v>606900</v>
      </c>
      <c r="H101" s="300">
        <v>54000</v>
      </c>
      <c r="I101" s="300">
        <v>64200</v>
      </c>
      <c r="J101" s="300">
        <v>64314156.759999998</v>
      </c>
      <c r="K101" s="300">
        <v>63923356.759999998</v>
      </c>
      <c r="L101" s="399">
        <f>M101+N101+O101</f>
        <v>455000</v>
      </c>
      <c r="M101" s="300">
        <v>0</v>
      </c>
      <c r="N101" s="300">
        <v>414000</v>
      </c>
      <c r="O101" s="300">
        <v>41000</v>
      </c>
      <c r="P101" s="248">
        <f t="shared" si="64"/>
        <v>0</v>
      </c>
      <c r="Q101" s="248">
        <f t="shared" si="65"/>
        <v>77.868099999999998</v>
      </c>
      <c r="R101" s="248"/>
      <c r="S101" s="248"/>
      <c r="T101" s="248">
        <f t="shared" si="67"/>
        <v>0.6069</v>
      </c>
      <c r="U101" s="248">
        <f t="shared" si="68"/>
        <v>5.3999999999999999E-2</v>
      </c>
      <c r="V101" s="248">
        <f t="shared" si="69"/>
        <v>6.4199999999999993E-2</v>
      </c>
      <c r="W101" s="248">
        <f t="shared" si="70"/>
        <v>63.923356759999997</v>
      </c>
      <c r="X101" s="248"/>
      <c r="Y101" s="248"/>
      <c r="Z101" s="248">
        <f t="shared" si="72"/>
        <v>0.41399999999999998</v>
      </c>
      <c r="AA101" s="248">
        <f t="shared" si="73"/>
        <v>4.1000000000000002E-2</v>
      </c>
      <c r="AB101" s="248" t="e">
        <f t="shared" si="74"/>
        <v>#DIV/0!</v>
      </c>
      <c r="AC101" s="248">
        <f t="shared" si="75"/>
        <v>82.091840895052016</v>
      </c>
      <c r="AD101" s="248"/>
      <c r="AE101" s="248"/>
      <c r="AF101" s="248">
        <f t="shared" si="76"/>
        <v>68.21552150271873</v>
      </c>
      <c r="AG101" s="249"/>
      <c r="AH101" s="302"/>
    </row>
    <row r="102" spans="1:35" ht="26.4" hidden="1" x14ac:dyDescent="0.25">
      <c r="A102" s="92" t="s">
        <v>357</v>
      </c>
      <c r="B102" s="303">
        <v>3620000</v>
      </c>
      <c r="C102" s="303">
        <v>0</v>
      </c>
      <c r="D102" s="303">
        <v>3620000</v>
      </c>
      <c r="E102" s="395">
        <f>F102+G102+H102</f>
        <v>0</v>
      </c>
      <c r="F102" s="303">
        <v>0</v>
      </c>
      <c r="G102" s="303">
        <v>0</v>
      </c>
      <c r="H102" s="303">
        <v>0</v>
      </c>
      <c r="I102" s="303">
        <v>1816086</v>
      </c>
      <c r="J102" s="303">
        <v>0</v>
      </c>
      <c r="K102" s="303">
        <v>1816086</v>
      </c>
      <c r="L102" s="395">
        <f>M102+N102+O102</f>
        <v>0</v>
      </c>
      <c r="M102" s="303">
        <v>0</v>
      </c>
      <c r="N102" s="303">
        <v>0</v>
      </c>
      <c r="O102" s="303">
        <v>0</v>
      </c>
      <c r="P102" s="31">
        <f t="shared" ref="P102:P104" si="77">B102/1000000</f>
        <v>3.62</v>
      </c>
      <c r="Q102" s="31">
        <f t="shared" ref="Q102:Q104" si="78">D102/1000000</f>
        <v>3.62</v>
      </c>
      <c r="R102" s="31">
        <f>E102/1000000</f>
        <v>0</v>
      </c>
      <c r="S102" s="31">
        <f>F102/1000000</f>
        <v>0</v>
      </c>
      <c r="T102" s="31">
        <f t="shared" ref="T102:T104" si="79">G102/1000000</f>
        <v>0</v>
      </c>
      <c r="U102" s="31">
        <f t="shared" ref="U102:U104" si="80">H102/1000000</f>
        <v>0</v>
      </c>
      <c r="V102" s="31">
        <f t="shared" ref="V102:V104" si="81">I102/1000000</f>
        <v>1.8160860000000001</v>
      </c>
      <c r="W102" s="31">
        <f t="shared" ref="W102:W104" si="82">K102/1000000</f>
        <v>1.8160860000000001</v>
      </c>
      <c r="X102" s="31">
        <f>L102/1000000</f>
        <v>0</v>
      </c>
      <c r="Y102" s="31">
        <f>M102/1000000</f>
        <v>0</v>
      </c>
      <c r="Z102" s="31">
        <f t="shared" ref="Z102:Z104" si="83">N102/1000000</f>
        <v>0</v>
      </c>
      <c r="AA102" s="31">
        <f t="shared" ref="AA102:AA104" si="84">O102/1000000</f>
        <v>0</v>
      </c>
      <c r="AB102" s="31">
        <f t="shared" ref="AB102:AB104" si="85">V102/P102%</f>
        <v>50.168121546961324</v>
      </c>
      <c r="AC102" s="31">
        <f t="shared" ref="AC102:AC104" si="86">W102/Q102%</f>
        <v>50.168121546961324</v>
      </c>
      <c r="AD102" s="93" t="s">
        <v>31</v>
      </c>
      <c r="AE102" s="93" t="s">
        <v>31</v>
      </c>
      <c r="AF102" s="93" t="s">
        <v>31</v>
      </c>
      <c r="AG102" s="100" t="s">
        <v>31</v>
      </c>
      <c r="AH102" s="37"/>
    </row>
    <row r="103" spans="1:35" x14ac:dyDescent="0.25">
      <c r="A103" s="92" t="s">
        <v>358</v>
      </c>
      <c r="B103" s="303">
        <v>756341245.20000005</v>
      </c>
      <c r="C103" s="303">
        <v>452422500</v>
      </c>
      <c r="D103" s="303">
        <v>753612200</v>
      </c>
      <c r="E103" s="395">
        <f>F103+G103+H103-E104</f>
        <v>455151545.20000005</v>
      </c>
      <c r="F103" s="303">
        <v>265296651.02000001</v>
      </c>
      <c r="G103" s="303">
        <v>189736194.18000001</v>
      </c>
      <c r="H103" s="303">
        <v>118700</v>
      </c>
      <c r="I103" s="303">
        <v>319051068.32999998</v>
      </c>
      <c r="J103" s="303">
        <v>261219062.38</v>
      </c>
      <c r="K103" s="303">
        <v>361298189.05000001</v>
      </c>
      <c r="L103" s="395">
        <f>M103+N103+O103-L104</f>
        <v>218971941.66</v>
      </c>
      <c r="M103" s="303">
        <v>129032275.95999999</v>
      </c>
      <c r="N103" s="303">
        <v>89901665.700000003</v>
      </c>
      <c r="O103" s="303">
        <v>38000</v>
      </c>
      <c r="P103" s="31">
        <f t="shared" si="77"/>
        <v>756.3412452</v>
      </c>
      <c r="Q103" s="31">
        <f t="shared" si="78"/>
        <v>753.61220000000003</v>
      </c>
      <c r="R103" s="31">
        <f>E103/1000000</f>
        <v>455.15154520000004</v>
      </c>
      <c r="S103" s="31">
        <f>F103/1000000</f>
        <v>265.29665102000001</v>
      </c>
      <c r="T103" s="31">
        <f t="shared" si="79"/>
        <v>189.73619418000001</v>
      </c>
      <c r="U103" s="31">
        <f t="shared" si="80"/>
        <v>0.1187</v>
      </c>
      <c r="V103" s="31">
        <f t="shared" si="81"/>
        <v>319.05106832999996</v>
      </c>
      <c r="W103" s="31">
        <f t="shared" si="82"/>
        <v>361.29818905000002</v>
      </c>
      <c r="X103" s="31">
        <f>L103/1000000</f>
        <v>218.97194166</v>
      </c>
      <c r="Y103" s="31">
        <f>M103/1000000</f>
        <v>129.03227595999999</v>
      </c>
      <c r="Z103" s="31">
        <f t="shared" si="83"/>
        <v>89.901665700000009</v>
      </c>
      <c r="AA103" s="31">
        <f t="shared" si="84"/>
        <v>3.7999999999999999E-2</v>
      </c>
      <c r="AB103" s="31">
        <f t="shared" si="85"/>
        <v>42.183481378915545</v>
      </c>
      <c r="AC103" s="31">
        <f t="shared" si="86"/>
        <v>47.942189504097726</v>
      </c>
      <c r="AD103" s="31">
        <f>X103/R103%</f>
        <v>48.109677747832457</v>
      </c>
      <c r="AE103" s="31">
        <f>Y103/S103%</f>
        <v>48.636978817449375</v>
      </c>
      <c r="AF103" s="31">
        <f t="shared" ref="AF103:AF104" si="87">Z103/T103%</f>
        <v>47.382454406517496</v>
      </c>
      <c r="AG103" s="33">
        <f>AA103/U103%</f>
        <v>32.013479359730418</v>
      </c>
      <c r="AH103" s="37"/>
    </row>
    <row r="104" spans="1:35" s="250" customFormat="1" hidden="1" x14ac:dyDescent="0.25">
      <c r="A104" s="247" t="s">
        <v>74</v>
      </c>
      <c r="B104" s="300">
        <v>23811700</v>
      </c>
      <c r="C104" s="300">
        <v>452422500</v>
      </c>
      <c r="D104" s="300">
        <v>476234200</v>
      </c>
      <c r="E104" s="399">
        <f>F104+G104+H104</f>
        <v>0</v>
      </c>
      <c r="F104" s="300">
        <v>0</v>
      </c>
      <c r="G104" s="300">
        <v>0</v>
      </c>
      <c r="H104" s="300">
        <v>0</v>
      </c>
      <c r="I104" s="300">
        <v>0</v>
      </c>
      <c r="J104" s="300">
        <v>261219062.38</v>
      </c>
      <c r="K104" s="300">
        <v>261219062.38</v>
      </c>
      <c r="L104" s="399">
        <f>M104+N104+O104</f>
        <v>0</v>
      </c>
      <c r="M104" s="300">
        <v>0</v>
      </c>
      <c r="N104" s="300">
        <v>0</v>
      </c>
      <c r="O104" s="300">
        <v>0</v>
      </c>
      <c r="P104" s="248">
        <f t="shared" si="77"/>
        <v>23.811699999999998</v>
      </c>
      <c r="Q104" s="248">
        <f t="shared" si="78"/>
        <v>476.23419999999999</v>
      </c>
      <c r="R104" s="248"/>
      <c r="S104" s="248"/>
      <c r="T104" s="248">
        <f t="shared" si="79"/>
        <v>0</v>
      </c>
      <c r="U104" s="248">
        <f t="shared" si="80"/>
        <v>0</v>
      </c>
      <c r="V104" s="248">
        <f t="shared" si="81"/>
        <v>0</v>
      </c>
      <c r="W104" s="248">
        <f t="shared" si="82"/>
        <v>261.21906237999997</v>
      </c>
      <c r="X104" s="248"/>
      <c r="Y104" s="248"/>
      <c r="Z104" s="248">
        <f t="shared" si="83"/>
        <v>0</v>
      </c>
      <c r="AA104" s="248">
        <f t="shared" si="84"/>
        <v>0</v>
      </c>
      <c r="AB104" s="248">
        <f t="shared" si="85"/>
        <v>0</v>
      </c>
      <c r="AC104" s="248">
        <f t="shared" si="86"/>
        <v>54.850966684039058</v>
      </c>
      <c r="AD104" s="248"/>
      <c r="AE104" s="248"/>
      <c r="AF104" s="248" t="e">
        <f t="shared" si="87"/>
        <v>#DIV/0!</v>
      </c>
      <c r="AG104" s="249"/>
      <c r="AH104" s="302"/>
    </row>
    <row r="105" spans="1:35" s="39" customFormat="1" x14ac:dyDescent="0.25">
      <c r="A105" s="91" t="s">
        <v>88</v>
      </c>
      <c r="B105" s="375">
        <v>3662982121.5999999</v>
      </c>
      <c r="C105" s="375">
        <v>651800384.65999997</v>
      </c>
      <c r="D105" s="375">
        <v>1645290128.0799999</v>
      </c>
      <c r="E105" s="395">
        <f>F105+G105+H105-E106</f>
        <v>2506573474.0900002</v>
      </c>
      <c r="F105" s="375">
        <v>931832657.74000001</v>
      </c>
      <c r="G105" s="375">
        <v>1229419222.1900001</v>
      </c>
      <c r="H105" s="375">
        <v>508240498.25</v>
      </c>
      <c r="I105" s="375">
        <v>1899837868.77</v>
      </c>
      <c r="J105" s="375">
        <v>338488608.60000002</v>
      </c>
      <c r="K105" s="375">
        <v>883452410.59000003</v>
      </c>
      <c r="L105" s="395">
        <f>M105+N105+O105-L106</f>
        <v>1268839048.8499999</v>
      </c>
      <c r="M105" s="375">
        <v>493444659.19</v>
      </c>
      <c r="N105" s="375">
        <v>615658980.84000003</v>
      </c>
      <c r="O105" s="375">
        <v>245770426.75</v>
      </c>
      <c r="P105" s="35">
        <f t="shared" si="38"/>
        <v>3662.9821216</v>
      </c>
      <c r="Q105" s="35">
        <f t="shared" si="44"/>
        <v>1645.2901280799999</v>
      </c>
      <c r="R105" s="35">
        <f>E105/1000000</f>
        <v>2506.5734740900002</v>
      </c>
      <c r="S105" s="35">
        <f>F105/1000000</f>
        <v>931.83265774000006</v>
      </c>
      <c r="T105" s="35">
        <f t="shared" si="41"/>
        <v>1229.41922219</v>
      </c>
      <c r="U105" s="35">
        <f t="shared" si="41"/>
        <v>508.24049824999997</v>
      </c>
      <c r="V105" s="35">
        <f t="shared" si="41"/>
        <v>1899.8378687699999</v>
      </c>
      <c r="W105" s="35">
        <f t="shared" si="36"/>
        <v>883.45241059</v>
      </c>
      <c r="X105" s="35">
        <f>L105/1000000</f>
        <v>1268.8390488499999</v>
      </c>
      <c r="Y105" s="35">
        <f>M105/1000000</f>
        <v>493.44465918999998</v>
      </c>
      <c r="Z105" s="35">
        <f t="shared" si="36"/>
        <v>615.65898084000003</v>
      </c>
      <c r="AA105" s="35">
        <f t="shared" si="36"/>
        <v>245.77042675000001</v>
      </c>
      <c r="AB105" s="35">
        <f t="shared" si="52"/>
        <v>51.865878830447187</v>
      </c>
      <c r="AC105" s="35">
        <f t="shared" si="45"/>
        <v>53.69584339638385</v>
      </c>
      <c r="AD105" s="35">
        <f>X105/R105%</f>
        <v>50.620461038376142</v>
      </c>
      <c r="AE105" s="35">
        <f>Y105/S105%</f>
        <v>52.954213945105252</v>
      </c>
      <c r="AF105" s="35">
        <f t="shared" si="51"/>
        <v>50.077220994097431</v>
      </c>
      <c r="AG105" s="36">
        <f>AA105/U105%</f>
        <v>48.357111957085174</v>
      </c>
      <c r="AH105" s="37"/>
    </row>
    <row r="106" spans="1:35" s="250" customFormat="1" hidden="1" x14ac:dyDescent="0.25">
      <c r="A106" s="291" t="s">
        <v>68</v>
      </c>
      <c r="B106" s="300">
        <v>2000245.81</v>
      </c>
      <c r="C106" s="300">
        <v>651800384.65999997</v>
      </c>
      <c r="D106" s="300">
        <v>490881726.38</v>
      </c>
      <c r="E106" s="399">
        <f>F106+G106+H106</f>
        <v>162918904.09</v>
      </c>
      <c r="F106" s="300">
        <v>0</v>
      </c>
      <c r="G106" s="300">
        <v>84914494.090000004</v>
      </c>
      <c r="H106" s="300">
        <v>78004410</v>
      </c>
      <c r="I106" s="300">
        <v>253300</v>
      </c>
      <c r="J106" s="300">
        <v>338488608.60000002</v>
      </c>
      <c r="K106" s="300">
        <v>252706890.66999999</v>
      </c>
      <c r="L106" s="399">
        <f>M106+N106+O106</f>
        <v>86035017.930000007</v>
      </c>
      <c r="M106" s="300">
        <v>0</v>
      </c>
      <c r="N106" s="300">
        <v>46911866.100000001</v>
      </c>
      <c r="O106" s="300">
        <v>39123151.829999998</v>
      </c>
      <c r="P106" s="248">
        <f t="shared" si="38"/>
        <v>2.00024581</v>
      </c>
      <c r="Q106" s="248">
        <f t="shared" si="44"/>
        <v>490.88172637999998</v>
      </c>
      <c r="R106" s="248"/>
      <c r="S106" s="248"/>
      <c r="T106" s="248">
        <f t="shared" si="41"/>
        <v>84.914494090000005</v>
      </c>
      <c r="U106" s="248">
        <f t="shared" si="41"/>
        <v>78.004409999999993</v>
      </c>
      <c r="V106" s="248"/>
      <c r="W106" s="248">
        <f t="shared" si="36"/>
        <v>252.70689066999998</v>
      </c>
      <c r="X106" s="248"/>
      <c r="Y106" s="248"/>
      <c r="Z106" s="248">
        <f t="shared" si="36"/>
        <v>46.911866100000005</v>
      </c>
      <c r="AA106" s="248">
        <f t="shared" si="36"/>
        <v>39.123151829999998</v>
      </c>
      <c r="AB106" s="248"/>
      <c r="AC106" s="248">
        <f t="shared" si="45"/>
        <v>51.480199218981568</v>
      </c>
      <c r="AD106" s="248"/>
      <c r="AE106" s="248"/>
      <c r="AF106" s="248">
        <f t="shared" si="51"/>
        <v>55.246005529136873</v>
      </c>
      <c r="AG106" s="301">
        <f t="shared" si="51"/>
        <v>50.155051272101154</v>
      </c>
      <c r="AH106" s="302"/>
    </row>
    <row r="107" spans="1:35" s="39" customFormat="1" x14ac:dyDescent="0.25">
      <c r="A107" s="91" t="s">
        <v>89</v>
      </c>
      <c r="B107" s="375">
        <v>6456474874.9300003</v>
      </c>
      <c r="C107" s="375">
        <v>0</v>
      </c>
      <c r="D107" s="375">
        <v>6456265474.9300003</v>
      </c>
      <c r="E107" s="395">
        <f>F107+G107+H107-E108</f>
        <v>209400</v>
      </c>
      <c r="F107" s="375">
        <v>151900</v>
      </c>
      <c r="G107" s="375">
        <v>57500</v>
      </c>
      <c r="H107" s="375">
        <v>0</v>
      </c>
      <c r="I107" s="375">
        <v>2826997067.9200001</v>
      </c>
      <c r="J107" s="375">
        <v>0</v>
      </c>
      <c r="K107" s="375">
        <v>2826939567.9200001</v>
      </c>
      <c r="L107" s="395">
        <f>M107+N107+O107-L108</f>
        <v>57500</v>
      </c>
      <c r="M107" s="375">
        <v>0</v>
      </c>
      <c r="N107" s="375">
        <v>57500</v>
      </c>
      <c r="O107" s="375">
        <v>0</v>
      </c>
      <c r="P107" s="35">
        <f t="shared" si="38"/>
        <v>6456.4748749300006</v>
      </c>
      <c r="Q107" s="35">
        <f t="shared" si="44"/>
        <v>6456.26547493</v>
      </c>
      <c r="R107" s="35">
        <f>E107/1000000</f>
        <v>0.2094</v>
      </c>
      <c r="S107" s="35">
        <f>F107/1000000</f>
        <v>0.15190000000000001</v>
      </c>
      <c r="T107" s="35">
        <f>G107/1000000</f>
        <v>5.7500000000000002E-2</v>
      </c>
      <c r="U107" s="35">
        <f>H107/1000000</f>
        <v>0</v>
      </c>
      <c r="V107" s="35">
        <f t="shared" si="41"/>
        <v>2826.9970679200001</v>
      </c>
      <c r="W107" s="35">
        <f t="shared" si="36"/>
        <v>2826.9395679200002</v>
      </c>
      <c r="X107" s="35">
        <f t="shared" si="36"/>
        <v>5.7500000000000002E-2</v>
      </c>
      <c r="Y107" s="35">
        <f t="shared" si="36"/>
        <v>0</v>
      </c>
      <c r="Z107" s="35">
        <f t="shared" si="36"/>
        <v>5.7500000000000002E-2</v>
      </c>
      <c r="AA107" s="35">
        <f t="shared" si="36"/>
        <v>0</v>
      </c>
      <c r="AB107" s="35">
        <f t="shared" si="52"/>
        <v>43.785457586104982</v>
      </c>
      <c r="AC107" s="35">
        <f t="shared" si="45"/>
        <v>43.785987098844487</v>
      </c>
      <c r="AD107" s="35">
        <f>X107/R107%</f>
        <v>27.45940783190067</v>
      </c>
      <c r="AE107" s="35">
        <f>Y107/S107%</f>
        <v>0</v>
      </c>
      <c r="AF107" s="35">
        <f t="shared" si="51"/>
        <v>100</v>
      </c>
      <c r="AG107" s="100" t="s">
        <v>31</v>
      </c>
      <c r="AH107" s="101"/>
      <c r="AI107" s="39">
        <f>V107+V115</f>
        <v>13683.851902280001</v>
      </c>
    </row>
    <row r="108" spans="1:35" s="250" customFormat="1" hidden="1" x14ac:dyDescent="0.25">
      <c r="A108" s="291" t="s">
        <v>68</v>
      </c>
      <c r="B108" s="300">
        <v>0</v>
      </c>
      <c r="C108" s="300">
        <v>0</v>
      </c>
      <c r="D108" s="300">
        <v>0</v>
      </c>
      <c r="E108" s="399">
        <f>F108+G108+H108</f>
        <v>0</v>
      </c>
      <c r="F108" s="404">
        <v>0</v>
      </c>
      <c r="G108" s="308">
        <v>0</v>
      </c>
      <c r="H108" s="308">
        <v>0</v>
      </c>
      <c r="I108" s="308">
        <v>0</v>
      </c>
      <c r="J108" s="308">
        <v>0</v>
      </c>
      <c r="K108" s="308">
        <v>0</v>
      </c>
      <c r="L108" s="399">
        <f>M108+N108+O108</f>
        <v>0</v>
      </c>
      <c r="M108" s="300">
        <v>0</v>
      </c>
      <c r="N108" s="300">
        <v>0</v>
      </c>
      <c r="O108" s="300">
        <v>0</v>
      </c>
      <c r="P108" s="248">
        <v>0</v>
      </c>
      <c r="Q108" s="248">
        <f t="shared" si="44"/>
        <v>0</v>
      </c>
      <c r="R108" s="248"/>
      <c r="S108" s="248">
        <f t="shared" ref="R108:T109" si="88">F108/1000000</f>
        <v>0</v>
      </c>
      <c r="T108" s="248">
        <f t="shared" si="88"/>
        <v>0</v>
      </c>
      <c r="U108" s="248">
        <f t="shared" ref="U108:U113" si="89">H108/1000000</f>
        <v>0</v>
      </c>
      <c r="V108" s="248">
        <f t="shared" si="41"/>
        <v>0</v>
      </c>
      <c r="W108" s="248">
        <f t="shared" si="36"/>
        <v>0</v>
      </c>
      <c r="X108" s="248"/>
      <c r="Y108" s="248">
        <f t="shared" si="36"/>
        <v>0</v>
      </c>
      <c r="Z108" s="248">
        <f t="shared" si="36"/>
        <v>0</v>
      </c>
      <c r="AA108" s="294">
        <f t="shared" si="36"/>
        <v>0</v>
      </c>
      <c r="AB108" s="248"/>
      <c r="AC108" s="248" t="e">
        <f t="shared" si="45"/>
        <v>#DIV/0!</v>
      </c>
      <c r="AD108" s="248"/>
      <c r="AE108" s="248"/>
      <c r="AF108" s="248"/>
      <c r="AG108" s="301"/>
      <c r="AH108" s="302"/>
    </row>
    <row r="109" spans="1:35" x14ac:dyDescent="0.25">
      <c r="A109" s="99" t="s">
        <v>90</v>
      </c>
      <c r="B109" s="378">
        <v>2177176608.5</v>
      </c>
      <c r="C109" s="378">
        <v>0</v>
      </c>
      <c r="D109" s="378">
        <v>2177176608.5</v>
      </c>
      <c r="E109" s="395">
        <f>F109+G109+H109</f>
        <v>0</v>
      </c>
      <c r="F109" s="378">
        <v>0</v>
      </c>
      <c r="G109" s="378">
        <v>0</v>
      </c>
      <c r="H109" s="378">
        <v>0</v>
      </c>
      <c r="I109" s="98">
        <v>994313529</v>
      </c>
      <c r="J109" s="98">
        <v>0</v>
      </c>
      <c r="K109" s="98">
        <v>994313529</v>
      </c>
      <c r="L109" s="395">
        <f>M109+N109+O109</f>
        <v>0</v>
      </c>
      <c r="M109" s="98">
        <v>0</v>
      </c>
      <c r="N109" s="98">
        <v>0</v>
      </c>
      <c r="O109" s="98">
        <v>0</v>
      </c>
      <c r="P109" s="31">
        <f>B109/1000000</f>
        <v>2177.1766084999999</v>
      </c>
      <c r="Q109" s="31">
        <f t="shared" si="44"/>
        <v>2177.1766084999999</v>
      </c>
      <c r="R109" s="31">
        <f t="shared" si="88"/>
        <v>0</v>
      </c>
      <c r="S109" s="31">
        <f t="shared" si="88"/>
        <v>0</v>
      </c>
      <c r="T109" s="31">
        <f t="shared" si="88"/>
        <v>0</v>
      </c>
      <c r="U109" s="31">
        <f t="shared" si="89"/>
        <v>0</v>
      </c>
      <c r="V109" s="31">
        <f t="shared" si="41"/>
        <v>994.31352900000002</v>
      </c>
      <c r="W109" s="31">
        <f t="shared" si="36"/>
        <v>994.31352900000002</v>
      </c>
      <c r="X109" s="31">
        <f t="shared" si="36"/>
        <v>0</v>
      </c>
      <c r="Y109" s="31">
        <f t="shared" si="36"/>
        <v>0</v>
      </c>
      <c r="Z109" s="31">
        <f>N109/1000000</f>
        <v>0</v>
      </c>
      <c r="AA109" s="31">
        <f t="shared" si="36"/>
        <v>0</v>
      </c>
      <c r="AB109" s="31">
        <f t="shared" si="52"/>
        <v>45.66986091610859</v>
      </c>
      <c r="AC109" s="31">
        <f t="shared" si="45"/>
        <v>45.66986091610859</v>
      </c>
      <c r="AD109" s="49" t="s">
        <v>31</v>
      </c>
      <c r="AE109" s="49" t="s">
        <v>31</v>
      </c>
      <c r="AF109" s="49" t="s">
        <v>31</v>
      </c>
      <c r="AG109" s="46" t="s">
        <v>31</v>
      </c>
      <c r="AH109" s="67"/>
      <c r="AI109" s="7">
        <f>AI107/V130%</f>
        <v>32.03068988470978</v>
      </c>
    </row>
    <row r="110" spans="1:35" x14ac:dyDescent="0.25">
      <c r="A110" s="99" t="s">
        <v>91</v>
      </c>
      <c r="B110" s="98">
        <v>2423188721.5599999</v>
      </c>
      <c r="C110" s="98">
        <v>0</v>
      </c>
      <c r="D110" s="378">
        <v>2423188721.5599999</v>
      </c>
      <c r="E110" s="395">
        <f>F110+G110+H110-E111</f>
        <v>0</v>
      </c>
      <c r="F110" s="98">
        <v>0</v>
      </c>
      <c r="G110" s="98">
        <v>0</v>
      </c>
      <c r="H110" s="98">
        <v>0</v>
      </c>
      <c r="I110" s="378">
        <v>977869156.79999995</v>
      </c>
      <c r="J110" s="378">
        <v>0</v>
      </c>
      <c r="K110" s="378">
        <v>977869156.79999995</v>
      </c>
      <c r="L110" s="395">
        <f>M110+N110+O110-L111</f>
        <v>0</v>
      </c>
      <c r="M110" s="378">
        <v>0</v>
      </c>
      <c r="N110" s="378">
        <v>0</v>
      </c>
      <c r="O110" s="378">
        <v>0</v>
      </c>
      <c r="P110" s="31">
        <f>B110/1000000</f>
        <v>2423.18872156</v>
      </c>
      <c r="Q110" s="31">
        <f t="shared" si="44"/>
        <v>2423.18872156</v>
      </c>
      <c r="R110" s="31">
        <f t="shared" ref="R110:T112" si="90">E110/1000000</f>
        <v>0</v>
      </c>
      <c r="S110" s="31">
        <f t="shared" si="90"/>
        <v>0</v>
      </c>
      <c r="T110" s="31">
        <f t="shared" si="90"/>
        <v>0</v>
      </c>
      <c r="U110" s="31">
        <f t="shared" si="89"/>
        <v>0</v>
      </c>
      <c r="V110" s="31">
        <f>I110/1000000</f>
        <v>977.86915679999993</v>
      </c>
      <c r="W110" s="31">
        <f t="shared" si="36"/>
        <v>977.86915679999993</v>
      </c>
      <c r="X110" s="31">
        <f t="shared" ref="X110:Y113" si="91">L110/1000000</f>
        <v>0</v>
      </c>
      <c r="Y110" s="31">
        <f t="shared" si="91"/>
        <v>0</v>
      </c>
      <c r="Z110" s="31">
        <f>N110/1000000</f>
        <v>0</v>
      </c>
      <c r="AA110" s="31">
        <f t="shared" si="36"/>
        <v>0</v>
      </c>
      <c r="AB110" s="31">
        <f t="shared" si="52"/>
        <v>40.354642958657692</v>
      </c>
      <c r="AC110" s="31">
        <f t="shared" si="45"/>
        <v>40.354642958657692</v>
      </c>
      <c r="AD110" s="49" t="s">
        <v>31</v>
      </c>
      <c r="AE110" s="49" t="s">
        <v>31</v>
      </c>
      <c r="AF110" s="49" t="s">
        <v>31</v>
      </c>
      <c r="AG110" s="46" t="s">
        <v>31</v>
      </c>
      <c r="AH110" s="67"/>
    </row>
    <row r="111" spans="1:35" hidden="1" x14ac:dyDescent="0.25">
      <c r="A111" s="291" t="s">
        <v>74</v>
      </c>
      <c r="B111" s="98"/>
      <c r="C111" s="98"/>
      <c r="D111" s="378"/>
      <c r="E111" s="395">
        <f>F111+G111+H111</f>
        <v>0</v>
      </c>
      <c r="F111" s="98"/>
      <c r="G111" s="98"/>
      <c r="H111" s="98"/>
      <c r="I111" s="378"/>
      <c r="J111" s="378"/>
      <c r="K111" s="378"/>
      <c r="L111" s="395">
        <f>M111+N111+O111</f>
        <v>0</v>
      </c>
      <c r="M111" s="378"/>
      <c r="N111" s="378"/>
      <c r="O111" s="378"/>
      <c r="P111" s="31">
        <f>B111/1000000</f>
        <v>0</v>
      </c>
      <c r="Q111" s="31">
        <f t="shared" ref="Q111" si="92">D111/1000000</f>
        <v>0</v>
      </c>
      <c r="R111" s="31">
        <f t="shared" ref="R111" si="93">E111/1000000</f>
        <v>0</v>
      </c>
      <c r="S111" s="31">
        <f t="shared" ref="S111" si="94">F111/1000000</f>
        <v>0</v>
      </c>
      <c r="T111" s="31">
        <f t="shared" ref="T111" si="95">G111/1000000</f>
        <v>0</v>
      </c>
      <c r="U111" s="31">
        <f t="shared" si="89"/>
        <v>0</v>
      </c>
      <c r="V111" s="31">
        <f>I111/1000000</f>
        <v>0</v>
      </c>
      <c r="W111" s="31">
        <f t="shared" ref="W111" si="96">K111/1000000</f>
        <v>0</v>
      </c>
      <c r="X111" s="31">
        <f t="shared" ref="X111" si="97">L111/1000000</f>
        <v>0</v>
      </c>
      <c r="Y111" s="31">
        <f t="shared" ref="Y111" si="98">M111/1000000</f>
        <v>0</v>
      </c>
      <c r="Z111" s="31">
        <f>N111/1000000</f>
        <v>0</v>
      </c>
      <c r="AA111" s="31">
        <f t="shared" ref="AA111" si="99">O111/1000000</f>
        <v>0</v>
      </c>
      <c r="AB111" s="31" t="e">
        <f t="shared" ref="AB111" si="100">V111/P111%</f>
        <v>#DIV/0!</v>
      </c>
      <c r="AC111" s="31" t="e">
        <f t="shared" ref="AC111" si="101">W111/Q111%</f>
        <v>#DIV/0!</v>
      </c>
      <c r="AD111" s="49" t="s">
        <v>31</v>
      </c>
      <c r="AE111" s="49" t="s">
        <v>31</v>
      </c>
      <c r="AF111" s="49" t="s">
        <v>31</v>
      </c>
      <c r="AG111" s="46" t="s">
        <v>31</v>
      </c>
      <c r="AH111" s="67"/>
    </row>
    <row r="112" spans="1:35" x14ac:dyDescent="0.25">
      <c r="A112" s="257" t="s">
        <v>359</v>
      </c>
      <c r="B112" s="98">
        <v>475949300</v>
      </c>
      <c r="C112" s="98">
        <v>0</v>
      </c>
      <c r="D112" s="378">
        <v>475949300</v>
      </c>
      <c r="E112" s="395">
        <f>F112+G112+H112</f>
        <v>0</v>
      </c>
      <c r="F112" s="98">
        <v>0</v>
      </c>
      <c r="G112" s="98">
        <v>0</v>
      </c>
      <c r="H112" s="98">
        <v>0</v>
      </c>
      <c r="I112" s="378">
        <v>293989489.07999998</v>
      </c>
      <c r="J112" s="378">
        <v>0</v>
      </c>
      <c r="K112" s="378">
        <v>293989489.07999998</v>
      </c>
      <c r="L112" s="395">
        <f>M112+N112+O112</f>
        <v>0</v>
      </c>
      <c r="M112" s="378"/>
      <c r="N112" s="378"/>
      <c r="O112" s="378"/>
      <c r="P112" s="31">
        <f>B112/1000000</f>
        <v>475.94929999999999</v>
      </c>
      <c r="Q112" s="31">
        <f t="shared" ref="Q112" si="102">D112/1000000</f>
        <v>475.94929999999999</v>
      </c>
      <c r="R112" s="31">
        <f t="shared" si="90"/>
        <v>0</v>
      </c>
      <c r="S112" s="31">
        <f t="shared" si="90"/>
        <v>0</v>
      </c>
      <c r="T112" s="31">
        <f t="shared" si="90"/>
        <v>0</v>
      </c>
      <c r="U112" s="31">
        <f t="shared" si="89"/>
        <v>0</v>
      </c>
      <c r="V112" s="31">
        <f>I112/1000000</f>
        <v>293.98948908</v>
      </c>
      <c r="W112" s="31">
        <f t="shared" ref="W112" si="103">K112/1000000</f>
        <v>293.98948908</v>
      </c>
      <c r="X112" s="31">
        <f t="shared" si="91"/>
        <v>0</v>
      </c>
      <c r="Y112" s="31">
        <f t="shared" si="91"/>
        <v>0</v>
      </c>
      <c r="Z112" s="31">
        <f>N112/1000000</f>
        <v>0</v>
      </c>
      <c r="AA112" s="31">
        <f t="shared" ref="AA112" si="104">O112/1000000</f>
        <v>0</v>
      </c>
      <c r="AB112" s="31">
        <f t="shared" ref="AB112" si="105">V112/P112%</f>
        <v>61.769076891173071</v>
      </c>
      <c r="AC112" s="31">
        <f t="shared" ref="AC112" si="106">W112/Q112%</f>
        <v>61.769076891173071</v>
      </c>
      <c r="AD112" s="49" t="s">
        <v>31</v>
      </c>
      <c r="AE112" s="49" t="s">
        <v>31</v>
      </c>
      <c r="AF112" s="49" t="s">
        <v>31</v>
      </c>
      <c r="AG112" s="46" t="s">
        <v>31</v>
      </c>
      <c r="AH112" s="67"/>
    </row>
    <row r="113" spans="1:34" ht="13.95" customHeight="1" x14ac:dyDescent="0.25">
      <c r="A113" s="92" t="s">
        <v>92</v>
      </c>
      <c r="B113" s="378">
        <v>1042482644.87</v>
      </c>
      <c r="C113" s="378">
        <v>0</v>
      </c>
      <c r="D113" s="378">
        <v>1042273244.87</v>
      </c>
      <c r="E113" s="395">
        <f>F113+G113+H113-E114</f>
        <v>209400</v>
      </c>
      <c r="F113" s="378">
        <v>151900</v>
      </c>
      <c r="G113" s="378">
        <v>57500</v>
      </c>
      <c r="H113" s="378">
        <v>0</v>
      </c>
      <c r="I113" s="378">
        <v>392443050.93000001</v>
      </c>
      <c r="J113" s="378">
        <v>0</v>
      </c>
      <c r="K113" s="378">
        <v>392385550.93000001</v>
      </c>
      <c r="L113" s="395">
        <f>M113+N113+O113-L114</f>
        <v>57500</v>
      </c>
      <c r="M113" s="378">
        <v>0</v>
      </c>
      <c r="N113" s="378">
        <v>57500</v>
      </c>
      <c r="O113" s="378">
        <v>0</v>
      </c>
      <c r="P113" s="31">
        <f t="shared" ref="P113:P132" si="107">B113/1000000</f>
        <v>1042.4826448700001</v>
      </c>
      <c r="Q113" s="31">
        <f t="shared" ref="Q113:V134" si="108">D113/1000000</f>
        <v>1042.2732448700001</v>
      </c>
      <c r="R113" s="31">
        <f>E113/1000000</f>
        <v>0.2094</v>
      </c>
      <c r="S113" s="31">
        <f>F113/1000000</f>
        <v>0.15190000000000001</v>
      </c>
      <c r="T113" s="31">
        <f t="shared" ref="T113:V131" si="109">G113/1000000</f>
        <v>5.7500000000000002E-2</v>
      </c>
      <c r="U113" s="31">
        <f t="shared" si="89"/>
        <v>0</v>
      </c>
      <c r="V113" s="31">
        <f t="shared" ref="V113:V122" si="110">I113/1000000</f>
        <v>392.44305093000003</v>
      </c>
      <c r="W113" s="31">
        <f>K113/1000000</f>
        <v>392.38555093000002</v>
      </c>
      <c r="X113" s="31">
        <f t="shared" si="91"/>
        <v>5.7500000000000002E-2</v>
      </c>
      <c r="Y113" s="31">
        <f t="shared" si="91"/>
        <v>0</v>
      </c>
      <c r="Z113" s="31">
        <f t="shared" ref="Z113:AA132" si="111">N113/1000000</f>
        <v>5.7500000000000002E-2</v>
      </c>
      <c r="AA113" s="31">
        <f>O113/1000000</f>
        <v>0</v>
      </c>
      <c r="AB113" s="31">
        <f t="shared" si="52"/>
        <v>37.645044055283869</v>
      </c>
      <c r="AC113" s="31">
        <f t="shared" si="45"/>
        <v>37.647090420990438</v>
      </c>
      <c r="AD113" s="31">
        <f>X113/R113%</f>
        <v>27.45940783190067</v>
      </c>
      <c r="AE113" s="31">
        <f>Y113/S113%</f>
        <v>0</v>
      </c>
      <c r="AF113" s="31">
        <f>Z113/T113%</f>
        <v>100</v>
      </c>
      <c r="AG113" s="100" t="s">
        <v>31</v>
      </c>
      <c r="AH113" s="101"/>
    </row>
    <row r="114" spans="1:34" s="250" customFormat="1" hidden="1" x14ac:dyDescent="0.25">
      <c r="A114" s="291" t="s">
        <v>74</v>
      </c>
      <c r="B114" s="398"/>
      <c r="C114" s="398"/>
      <c r="D114" s="398"/>
      <c r="E114" s="399">
        <f>F114+G114+H114</f>
        <v>0</v>
      </c>
      <c r="F114" s="398"/>
      <c r="G114" s="398"/>
      <c r="H114" s="398"/>
      <c r="I114" s="398"/>
      <c r="J114" s="398"/>
      <c r="K114" s="398"/>
      <c r="L114" s="399">
        <f>M114+N114+O114</f>
        <v>0</v>
      </c>
      <c r="M114" s="398"/>
      <c r="N114" s="398"/>
      <c r="O114" s="398"/>
      <c r="P114" s="248">
        <f t="shared" si="107"/>
        <v>0</v>
      </c>
      <c r="Q114" s="248">
        <f t="shared" si="108"/>
        <v>0</v>
      </c>
      <c r="R114" s="248"/>
      <c r="S114" s="248"/>
      <c r="T114" s="248">
        <f t="shared" si="109"/>
        <v>0</v>
      </c>
      <c r="U114" s="248"/>
      <c r="V114" s="248">
        <f t="shared" si="110"/>
        <v>0</v>
      </c>
      <c r="W114" s="248">
        <f>K114/1000000</f>
        <v>0</v>
      </c>
      <c r="X114" s="248"/>
      <c r="Y114" s="248"/>
      <c r="Z114" s="248">
        <f t="shared" si="111"/>
        <v>0</v>
      </c>
      <c r="AA114" s="248"/>
      <c r="AB114" s="248" t="e">
        <f t="shared" si="52"/>
        <v>#DIV/0!</v>
      </c>
      <c r="AC114" s="248" t="e">
        <f t="shared" si="45"/>
        <v>#DIV/0!</v>
      </c>
      <c r="AD114" s="248"/>
      <c r="AE114" s="248"/>
      <c r="AF114" s="248"/>
      <c r="AG114" s="249"/>
      <c r="AH114" s="292"/>
    </row>
    <row r="115" spans="1:34" s="39" customFormat="1" x14ac:dyDescent="0.25">
      <c r="A115" s="91" t="s">
        <v>93</v>
      </c>
      <c r="B115" s="375">
        <v>22012481987.939999</v>
      </c>
      <c r="C115" s="375">
        <v>1339906208.97</v>
      </c>
      <c r="D115" s="375">
        <v>21600426942.889999</v>
      </c>
      <c r="E115" s="395">
        <f>F115+G115+H115-E116</f>
        <v>1751236309.49</v>
      </c>
      <c r="F115" s="375">
        <v>1227022473.8099999</v>
      </c>
      <c r="G115" s="375">
        <v>515462708.61000001</v>
      </c>
      <c r="H115" s="375">
        <v>9476071.5999999996</v>
      </c>
      <c r="I115" s="375">
        <v>10856854834.360001</v>
      </c>
      <c r="J115" s="375">
        <v>543185109.76999998</v>
      </c>
      <c r="K115" s="375">
        <v>10707094188.75</v>
      </c>
      <c r="L115" s="395">
        <f>M115+N115+O115-L116</f>
        <v>692815755.38</v>
      </c>
      <c r="M115" s="375">
        <v>484078755.91000003</v>
      </c>
      <c r="N115" s="375">
        <v>205594750.59</v>
      </c>
      <c r="O115" s="375">
        <v>3272248.88</v>
      </c>
      <c r="P115" s="35">
        <f t="shared" si="107"/>
        <v>22012.481987939998</v>
      </c>
      <c r="Q115" s="35">
        <f t="shared" si="108"/>
        <v>21600.426942890001</v>
      </c>
      <c r="R115" s="35">
        <f>E115/1000000</f>
        <v>1751.2363094899999</v>
      </c>
      <c r="S115" s="35">
        <f>F115/1000000</f>
        <v>1227.0224738099998</v>
      </c>
      <c r="T115" s="35">
        <f t="shared" si="109"/>
        <v>515.46270861000005</v>
      </c>
      <c r="U115" s="35">
        <f>H115/1000000</f>
        <v>9.4760715999999992</v>
      </c>
      <c r="V115" s="35">
        <f t="shared" si="110"/>
        <v>10856.854834360001</v>
      </c>
      <c r="W115" s="35">
        <f>K115/1000000</f>
        <v>10707.094188749999</v>
      </c>
      <c r="X115" s="35">
        <f>L115/1000000</f>
        <v>692.81575538000004</v>
      </c>
      <c r="Y115" s="35">
        <f>M115/1000000</f>
        <v>484.07875591000004</v>
      </c>
      <c r="Z115" s="35">
        <f t="shared" si="111"/>
        <v>205.59475058999999</v>
      </c>
      <c r="AA115" s="35">
        <f t="shared" si="111"/>
        <v>3.2722488799999998</v>
      </c>
      <c r="AB115" s="35">
        <f t="shared" si="52"/>
        <v>49.321357038739009</v>
      </c>
      <c r="AC115" s="35">
        <f t="shared" si="45"/>
        <v>49.568900730799434</v>
      </c>
      <c r="AD115" s="35">
        <f>X115/R115%</f>
        <v>39.56152300095718</v>
      </c>
      <c r="AE115" s="35">
        <f>Y115/S115%</f>
        <v>39.451498749399271</v>
      </c>
      <c r="AF115" s="35">
        <f>Z115/T115%</f>
        <v>39.885475157729267</v>
      </c>
      <c r="AG115" s="36">
        <f>AA115/U115%</f>
        <v>34.531702778607119</v>
      </c>
      <c r="AH115" s="37"/>
    </row>
    <row r="116" spans="1:34" s="250" customFormat="1" hidden="1" x14ac:dyDescent="0.25">
      <c r="A116" s="291" t="s">
        <v>68</v>
      </c>
      <c r="B116" s="398">
        <v>66980683.880000003</v>
      </c>
      <c r="C116" s="398">
        <v>1339906208.97</v>
      </c>
      <c r="D116" s="398">
        <v>1406161948.3199999</v>
      </c>
      <c r="E116" s="399">
        <f>F116+G116+H116</f>
        <v>724944.53</v>
      </c>
      <c r="F116" s="398">
        <v>0</v>
      </c>
      <c r="G116" s="398">
        <v>724944.53</v>
      </c>
      <c r="H116" s="398">
        <v>0</v>
      </c>
      <c r="I116" s="398">
        <v>6792427.9000000004</v>
      </c>
      <c r="J116" s="398">
        <v>543185109.76999998</v>
      </c>
      <c r="K116" s="398">
        <v>549847537.66999996</v>
      </c>
      <c r="L116" s="399">
        <f>M116+N116+O116</f>
        <v>130000</v>
      </c>
      <c r="M116" s="398">
        <v>0</v>
      </c>
      <c r="N116" s="398">
        <v>130000</v>
      </c>
      <c r="O116" s="398">
        <v>0</v>
      </c>
      <c r="P116" s="248">
        <f t="shared" si="107"/>
        <v>66.980683880000001</v>
      </c>
      <c r="Q116" s="248">
        <f t="shared" si="108"/>
        <v>1406.16194832</v>
      </c>
      <c r="R116" s="248">
        <f>E116/1000000</f>
        <v>0.72494453000000003</v>
      </c>
      <c r="S116" s="248">
        <f>F116/1000000</f>
        <v>0</v>
      </c>
      <c r="T116" s="248">
        <f t="shared" si="109"/>
        <v>0.72494453000000003</v>
      </c>
      <c r="U116" s="248">
        <f>H116/1000000</f>
        <v>0</v>
      </c>
      <c r="V116" s="248">
        <f t="shared" si="110"/>
        <v>6.7924279000000007</v>
      </c>
      <c r="W116" s="248">
        <f>K116/1000000</f>
        <v>549.84753766999995</v>
      </c>
      <c r="X116" s="248">
        <f>L116/1000000</f>
        <v>0.13</v>
      </c>
      <c r="Y116" s="248">
        <f>M116/1000000</f>
        <v>0</v>
      </c>
      <c r="Z116" s="248">
        <f t="shared" si="111"/>
        <v>0.13</v>
      </c>
      <c r="AA116" s="248">
        <f>O116/1000000</f>
        <v>0</v>
      </c>
      <c r="AB116" s="248">
        <f t="shared" si="52"/>
        <v>10.140875707045709</v>
      </c>
      <c r="AC116" s="248">
        <f t="shared" si="45"/>
        <v>39.102717743637257</v>
      </c>
      <c r="AD116" s="248">
        <f>X116/R116%</f>
        <v>17.932406497363321</v>
      </c>
      <c r="AE116" s="248" t="e">
        <f>Y116/S116%</f>
        <v>#DIV/0!</v>
      </c>
      <c r="AF116" s="248">
        <f>Z116/T116%</f>
        <v>17.932406497363321</v>
      </c>
      <c r="AG116" s="249" t="e">
        <f t="shared" ref="AG116" si="112">AA116/U116%</f>
        <v>#DIV/0!</v>
      </c>
      <c r="AH116" s="292"/>
    </row>
    <row r="117" spans="1:34" x14ac:dyDescent="0.25">
      <c r="A117" s="92" t="s">
        <v>94</v>
      </c>
      <c r="B117" s="378">
        <v>2633233375.1999998</v>
      </c>
      <c r="C117" s="378">
        <v>0</v>
      </c>
      <c r="D117" s="378">
        <v>2633204375.1999998</v>
      </c>
      <c r="E117" s="401">
        <f>F117+G117+H117</f>
        <v>29000</v>
      </c>
      <c r="F117" s="378">
        <v>0</v>
      </c>
      <c r="G117" s="378">
        <v>29000</v>
      </c>
      <c r="H117" s="378">
        <v>0</v>
      </c>
      <c r="I117" s="378">
        <v>1359116432.75</v>
      </c>
      <c r="J117" s="378">
        <v>0</v>
      </c>
      <c r="K117" s="378">
        <v>1359111432.75</v>
      </c>
      <c r="L117" s="401">
        <f>M117+N117+O117</f>
        <v>5000</v>
      </c>
      <c r="M117" s="378">
        <v>0</v>
      </c>
      <c r="N117" s="378">
        <v>5000</v>
      </c>
      <c r="O117" s="378">
        <v>0</v>
      </c>
      <c r="P117" s="31">
        <f t="shared" si="107"/>
        <v>2633.2333752</v>
      </c>
      <c r="Q117" s="31">
        <f t="shared" si="108"/>
        <v>2633.2043752</v>
      </c>
      <c r="R117" s="31">
        <f t="shared" si="108"/>
        <v>2.9000000000000001E-2</v>
      </c>
      <c r="S117" s="31">
        <f t="shared" si="108"/>
        <v>0</v>
      </c>
      <c r="T117" s="31">
        <f t="shared" si="109"/>
        <v>2.9000000000000001E-2</v>
      </c>
      <c r="U117" s="31">
        <f t="shared" si="109"/>
        <v>0</v>
      </c>
      <c r="V117" s="31">
        <f t="shared" si="110"/>
        <v>1359.1164327500001</v>
      </c>
      <c r="W117" s="31">
        <f t="shared" ref="W117:Y121" si="113">K117/1000000</f>
        <v>1359.1114327499999</v>
      </c>
      <c r="X117" s="31">
        <f t="shared" si="113"/>
        <v>5.0000000000000001E-3</v>
      </c>
      <c r="Y117" s="31">
        <f t="shared" si="113"/>
        <v>0</v>
      </c>
      <c r="Z117" s="31">
        <f t="shared" si="111"/>
        <v>5.0000000000000001E-3</v>
      </c>
      <c r="AA117" s="31">
        <f t="shared" si="111"/>
        <v>0</v>
      </c>
      <c r="AB117" s="31">
        <f t="shared" si="52"/>
        <v>51.613975637338719</v>
      </c>
      <c r="AC117" s="31">
        <f t="shared" si="45"/>
        <v>51.614354189532712</v>
      </c>
      <c r="AD117" s="31">
        <f t="shared" si="45"/>
        <v>17.241379310344829</v>
      </c>
      <c r="AE117" s="49" t="s">
        <v>31</v>
      </c>
      <c r="AF117" s="31">
        <f t="shared" ref="AF117:AG132" si="114">Z117/T117%</f>
        <v>17.241379310344829</v>
      </c>
      <c r="AG117" s="46" t="s">
        <v>31</v>
      </c>
      <c r="AH117" s="30"/>
    </row>
    <row r="118" spans="1:34" x14ac:dyDescent="0.25">
      <c r="A118" s="92" t="s">
        <v>95</v>
      </c>
      <c r="B118" s="378">
        <v>15815443013.719999</v>
      </c>
      <c r="C118" s="378">
        <v>579428020.64999998</v>
      </c>
      <c r="D118" s="378">
        <v>15607913476</v>
      </c>
      <c r="E118" s="401">
        <f>F118+G118+H118-E119</f>
        <v>786302613.84000003</v>
      </c>
      <c r="F118" s="378">
        <v>603515707.64999998</v>
      </c>
      <c r="G118" s="378">
        <v>181327725.09</v>
      </c>
      <c r="H118" s="378">
        <v>2114125.63</v>
      </c>
      <c r="I118" s="378">
        <v>7933925621.1400003</v>
      </c>
      <c r="J118" s="378">
        <v>166218722.61000001</v>
      </c>
      <c r="K118" s="378">
        <v>7869401123.3699999</v>
      </c>
      <c r="L118" s="401">
        <f>M118+N118+O118-L119</f>
        <v>230683220.38</v>
      </c>
      <c r="M118" s="378">
        <v>190770266.84999999</v>
      </c>
      <c r="N118" s="378">
        <v>39524475.270000003</v>
      </c>
      <c r="O118" s="378">
        <v>448478.26</v>
      </c>
      <c r="P118" s="31">
        <f t="shared" si="107"/>
        <v>15815.44301372</v>
      </c>
      <c r="Q118" s="31">
        <f t="shared" si="108"/>
        <v>15607.913476</v>
      </c>
      <c r="R118" s="31">
        <f t="shared" si="108"/>
        <v>786.30261384000005</v>
      </c>
      <c r="S118" s="31">
        <f t="shared" si="108"/>
        <v>603.51570764999997</v>
      </c>
      <c r="T118" s="31">
        <f t="shared" si="109"/>
        <v>181.32772509</v>
      </c>
      <c r="U118" s="31">
        <f t="shared" si="109"/>
        <v>2.1141256299999998</v>
      </c>
      <c r="V118" s="31">
        <f t="shared" si="110"/>
        <v>7933.9256211400007</v>
      </c>
      <c r="W118" s="31">
        <f t="shared" si="113"/>
        <v>7869.4011233700003</v>
      </c>
      <c r="X118" s="31">
        <f t="shared" si="113"/>
        <v>230.68322037999999</v>
      </c>
      <c r="Y118" s="31">
        <f t="shared" si="113"/>
        <v>190.77026684999998</v>
      </c>
      <c r="Z118" s="31">
        <f t="shared" si="111"/>
        <v>39.524475270000003</v>
      </c>
      <c r="AA118" s="31">
        <f t="shared" si="111"/>
        <v>0.44847826000000002</v>
      </c>
      <c r="AB118" s="31">
        <f t="shared" si="52"/>
        <v>50.165686881216473</v>
      </c>
      <c r="AC118" s="31">
        <f t="shared" si="45"/>
        <v>50.419302589488552</v>
      </c>
      <c r="AD118" s="31">
        <f t="shared" si="45"/>
        <v>29.337715062834615</v>
      </c>
      <c r="AE118" s="31">
        <f t="shared" si="45"/>
        <v>31.609826294800328</v>
      </c>
      <c r="AF118" s="31">
        <f t="shared" si="114"/>
        <v>21.797259768401368</v>
      </c>
      <c r="AG118" s="33">
        <f t="shared" si="114"/>
        <v>21.213415779837078</v>
      </c>
      <c r="AH118" s="30"/>
    </row>
    <row r="119" spans="1:34" s="250" customFormat="1" hidden="1" x14ac:dyDescent="0.25">
      <c r="A119" s="291" t="s">
        <v>68</v>
      </c>
      <c r="B119" s="398">
        <v>4569723.88</v>
      </c>
      <c r="C119" s="398">
        <v>579428020.64999998</v>
      </c>
      <c r="D119" s="398">
        <v>583342800</v>
      </c>
      <c r="E119" s="399">
        <f>F119+G119+H119</f>
        <v>654944.53</v>
      </c>
      <c r="F119" s="398">
        <v>0</v>
      </c>
      <c r="G119" s="398">
        <v>654944.53</v>
      </c>
      <c r="H119" s="398">
        <v>0</v>
      </c>
      <c r="I119" s="398">
        <v>0</v>
      </c>
      <c r="J119" s="398">
        <v>166218722.61000001</v>
      </c>
      <c r="K119" s="398">
        <v>166158722.61000001</v>
      </c>
      <c r="L119" s="399">
        <f>M119+N119+O119</f>
        <v>60000</v>
      </c>
      <c r="M119" s="398">
        <v>0</v>
      </c>
      <c r="N119" s="398">
        <v>60000</v>
      </c>
      <c r="O119" s="398">
        <v>0</v>
      </c>
      <c r="P119" s="248">
        <f t="shared" si="107"/>
        <v>4.5697238799999997</v>
      </c>
      <c r="Q119" s="248">
        <f t="shared" si="108"/>
        <v>583.34280000000001</v>
      </c>
      <c r="R119" s="248">
        <f t="shared" si="108"/>
        <v>0.65494453000000008</v>
      </c>
      <c r="S119" s="248">
        <f t="shared" si="108"/>
        <v>0</v>
      </c>
      <c r="T119" s="248">
        <f t="shared" si="109"/>
        <v>0.65494453000000008</v>
      </c>
      <c r="U119" s="248">
        <f t="shared" si="109"/>
        <v>0</v>
      </c>
      <c r="V119" s="248">
        <f t="shared" si="110"/>
        <v>0</v>
      </c>
      <c r="W119" s="248">
        <f t="shared" si="113"/>
        <v>166.15872261000001</v>
      </c>
      <c r="X119" s="248">
        <f t="shared" si="113"/>
        <v>0.06</v>
      </c>
      <c r="Y119" s="248">
        <f t="shared" si="113"/>
        <v>0</v>
      </c>
      <c r="Z119" s="248">
        <f t="shared" si="111"/>
        <v>0.06</v>
      </c>
      <c r="AA119" s="248">
        <f t="shared" si="111"/>
        <v>0</v>
      </c>
      <c r="AB119" s="248">
        <f t="shared" si="52"/>
        <v>0</v>
      </c>
      <c r="AC119" s="248">
        <f t="shared" si="45"/>
        <v>28.483890194581985</v>
      </c>
      <c r="AD119" s="248">
        <f t="shared" si="45"/>
        <v>9.161081168202136</v>
      </c>
      <c r="AE119" s="248" t="e">
        <f t="shared" si="45"/>
        <v>#DIV/0!</v>
      </c>
      <c r="AF119" s="248">
        <f t="shared" si="114"/>
        <v>9.161081168202136</v>
      </c>
      <c r="AG119" s="249" t="e">
        <f t="shared" si="114"/>
        <v>#DIV/0!</v>
      </c>
      <c r="AH119" s="292"/>
    </row>
    <row r="120" spans="1:34" x14ac:dyDescent="0.25">
      <c r="A120" s="92" t="s">
        <v>96</v>
      </c>
      <c r="B120" s="378">
        <v>3134941775.25</v>
      </c>
      <c r="C120" s="378">
        <v>615907540</v>
      </c>
      <c r="D120" s="378">
        <v>3115703124</v>
      </c>
      <c r="E120" s="401">
        <f>F120+G120+H120-E121</f>
        <v>635146191.25</v>
      </c>
      <c r="F120" s="378">
        <v>382645739.44999999</v>
      </c>
      <c r="G120" s="378">
        <v>252500451.80000001</v>
      </c>
      <c r="H120" s="378">
        <v>0</v>
      </c>
      <c r="I120" s="378">
        <v>1374905289.3099999</v>
      </c>
      <c r="J120" s="378">
        <v>309648073.88999999</v>
      </c>
      <c r="K120" s="378">
        <v>1369864080.8099999</v>
      </c>
      <c r="L120" s="401">
        <f>M120+N120+O120-L121</f>
        <v>314689282.38999999</v>
      </c>
      <c r="M120" s="378">
        <v>186670898.44999999</v>
      </c>
      <c r="N120" s="378">
        <v>128018383.94</v>
      </c>
      <c r="O120" s="378">
        <v>0</v>
      </c>
      <c r="P120" s="31">
        <f t="shared" si="107"/>
        <v>3134.9417752499999</v>
      </c>
      <c r="Q120" s="31">
        <f t="shared" si="108"/>
        <v>3115.7031240000001</v>
      </c>
      <c r="R120" s="31">
        <f t="shared" si="108"/>
        <v>635.14619125000002</v>
      </c>
      <c r="S120" s="31">
        <f t="shared" si="108"/>
        <v>382.64573945000001</v>
      </c>
      <c r="T120" s="31">
        <f t="shared" si="109"/>
        <v>252.50045180000001</v>
      </c>
      <c r="U120" s="31">
        <f t="shared" si="109"/>
        <v>0</v>
      </c>
      <c r="V120" s="31">
        <f t="shared" si="110"/>
        <v>1374.9052893099999</v>
      </c>
      <c r="W120" s="31">
        <f t="shared" si="113"/>
        <v>1369.8640808099999</v>
      </c>
      <c r="X120" s="31">
        <f t="shared" si="113"/>
        <v>314.68928238999996</v>
      </c>
      <c r="Y120" s="31">
        <f t="shared" si="113"/>
        <v>186.67089844999998</v>
      </c>
      <c r="Z120" s="31">
        <f t="shared" si="111"/>
        <v>128.01838394000001</v>
      </c>
      <c r="AA120" s="31">
        <f t="shared" si="111"/>
        <v>0</v>
      </c>
      <c r="AB120" s="31">
        <f t="shared" si="52"/>
        <v>43.857442589993759</v>
      </c>
      <c r="AC120" s="31">
        <f t="shared" si="45"/>
        <v>43.966450791092761</v>
      </c>
      <c r="AD120" s="31">
        <f t="shared" si="45"/>
        <v>49.545960713497379</v>
      </c>
      <c r="AE120" s="31">
        <f t="shared" si="45"/>
        <v>48.784261577905824</v>
      </c>
      <c r="AF120" s="31">
        <f t="shared" si="114"/>
        <v>50.700259356922068</v>
      </c>
      <c r="AG120" s="46" t="s">
        <v>31</v>
      </c>
      <c r="AH120" s="30"/>
    </row>
    <row r="121" spans="1:34" s="250" customFormat="1" hidden="1" x14ac:dyDescent="0.25">
      <c r="A121" s="291" t="s">
        <v>68</v>
      </c>
      <c r="B121" s="398">
        <v>31940960</v>
      </c>
      <c r="C121" s="398">
        <v>615907540</v>
      </c>
      <c r="D121" s="398">
        <v>647848500</v>
      </c>
      <c r="E121" s="399">
        <f>F121+G121+H121</f>
        <v>0</v>
      </c>
      <c r="F121" s="398">
        <v>0</v>
      </c>
      <c r="G121" s="398">
        <v>0</v>
      </c>
      <c r="H121" s="398">
        <v>0</v>
      </c>
      <c r="I121" s="398">
        <v>0</v>
      </c>
      <c r="J121" s="398">
        <v>309648073.88999999</v>
      </c>
      <c r="K121" s="398">
        <v>309648073.88999999</v>
      </c>
      <c r="L121" s="399">
        <f>M121+N121+O121</f>
        <v>0</v>
      </c>
      <c r="M121" s="398">
        <v>0</v>
      </c>
      <c r="N121" s="398">
        <v>0</v>
      </c>
      <c r="O121" s="398">
        <v>0</v>
      </c>
      <c r="P121" s="248">
        <f t="shared" si="107"/>
        <v>31.94096</v>
      </c>
      <c r="Q121" s="248">
        <f t="shared" si="108"/>
        <v>647.84849999999994</v>
      </c>
      <c r="R121" s="248">
        <f t="shared" si="108"/>
        <v>0</v>
      </c>
      <c r="S121" s="248">
        <f t="shared" si="108"/>
        <v>0</v>
      </c>
      <c r="T121" s="248">
        <f t="shared" si="109"/>
        <v>0</v>
      </c>
      <c r="U121" s="248">
        <f t="shared" si="109"/>
        <v>0</v>
      </c>
      <c r="V121" s="248">
        <f t="shared" si="110"/>
        <v>0</v>
      </c>
      <c r="W121" s="248">
        <f t="shared" si="113"/>
        <v>309.64807388999998</v>
      </c>
      <c r="X121" s="248">
        <f t="shared" si="113"/>
        <v>0</v>
      </c>
      <c r="Y121" s="248">
        <f t="shared" si="113"/>
        <v>0</v>
      </c>
      <c r="Z121" s="248">
        <f t="shared" si="111"/>
        <v>0</v>
      </c>
      <c r="AA121" s="248">
        <f t="shared" si="111"/>
        <v>0</v>
      </c>
      <c r="AB121" s="248">
        <f t="shared" si="52"/>
        <v>0</v>
      </c>
      <c r="AC121" s="248">
        <f t="shared" si="45"/>
        <v>47.796371202526522</v>
      </c>
      <c r="AD121" s="248" t="e">
        <f t="shared" si="45"/>
        <v>#DIV/0!</v>
      </c>
      <c r="AE121" s="248" t="e">
        <f t="shared" si="45"/>
        <v>#DIV/0!</v>
      </c>
      <c r="AF121" s="248" t="e">
        <f t="shared" si="114"/>
        <v>#DIV/0!</v>
      </c>
      <c r="AG121" s="249" t="e">
        <f t="shared" si="114"/>
        <v>#DIV/0!</v>
      </c>
      <c r="AH121" s="292"/>
    </row>
    <row r="122" spans="1:34" s="39" customFormat="1" x14ac:dyDescent="0.25">
      <c r="A122" s="91" t="s">
        <v>97</v>
      </c>
      <c r="B122" s="375">
        <v>746605916.25</v>
      </c>
      <c r="C122" s="375">
        <v>157792555</v>
      </c>
      <c r="D122" s="375">
        <v>612630200</v>
      </c>
      <c r="E122" s="395">
        <f>F122+G122+H122-E123</f>
        <v>287820316.25</v>
      </c>
      <c r="F122" s="375">
        <v>260947813.05000001</v>
      </c>
      <c r="G122" s="375">
        <v>20430615.940000001</v>
      </c>
      <c r="H122" s="375">
        <v>10389842.26</v>
      </c>
      <c r="I122" s="375">
        <v>314701298.98000002</v>
      </c>
      <c r="J122" s="375">
        <v>9128415.4900000002</v>
      </c>
      <c r="K122" s="375">
        <v>252061161.65000001</v>
      </c>
      <c r="L122" s="395">
        <f>M122+N122+O122-L123</f>
        <v>71085537.819999993</v>
      </c>
      <c r="M122" s="375">
        <v>62226949.439999998</v>
      </c>
      <c r="N122" s="375">
        <v>7012064.9199999999</v>
      </c>
      <c r="O122" s="375">
        <v>2529538.46</v>
      </c>
      <c r="P122" s="35">
        <f t="shared" si="107"/>
        <v>746.60591624999995</v>
      </c>
      <c r="Q122" s="35">
        <f t="shared" si="108"/>
        <v>612.63019999999995</v>
      </c>
      <c r="R122" s="35">
        <f>E122/1000000</f>
        <v>287.82031625000002</v>
      </c>
      <c r="S122" s="35">
        <f>F122/1000000</f>
        <v>260.94781305000004</v>
      </c>
      <c r="T122" s="35">
        <f t="shared" si="109"/>
        <v>20.430615940000003</v>
      </c>
      <c r="U122" s="35">
        <f>H122/1000000</f>
        <v>10.38984226</v>
      </c>
      <c r="V122" s="35">
        <f t="shared" si="110"/>
        <v>314.70129898000005</v>
      </c>
      <c r="W122" s="35">
        <f>K122/1000000</f>
        <v>252.06116165</v>
      </c>
      <c r="X122" s="35">
        <f>L122/1000000</f>
        <v>71.085537819999999</v>
      </c>
      <c r="Y122" s="35">
        <f>M122/1000000</f>
        <v>62.226949439999999</v>
      </c>
      <c r="Z122" s="35">
        <f t="shared" si="111"/>
        <v>7.0120649200000003</v>
      </c>
      <c r="AA122" s="35">
        <f t="shared" si="111"/>
        <v>2.5295384599999999</v>
      </c>
      <c r="AB122" s="35">
        <f t="shared" si="52"/>
        <v>42.150924889620448</v>
      </c>
      <c r="AC122" s="35">
        <f t="shared" si="45"/>
        <v>41.144096658963278</v>
      </c>
      <c r="AD122" s="35">
        <f>X122/R122%</f>
        <v>24.697887468880158</v>
      </c>
      <c r="AE122" s="35">
        <f>Y122/S122%</f>
        <v>23.846511190372283</v>
      </c>
      <c r="AF122" s="35">
        <f t="shared" si="114"/>
        <v>34.321358399535356</v>
      </c>
      <c r="AG122" s="36">
        <f t="shared" si="114"/>
        <v>24.346264329137178</v>
      </c>
      <c r="AH122" s="37"/>
    </row>
    <row r="123" spans="1:34" s="250" customFormat="1" hidden="1" x14ac:dyDescent="0.25">
      <c r="A123" s="291" t="s">
        <v>68</v>
      </c>
      <c r="B123" s="300">
        <v>1000000</v>
      </c>
      <c r="C123" s="300">
        <v>157792555</v>
      </c>
      <c r="D123" s="300">
        <v>154844600</v>
      </c>
      <c r="E123" s="399">
        <f>F123+G123+H123</f>
        <v>3947955</v>
      </c>
      <c r="F123" s="300">
        <v>0</v>
      </c>
      <c r="G123" s="300">
        <v>2997655</v>
      </c>
      <c r="H123" s="300">
        <v>950300</v>
      </c>
      <c r="I123" s="300">
        <v>0</v>
      </c>
      <c r="J123" s="300">
        <v>9128415.4900000002</v>
      </c>
      <c r="K123" s="300">
        <v>8445400.4900000002</v>
      </c>
      <c r="L123" s="399">
        <f>M123+N123+O123</f>
        <v>683015</v>
      </c>
      <c r="M123" s="300">
        <v>0</v>
      </c>
      <c r="N123" s="300">
        <v>481115</v>
      </c>
      <c r="O123" s="300">
        <v>201900</v>
      </c>
      <c r="P123" s="248"/>
      <c r="Q123" s="248">
        <f t="shared" si="108"/>
        <v>154.84460000000001</v>
      </c>
      <c r="R123" s="248"/>
      <c r="S123" s="248"/>
      <c r="T123" s="248">
        <f t="shared" si="109"/>
        <v>2.997655</v>
      </c>
      <c r="U123" s="248">
        <f t="shared" si="109"/>
        <v>0.95030000000000003</v>
      </c>
      <c r="V123" s="248"/>
      <c r="W123" s="248">
        <f t="shared" ref="W123:Y135" si="115">K123/1000000</f>
        <v>8.4454004900000008</v>
      </c>
      <c r="X123" s="248"/>
      <c r="Y123" s="248"/>
      <c r="Z123" s="248">
        <f t="shared" si="111"/>
        <v>0.48111500000000001</v>
      </c>
      <c r="AA123" s="248">
        <f t="shared" si="111"/>
        <v>0.2019</v>
      </c>
      <c r="AB123" s="248"/>
      <c r="AC123" s="248">
        <f t="shared" si="45"/>
        <v>5.454113666217614</v>
      </c>
      <c r="AD123" s="248"/>
      <c r="AE123" s="248"/>
      <c r="AF123" s="248">
        <f t="shared" si="114"/>
        <v>16.049712191696511</v>
      </c>
      <c r="AG123" s="249">
        <f t="shared" si="114"/>
        <v>21.245922340313584</v>
      </c>
      <c r="AH123" s="292"/>
    </row>
    <row r="124" spans="1:34" s="39" customFormat="1" x14ac:dyDescent="0.25">
      <c r="A124" s="91" t="s">
        <v>98</v>
      </c>
      <c r="B124" s="375">
        <v>98589200</v>
      </c>
      <c r="C124" s="375">
        <v>0</v>
      </c>
      <c r="D124" s="375">
        <v>74931400</v>
      </c>
      <c r="E124" s="394">
        <f>F124+G124+H124</f>
        <v>23657800</v>
      </c>
      <c r="F124" s="375">
        <v>23657800</v>
      </c>
      <c r="G124" s="375">
        <v>0</v>
      </c>
      <c r="H124" s="375">
        <v>0</v>
      </c>
      <c r="I124" s="375">
        <v>47492228</v>
      </c>
      <c r="J124" s="375">
        <v>0</v>
      </c>
      <c r="K124" s="375">
        <v>35063200</v>
      </c>
      <c r="L124" s="394">
        <f>M124+N124+O124</f>
        <v>12429028</v>
      </c>
      <c r="M124" s="375">
        <v>12429028</v>
      </c>
      <c r="N124" s="375">
        <v>0</v>
      </c>
      <c r="O124" s="375">
        <v>0</v>
      </c>
      <c r="P124" s="35">
        <f t="shared" si="107"/>
        <v>98.589200000000005</v>
      </c>
      <c r="Q124" s="35">
        <f t="shared" si="108"/>
        <v>74.931399999999996</v>
      </c>
      <c r="R124" s="35">
        <f t="shared" si="108"/>
        <v>23.657800000000002</v>
      </c>
      <c r="S124" s="35">
        <f t="shared" si="108"/>
        <v>23.657800000000002</v>
      </c>
      <c r="T124" s="35">
        <f t="shared" si="109"/>
        <v>0</v>
      </c>
      <c r="U124" s="35">
        <f t="shared" si="109"/>
        <v>0</v>
      </c>
      <c r="V124" s="35">
        <f t="shared" si="109"/>
        <v>47.492227999999997</v>
      </c>
      <c r="W124" s="35">
        <f t="shared" si="115"/>
        <v>35.063200000000002</v>
      </c>
      <c r="X124" s="35">
        <f t="shared" si="115"/>
        <v>12.429028000000001</v>
      </c>
      <c r="Y124" s="35">
        <f t="shared" si="115"/>
        <v>12.429028000000001</v>
      </c>
      <c r="Z124" s="35">
        <f t="shared" si="111"/>
        <v>0</v>
      </c>
      <c r="AA124" s="35">
        <f t="shared" si="111"/>
        <v>0</v>
      </c>
      <c r="AB124" s="35">
        <f>V124/P124%</f>
        <v>48.171836266041304</v>
      </c>
      <c r="AC124" s="35">
        <f t="shared" si="45"/>
        <v>46.793734002033865</v>
      </c>
      <c r="AD124" s="35">
        <f>X124/R124%</f>
        <v>52.536702482902044</v>
      </c>
      <c r="AE124" s="35">
        <f>Y124/S124%</f>
        <v>52.536702482902044</v>
      </c>
      <c r="AF124" s="93" t="s">
        <v>31</v>
      </c>
      <c r="AG124" s="100" t="s">
        <v>31</v>
      </c>
      <c r="AH124" s="37"/>
    </row>
    <row r="125" spans="1:34" s="39" customFormat="1" ht="26.4" x14ac:dyDescent="0.25">
      <c r="A125" s="91" t="s">
        <v>99</v>
      </c>
      <c r="B125" s="102">
        <v>2059074641.3699999</v>
      </c>
      <c r="C125" s="102">
        <v>711466.67</v>
      </c>
      <c r="D125" s="102">
        <v>1590840900</v>
      </c>
      <c r="E125" s="394">
        <f>F125+G125+H125</f>
        <v>468945208.04000002</v>
      </c>
      <c r="F125" s="102">
        <v>413345031.04000002</v>
      </c>
      <c r="G125" s="102">
        <v>51393477</v>
      </c>
      <c r="H125" s="102">
        <v>4206700</v>
      </c>
      <c r="I125" s="375">
        <v>858885136.05999994</v>
      </c>
      <c r="J125" s="375">
        <v>0</v>
      </c>
      <c r="K125" s="375">
        <v>731020038.34000003</v>
      </c>
      <c r="L125" s="394">
        <f>M125+N125+O125</f>
        <v>127865097.72</v>
      </c>
      <c r="M125" s="375">
        <v>108160161.65000001</v>
      </c>
      <c r="N125" s="375">
        <v>18371033.539999999</v>
      </c>
      <c r="O125" s="375">
        <v>1333902.53</v>
      </c>
      <c r="P125" s="35">
        <f t="shared" si="107"/>
        <v>2059.0746413699999</v>
      </c>
      <c r="Q125" s="35">
        <f t="shared" si="108"/>
        <v>1590.8408999999999</v>
      </c>
      <c r="R125" s="35">
        <f t="shared" si="108"/>
        <v>468.94520804000001</v>
      </c>
      <c r="S125" s="35">
        <f t="shared" si="108"/>
        <v>413.34503104000004</v>
      </c>
      <c r="T125" s="35">
        <f t="shared" si="109"/>
        <v>51.393476999999997</v>
      </c>
      <c r="U125" s="35">
        <f t="shared" si="109"/>
        <v>4.2066999999999997</v>
      </c>
      <c r="V125" s="35">
        <f t="shared" si="109"/>
        <v>858.88513605999992</v>
      </c>
      <c r="W125" s="35">
        <f t="shared" si="115"/>
        <v>731.02003834000004</v>
      </c>
      <c r="X125" s="35">
        <f t="shared" si="115"/>
        <v>127.86509771999999</v>
      </c>
      <c r="Y125" s="35">
        <f t="shared" si="115"/>
        <v>108.16016165000001</v>
      </c>
      <c r="Z125" s="35">
        <f t="shared" si="111"/>
        <v>18.371033539999999</v>
      </c>
      <c r="AA125" s="35">
        <f t="shared" si="111"/>
        <v>1.33390253</v>
      </c>
      <c r="AB125" s="35">
        <f>V125/P125%</f>
        <v>41.712190456997853</v>
      </c>
      <c r="AC125" s="35">
        <f t="shared" si="45"/>
        <v>45.951800606836301</v>
      </c>
      <c r="AD125" s="35">
        <f>X125/R125%</f>
        <v>27.266532534669462</v>
      </c>
      <c r="AE125" s="35">
        <f>Y125/S125%</f>
        <v>26.167040493474126</v>
      </c>
      <c r="AF125" s="35">
        <f t="shared" si="114"/>
        <v>35.745846773511744</v>
      </c>
      <c r="AG125" s="36">
        <f t="shared" si="114"/>
        <v>31.709000641833271</v>
      </c>
      <c r="AH125" s="37"/>
    </row>
    <row r="126" spans="1:34" s="39" customFormat="1" ht="26.4" x14ac:dyDescent="0.25">
      <c r="A126" s="91" t="s">
        <v>100</v>
      </c>
      <c r="B126" s="375">
        <v>79545681.569999993</v>
      </c>
      <c r="C126" s="375">
        <v>4767391166.79</v>
      </c>
      <c r="D126" s="375">
        <v>4297285000</v>
      </c>
      <c r="E126" s="395"/>
      <c r="F126" s="375">
        <v>0</v>
      </c>
      <c r="G126" s="375">
        <v>549651848.36000001</v>
      </c>
      <c r="H126" s="375">
        <v>0</v>
      </c>
      <c r="I126" s="375">
        <v>21700</v>
      </c>
      <c r="J126" s="375">
        <v>2329019003.9299998</v>
      </c>
      <c r="K126" s="375">
        <v>2054307628.6900001</v>
      </c>
      <c r="L126" s="395"/>
      <c r="M126" s="375">
        <v>0</v>
      </c>
      <c r="N126" s="375">
        <v>274733075.24000001</v>
      </c>
      <c r="O126" s="375">
        <v>0</v>
      </c>
      <c r="P126" s="35">
        <f t="shared" si="107"/>
        <v>79.545681569999999</v>
      </c>
      <c r="Q126" s="35">
        <f t="shared" si="108"/>
        <v>4297.2849999999999</v>
      </c>
      <c r="R126" s="35"/>
      <c r="S126" s="35">
        <f t="shared" si="108"/>
        <v>0</v>
      </c>
      <c r="T126" s="35">
        <f t="shared" si="109"/>
        <v>549.65184836000003</v>
      </c>
      <c r="U126" s="35">
        <f t="shared" si="109"/>
        <v>0</v>
      </c>
      <c r="V126" s="35">
        <f t="shared" si="109"/>
        <v>2.1700000000000001E-2</v>
      </c>
      <c r="W126" s="35">
        <f t="shared" si="115"/>
        <v>2054.30762869</v>
      </c>
      <c r="X126" s="35"/>
      <c r="Y126" s="35">
        <f t="shared" si="115"/>
        <v>0</v>
      </c>
      <c r="Z126" s="35">
        <f t="shared" si="111"/>
        <v>274.73307524000001</v>
      </c>
      <c r="AA126" s="35">
        <f t="shared" si="111"/>
        <v>0</v>
      </c>
      <c r="AB126" s="35">
        <f>V126/P126%</f>
        <v>2.7279922142478662E-2</v>
      </c>
      <c r="AC126" s="35">
        <f t="shared" si="45"/>
        <v>47.804779731621245</v>
      </c>
      <c r="AD126" s="93" t="s">
        <v>31</v>
      </c>
      <c r="AE126" s="93" t="s">
        <v>31</v>
      </c>
      <c r="AF126" s="35">
        <f t="shared" si="114"/>
        <v>49.983107681657572</v>
      </c>
      <c r="AG126" s="100" t="s">
        <v>31</v>
      </c>
      <c r="AH126" s="37"/>
    </row>
    <row r="127" spans="1:34" ht="26.4" x14ac:dyDescent="0.25">
      <c r="A127" s="92" t="s">
        <v>101</v>
      </c>
      <c r="B127" s="378">
        <v>0</v>
      </c>
      <c r="C127" s="378">
        <v>1496625296</v>
      </c>
      <c r="D127" s="378">
        <v>1345132600</v>
      </c>
      <c r="E127" s="401"/>
      <c r="F127" s="378">
        <v>0</v>
      </c>
      <c r="G127" s="378">
        <v>151492696</v>
      </c>
      <c r="H127" s="378">
        <v>0</v>
      </c>
      <c r="I127" s="378">
        <v>21700</v>
      </c>
      <c r="J127" s="378">
        <v>745710907</v>
      </c>
      <c r="K127" s="378">
        <v>668944900</v>
      </c>
      <c r="L127" s="401"/>
      <c r="M127" s="378">
        <v>0</v>
      </c>
      <c r="N127" s="378">
        <v>76787707</v>
      </c>
      <c r="O127" s="378">
        <v>0</v>
      </c>
      <c r="P127" s="31">
        <f t="shared" si="107"/>
        <v>0</v>
      </c>
      <c r="Q127" s="31">
        <f t="shared" si="108"/>
        <v>1345.1325999999999</v>
      </c>
      <c r="R127" s="31"/>
      <c r="S127" s="31">
        <f t="shared" si="108"/>
        <v>0</v>
      </c>
      <c r="T127" s="31">
        <f t="shared" si="109"/>
        <v>151.492696</v>
      </c>
      <c r="U127" s="31">
        <f t="shared" si="109"/>
        <v>0</v>
      </c>
      <c r="V127" s="31">
        <f>I127/1000000</f>
        <v>2.1700000000000001E-2</v>
      </c>
      <c r="W127" s="31">
        <f t="shared" si="115"/>
        <v>668.94489999999996</v>
      </c>
      <c r="X127" s="31"/>
      <c r="Y127" s="31">
        <f t="shared" si="115"/>
        <v>0</v>
      </c>
      <c r="Z127" s="31">
        <f t="shared" si="111"/>
        <v>76.787706999999997</v>
      </c>
      <c r="AA127" s="31">
        <f t="shared" si="111"/>
        <v>0</v>
      </c>
      <c r="AB127" s="49" t="s">
        <v>31</v>
      </c>
      <c r="AC127" s="31">
        <f t="shared" si="45"/>
        <v>49.730777471306546</v>
      </c>
      <c r="AD127" s="49" t="s">
        <v>31</v>
      </c>
      <c r="AE127" s="49" t="s">
        <v>31</v>
      </c>
      <c r="AF127" s="31">
        <f t="shared" si="114"/>
        <v>50.687398816904022</v>
      </c>
      <c r="AG127" s="46" t="s">
        <v>31</v>
      </c>
      <c r="AH127" s="67"/>
    </row>
    <row r="128" spans="1:34" x14ac:dyDescent="0.25">
      <c r="A128" s="92" t="s">
        <v>102</v>
      </c>
      <c r="B128" s="378">
        <v>1100000</v>
      </c>
      <c r="C128" s="378">
        <v>266045900</v>
      </c>
      <c r="D128" s="378">
        <v>168764000</v>
      </c>
      <c r="E128" s="401"/>
      <c r="F128" s="378">
        <v>0</v>
      </c>
      <c r="G128" s="378">
        <v>98381900</v>
      </c>
      <c r="H128" s="378">
        <v>0</v>
      </c>
      <c r="I128" s="378">
        <v>0</v>
      </c>
      <c r="J128" s="378">
        <v>134970120</v>
      </c>
      <c r="K128" s="378">
        <v>84382000</v>
      </c>
      <c r="L128" s="401"/>
      <c r="M128" s="378">
        <v>0</v>
      </c>
      <c r="N128" s="378">
        <v>50588120</v>
      </c>
      <c r="O128" s="378">
        <v>0</v>
      </c>
      <c r="P128" s="31">
        <f t="shared" si="107"/>
        <v>1.1000000000000001</v>
      </c>
      <c r="Q128" s="31">
        <f t="shared" si="108"/>
        <v>168.76400000000001</v>
      </c>
      <c r="R128" s="31"/>
      <c r="S128" s="31">
        <f t="shared" si="108"/>
        <v>0</v>
      </c>
      <c r="T128" s="31">
        <f t="shared" si="109"/>
        <v>98.381900000000002</v>
      </c>
      <c r="U128" s="31">
        <f t="shared" si="109"/>
        <v>0</v>
      </c>
      <c r="V128" s="31">
        <f t="shared" si="109"/>
        <v>0</v>
      </c>
      <c r="W128" s="31">
        <f t="shared" si="115"/>
        <v>84.382000000000005</v>
      </c>
      <c r="X128" s="31"/>
      <c r="Y128" s="31">
        <f t="shared" si="115"/>
        <v>0</v>
      </c>
      <c r="Z128" s="31">
        <f t="shared" si="111"/>
        <v>50.588120000000004</v>
      </c>
      <c r="AA128" s="31">
        <f t="shared" si="111"/>
        <v>0</v>
      </c>
      <c r="AB128" s="49" t="s">
        <v>31</v>
      </c>
      <c r="AC128" s="31">
        <f t="shared" si="45"/>
        <v>50</v>
      </c>
      <c r="AD128" s="49" t="s">
        <v>31</v>
      </c>
      <c r="AE128" s="49" t="s">
        <v>31</v>
      </c>
      <c r="AF128" s="31">
        <f t="shared" si="114"/>
        <v>51.420149438057209</v>
      </c>
      <c r="AG128" s="46" t="s">
        <v>31</v>
      </c>
      <c r="AH128" s="67"/>
    </row>
    <row r="129" spans="1:34" ht="26.4" x14ac:dyDescent="0.25">
      <c r="A129" s="92" t="s">
        <v>103</v>
      </c>
      <c r="B129" s="378">
        <v>78445681.569999993</v>
      </c>
      <c r="C129" s="378">
        <v>3004719970.79</v>
      </c>
      <c r="D129" s="378">
        <v>2783388400</v>
      </c>
      <c r="E129" s="401"/>
      <c r="F129" s="378">
        <v>0</v>
      </c>
      <c r="G129" s="378">
        <v>299777252.36000001</v>
      </c>
      <c r="H129" s="378">
        <v>0</v>
      </c>
      <c r="I129" s="378">
        <v>0</v>
      </c>
      <c r="J129" s="378">
        <v>1448337976.9300001</v>
      </c>
      <c r="K129" s="378">
        <v>1300980728.6900001</v>
      </c>
      <c r="L129" s="401"/>
      <c r="M129" s="378">
        <v>0</v>
      </c>
      <c r="N129" s="378">
        <v>147357248.24000001</v>
      </c>
      <c r="O129" s="378">
        <v>0</v>
      </c>
      <c r="P129" s="31">
        <f t="shared" si="107"/>
        <v>78.445681569999991</v>
      </c>
      <c r="Q129" s="31">
        <f t="shared" si="108"/>
        <v>2783.3883999999998</v>
      </c>
      <c r="R129" s="31"/>
      <c r="S129" s="31">
        <f t="shared" si="108"/>
        <v>0</v>
      </c>
      <c r="T129" s="31">
        <f t="shared" si="109"/>
        <v>299.77725236000003</v>
      </c>
      <c r="U129" s="31">
        <f t="shared" si="109"/>
        <v>0</v>
      </c>
      <c r="V129" s="31">
        <f t="shared" si="109"/>
        <v>0</v>
      </c>
      <c r="W129" s="31">
        <f t="shared" si="115"/>
        <v>1300.98072869</v>
      </c>
      <c r="X129" s="31"/>
      <c r="Y129" s="31">
        <f t="shared" si="115"/>
        <v>0</v>
      </c>
      <c r="Z129" s="31">
        <f t="shared" si="111"/>
        <v>147.35724824000002</v>
      </c>
      <c r="AA129" s="31">
        <f t="shared" si="111"/>
        <v>0</v>
      </c>
      <c r="AB129" s="49" t="s">
        <v>31</v>
      </c>
      <c r="AC129" s="31">
        <f t="shared" si="45"/>
        <v>46.740897845589934</v>
      </c>
      <c r="AD129" s="49" t="s">
        <v>31</v>
      </c>
      <c r="AE129" s="49" t="s">
        <v>31</v>
      </c>
      <c r="AF129" s="31">
        <f t="shared" si="114"/>
        <v>49.155580378407073</v>
      </c>
      <c r="AG129" s="46" t="s">
        <v>31</v>
      </c>
      <c r="AH129" s="30"/>
    </row>
    <row r="130" spans="1:34" s="39" customFormat="1" x14ac:dyDescent="0.25">
      <c r="A130" s="103" t="s">
        <v>104</v>
      </c>
      <c r="B130" s="104">
        <f>B53+B55+B57+B59+B78+B88+B90+B105+B107+B115+B122+B124+B125+B126</f>
        <v>89993286405.139999</v>
      </c>
      <c r="C130" s="104">
        <f>C53+C55+C57+C59+C78+C88+C90+C105+C107+C115+C122+C124+C125+C126</f>
        <v>23636412786.66</v>
      </c>
      <c r="D130" s="104">
        <f>D53+D55+D57+D59+D78+D88+D90+D105+D107+D115+D122+D124+D125+D126</f>
        <v>74933378949.869995</v>
      </c>
      <c r="E130" s="104">
        <f>E53+E55+E57+E59+E78+E88+E90+E105+E107+E115+E122+E124+E125</f>
        <v>37411489497.449997</v>
      </c>
      <c r="F130" s="104">
        <f>F53+F55+F57+F59+F78+F88+F90+F105+F107+F115+F122+F124+F125+F126</f>
        <v>21484851068.350002</v>
      </c>
      <c r="G130" s="104">
        <f t="shared" ref="G130:K130" si="116">G53+G55+G57+G59+G78+G88+G90+G105+G107+G115+G122+G124+G125+G126</f>
        <v>14707582932.040003</v>
      </c>
      <c r="H130" s="104">
        <f t="shared" si="116"/>
        <v>2503886241.5400004</v>
      </c>
      <c r="I130" s="104">
        <f t="shared" si="116"/>
        <v>42721065176.970001</v>
      </c>
      <c r="J130" s="104">
        <f t="shared" si="116"/>
        <v>11737262314.24</v>
      </c>
      <c r="K130" s="104">
        <f t="shared" si="116"/>
        <v>35811633850.660004</v>
      </c>
      <c r="L130" s="104">
        <f t="shared" ref="L130:O130" si="117">L53+L55+L57+L59+L78+L88+L90+L105+L107+L115+L122+L124+L125+L126</f>
        <v>18187908704.549999</v>
      </c>
      <c r="M130" s="104">
        <f t="shared" si="117"/>
        <v>10187642510.98</v>
      </c>
      <c r="N130" s="104">
        <f t="shared" si="117"/>
        <v>7635067131.9700003</v>
      </c>
      <c r="O130" s="104">
        <f t="shared" si="117"/>
        <v>823983997.60000002</v>
      </c>
      <c r="P130" s="71">
        <f t="shared" si="107"/>
        <v>89993.286405139996</v>
      </c>
      <c r="Q130" s="71">
        <f t="shared" si="108"/>
        <v>74933.378949869992</v>
      </c>
      <c r="R130" s="71">
        <f>E130/1000000</f>
        <v>37411.489497449998</v>
      </c>
      <c r="S130" s="71">
        <f>F130/1000000</f>
        <v>21484.851068350003</v>
      </c>
      <c r="T130" s="71">
        <f t="shared" si="109"/>
        <v>14707.582932040003</v>
      </c>
      <c r="U130" s="71">
        <f t="shared" si="109"/>
        <v>2503.8862415400004</v>
      </c>
      <c r="V130" s="71">
        <f t="shared" si="109"/>
        <v>42721.065176969998</v>
      </c>
      <c r="W130" s="71">
        <f t="shared" si="115"/>
        <v>35811.63385066</v>
      </c>
      <c r="X130" s="71">
        <f t="shared" si="115"/>
        <v>18187.908704549998</v>
      </c>
      <c r="Y130" s="71">
        <f t="shared" si="115"/>
        <v>10187.64251098</v>
      </c>
      <c r="Z130" s="71">
        <f t="shared" si="111"/>
        <v>7635.0671319700004</v>
      </c>
      <c r="AA130" s="71">
        <f t="shared" si="111"/>
        <v>823.98399760000007</v>
      </c>
      <c r="AB130" s="71">
        <f>V130/P130%</f>
        <v>47.471391348732844</v>
      </c>
      <c r="AC130" s="71">
        <f t="shared" si="45"/>
        <v>47.791297219651312</v>
      </c>
      <c r="AD130" s="71">
        <f>X130/R130%</f>
        <v>48.615836869552339</v>
      </c>
      <c r="AE130" s="71">
        <f>Y130/S130%</f>
        <v>47.417794419751559</v>
      </c>
      <c r="AF130" s="71">
        <f t="shared" si="114"/>
        <v>51.912453373540046</v>
      </c>
      <c r="AG130" s="105">
        <f>AA130/U130%</f>
        <v>32.90820421191394</v>
      </c>
      <c r="AH130" s="70"/>
    </row>
    <row r="131" spans="1:34" s="65" customFormat="1" hidden="1" x14ac:dyDescent="0.25">
      <c r="A131" s="106" t="s">
        <v>105</v>
      </c>
      <c r="B131" s="107">
        <f t="shared" ref="B131:O131" si="118">B130-B52</f>
        <v>0</v>
      </c>
      <c r="C131" s="107">
        <f t="shared" si="118"/>
        <v>0</v>
      </c>
      <c r="D131" s="107">
        <f t="shared" si="118"/>
        <v>0</v>
      </c>
      <c r="E131" s="107">
        <f t="shared" si="118"/>
        <v>0</v>
      </c>
      <c r="F131" s="107">
        <f t="shared" si="118"/>
        <v>0</v>
      </c>
      <c r="G131" s="107">
        <f t="shared" si="118"/>
        <v>0</v>
      </c>
      <c r="H131" s="107">
        <f t="shared" si="118"/>
        <v>0</v>
      </c>
      <c r="I131" s="107">
        <f t="shared" si="118"/>
        <v>0</v>
      </c>
      <c r="J131" s="107">
        <f t="shared" si="118"/>
        <v>0</v>
      </c>
      <c r="K131" s="107">
        <f t="shared" si="118"/>
        <v>0</v>
      </c>
      <c r="L131" s="107">
        <f t="shared" si="118"/>
        <v>0</v>
      </c>
      <c r="M131" s="107">
        <f t="shared" si="118"/>
        <v>0</v>
      </c>
      <c r="N131" s="107">
        <f t="shared" si="118"/>
        <v>0</v>
      </c>
      <c r="O131" s="107">
        <f t="shared" si="118"/>
        <v>0</v>
      </c>
      <c r="P131" s="108">
        <f t="shared" si="107"/>
        <v>0</v>
      </c>
      <c r="Q131" s="108">
        <f t="shared" si="108"/>
        <v>0</v>
      </c>
      <c r="R131" s="108">
        <f>E131/1000000</f>
        <v>0</v>
      </c>
      <c r="S131" s="108">
        <f>F131/1000000</f>
        <v>0</v>
      </c>
      <c r="T131" s="108">
        <f t="shared" si="109"/>
        <v>0</v>
      </c>
      <c r="U131" s="108">
        <f t="shared" si="109"/>
        <v>0</v>
      </c>
      <c r="V131" s="108">
        <f t="shared" si="109"/>
        <v>0</v>
      </c>
      <c r="W131" s="108">
        <f t="shared" si="115"/>
        <v>0</v>
      </c>
      <c r="X131" s="108">
        <f t="shared" si="115"/>
        <v>0</v>
      </c>
      <c r="Y131" s="108">
        <f t="shared" si="115"/>
        <v>0</v>
      </c>
      <c r="Z131" s="108">
        <f t="shared" si="111"/>
        <v>0</v>
      </c>
      <c r="AA131" s="108">
        <f t="shared" si="111"/>
        <v>0</v>
      </c>
      <c r="AB131" s="109"/>
      <c r="AC131" s="109"/>
      <c r="AD131" s="109"/>
      <c r="AE131" s="109"/>
      <c r="AF131" s="109"/>
      <c r="AG131" s="110"/>
      <c r="AH131" s="111"/>
    </row>
    <row r="132" spans="1:34" x14ac:dyDescent="0.25">
      <c r="A132" s="112" t="s">
        <v>68</v>
      </c>
      <c r="B132" s="113">
        <v>592269504.88</v>
      </c>
      <c r="C132" s="113">
        <v>23635701319.990002</v>
      </c>
      <c r="D132" s="113">
        <v>22943140080.389999</v>
      </c>
      <c r="E132" s="157">
        <f>F132+G132+H132</f>
        <v>1284830744.48</v>
      </c>
      <c r="F132" s="152">
        <v>0</v>
      </c>
      <c r="G132" s="152">
        <v>1191167280.48</v>
      </c>
      <c r="H132" s="152">
        <v>93663464</v>
      </c>
      <c r="I132" s="152">
        <v>7206027.9000000004</v>
      </c>
      <c r="J132" s="152">
        <v>11737262314.240002</v>
      </c>
      <c r="K132" s="152">
        <v>11285683406.140001</v>
      </c>
      <c r="L132" s="157">
        <f>M132+N132+O132</f>
        <v>458784936</v>
      </c>
      <c r="M132" s="152">
        <v>0</v>
      </c>
      <c r="N132" s="152">
        <v>413177102.19</v>
      </c>
      <c r="O132" s="152">
        <v>45607833.810000002</v>
      </c>
      <c r="P132" s="48">
        <f t="shared" si="107"/>
        <v>592.26950488</v>
      </c>
      <c r="Q132" s="48">
        <f t="shared" si="108"/>
        <v>22943.14008039</v>
      </c>
      <c r="R132" s="48">
        <f t="shared" si="108"/>
        <v>1284.83074448</v>
      </c>
      <c r="S132" s="48">
        <f t="shared" si="108"/>
        <v>0</v>
      </c>
      <c r="T132" s="48">
        <f>G132/1000000</f>
        <v>1191.16728048</v>
      </c>
      <c r="U132" s="48">
        <f>H132/1000000</f>
        <v>93.663464000000005</v>
      </c>
      <c r="V132" s="48">
        <f>I132/1000000</f>
        <v>7.2060279000000005</v>
      </c>
      <c r="W132" s="48">
        <f t="shared" si="115"/>
        <v>11285.68340614</v>
      </c>
      <c r="X132" s="48">
        <f t="shared" si="115"/>
        <v>458.78493600000002</v>
      </c>
      <c r="Y132" s="48">
        <f t="shared" si="115"/>
        <v>0</v>
      </c>
      <c r="Z132" s="48">
        <f t="shared" si="111"/>
        <v>413.17710218999997</v>
      </c>
      <c r="AA132" s="48">
        <f t="shared" si="111"/>
        <v>45.607833810000002</v>
      </c>
      <c r="AB132" s="48">
        <f>V132/P132%</f>
        <v>1.2166805551570679</v>
      </c>
      <c r="AC132" s="48">
        <f>W132/Q132%</f>
        <v>49.189794276617434</v>
      </c>
      <c r="AD132" s="48">
        <f>X132/R132%</f>
        <v>35.70781116275986</v>
      </c>
      <c r="AE132" s="114" t="s">
        <v>31</v>
      </c>
      <c r="AF132" s="48">
        <f t="shared" si="114"/>
        <v>34.686740389939487</v>
      </c>
      <c r="AG132" s="115">
        <f>AA132/U132%</f>
        <v>48.693302449288012</v>
      </c>
      <c r="AH132" s="116"/>
    </row>
    <row r="133" spans="1:34" s="64" customFormat="1" hidden="1" x14ac:dyDescent="0.25">
      <c r="A133" s="60" t="s">
        <v>106</v>
      </c>
      <c r="B133" s="309">
        <f>(B54+B56+B58+B60+B79+B89+B91+B106+B108+B116+B123+B126)-B132</f>
        <v>0</v>
      </c>
      <c r="C133" s="309">
        <f>(C54+C56+C58+C60+C79+C89+C91+C106+C108+C116+C123+C126)-C132</f>
        <v>0</v>
      </c>
      <c r="D133" s="309">
        <f>(D54+D56+D58+D60+D79+D89+D91+D106+D108+D116+D123+D126)-D132</f>
        <v>0</v>
      </c>
      <c r="E133" s="309">
        <f>(E54+E56+E58+E60+E79+E89+E91+E106+E108+E116+E123+G126)-E132</f>
        <v>0</v>
      </c>
      <c r="F133" s="309">
        <f t="shared" ref="F133:K133" si="119">(F54+F56+F58+F60+F79+F89+F91+F106+F108+F116+F123+F126)-F132</f>
        <v>0</v>
      </c>
      <c r="G133" s="309">
        <f t="shared" si="119"/>
        <v>0</v>
      </c>
      <c r="H133" s="309">
        <f t="shared" si="119"/>
        <v>0</v>
      </c>
      <c r="I133" s="309">
        <f t="shared" si="119"/>
        <v>0</v>
      </c>
      <c r="J133" s="309">
        <f t="shared" si="119"/>
        <v>0</v>
      </c>
      <c r="K133" s="309">
        <f t="shared" si="119"/>
        <v>0</v>
      </c>
      <c r="L133" s="309">
        <f>(L54+L56+L58+L60+L79+L89+L91+L106+L108+L116+L123+N126)-L132</f>
        <v>0</v>
      </c>
      <c r="M133" s="309">
        <f>(M54+M56+M58+M60+M79+M89+M91+M106+M108+M116+M123+M126)-M132</f>
        <v>0</v>
      </c>
      <c r="N133" s="309">
        <f>(N54+N56+N58+N60+N79+N89+N91+N106+N108+N116+N123+N126)-N132</f>
        <v>0</v>
      </c>
      <c r="O133" s="309">
        <f>(O54+O56+O58+O60+O79+O89+O91+O106+O108+O116+O123+O126)-O132</f>
        <v>0</v>
      </c>
      <c r="P133" s="108"/>
      <c r="Q133" s="108"/>
      <c r="R133" s="108"/>
      <c r="S133" s="108"/>
      <c r="T133" s="108"/>
      <c r="U133" s="108"/>
      <c r="V133" s="108"/>
      <c r="W133" s="108"/>
      <c r="X133" s="108"/>
      <c r="Y133" s="108"/>
      <c r="Z133" s="108"/>
      <c r="AA133" s="108"/>
      <c r="AB133" s="108"/>
      <c r="AC133" s="108"/>
      <c r="AD133" s="108"/>
      <c r="AE133" s="108"/>
      <c r="AF133" s="108"/>
      <c r="AG133" s="310"/>
      <c r="AH133" s="117"/>
    </row>
    <row r="134" spans="1:34" s="39" customFormat="1" ht="27" thickBot="1" x14ac:dyDescent="0.3">
      <c r="A134" s="118" t="s">
        <v>107</v>
      </c>
      <c r="B134" s="119">
        <f>B38-B130</f>
        <v>-4510990214.1200104</v>
      </c>
      <c r="C134" s="119"/>
      <c r="D134" s="119">
        <f t="shared" ref="D134:I134" si="120">D38-D130</f>
        <v>-3198405823.7299957</v>
      </c>
      <c r="E134" s="119">
        <f t="shared" si="120"/>
        <v>-1312584390.3899994</v>
      </c>
      <c r="F134" s="119">
        <f t="shared" si="120"/>
        <v>-724750966.35000229</v>
      </c>
      <c r="G134" s="119">
        <f t="shared" si="120"/>
        <v>-444488579.24000168</v>
      </c>
      <c r="H134" s="119">
        <f t="shared" si="120"/>
        <v>-143344844.80000067</v>
      </c>
      <c r="I134" s="119">
        <f t="shared" si="120"/>
        <v>1463398870.7499924</v>
      </c>
      <c r="J134" s="119"/>
      <c r="K134" s="119">
        <f>K38-K130</f>
        <v>1869861995.9400024</v>
      </c>
      <c r="L134" s="119">
        <f>L38-L130</f>
        <v>-406463125.18999863</v>
      </c>
      <c r="M134" s="119">
        <f>M38-M130</f>
        <v>-104648667.14999771</v>
      </c>
      <c r="N134" s="119">
        <f>N38-N130</f>
        <v>-303457795.39000034</v>
      </c>
      <c r="O134" s="119">
        <f>O38-O130</f>
        <v>1643337.3500000238</v>
      </c>
      <c r="P134" s="120">
        <f>B134/1000000</f>
        <v>-4510.99021412001</v>
      </c>
      <c r="Q134" s="120">
        <f t="shared" si="108"/>
        <v>-3198.4058237299955</v>
      </c>
      <c r="R134" s="120">
        <f t="shared" si="108"/>
        <v>-1312.5843903899995</v>
      </c>
      <c r="S134" s="120">
        <f t="shared" si="108"/>
        <v>-724.75096635000227</v>
      </c>
      <c r="T134" s="120">
        <f t="shared" si="108"/>
        <v>-444.48857924000168</v>
      </c>
      <c r="U134" s="120">
        <f t="shared" si="108"/>
        <v>-143.34484480000066</v>
      </c>
      <c r="V134" s="120">
        <f t="shared" si="108"/>
        <v>1463.3988707499923</v>
      </c>
      <c r="W134" s="120">
        <f t="shared" si="115"/>
        <v>1869.8619959400025</v>
      </c>
      <c r="X134" s="120">
        <f t="shared" si="115"/>
        <v>-406.46312518999861</v>
      </c>
      <c r="Y134" s="120">
        <f t="shared" si="115"/>
        <v>-104.64866714999771</v>
      </c>
      <c r="Z134" s="120">
        <f>N134/1000000</f>
        <v>-303.45779539000034</v>
      </c>
      <c r="AA134" s="120">
        <f>O134/1000000</f>
        <v>1.6433373500000239</v>
      </c>
      <c r="AB134" s="121" t="s">
        <v>108</v>
      </c>
      <c r="AC134" s="121" t="s">
        <v>108</v>
      </c>
      <c r="AD134" s="121" t="s">
        <v>108</v>
      </c>
      <c r="AE134" s="121" t="s">
        <v>108</v>
      </c>
      <c r="AF134" s="121" t="s">
        <v>108</v>
      </c>
      <c r="AG134" s="122" t="s">
        <v>108</v>
      </c>
      <c r="AH134" s="123"/>
    </row>
    <row r="135" spans="1:34" s="39" customFormat="1" ht="13.8" hidden="1" thickTop="1" x14ac:dyDescent="0.25">
      <c r="A135" s="124" t="s">
        <v>109</v>
      </c>
      <c r="B135" s="125">
        <v>-4510990214.1199999</v>
      </c>
      <c r="C135" s="125">
        <v>0</v>
      </c>
      <c r="D135" s="125">
        <v>-3198405823.73</v>
      </c>
      <c r="E135" s="126">
        <f>F135+G135+H135</f>
        <v>-1312584390.3900001</v>
      </c>
      <c r="F135" s="125">
        <v>-724750966.35000002</v>
      </c>
      <c r="G135" s="125">
        <v>-444488579.24000001</v>
      </c>
      <c r="H135" s="125">
        <v>-143344844.80000001</v>
      </c>
      <c r="I135" s="125">
        <v>1463398870.75</v>
      </c>
      <c r="J135" s="125">
        <v>0</v>
      </c>
      <c r="K135" s="125">
        <v>1869861995.9400001</v>
      </c>
      <c r="L135" s="126">
        <f>M135+N135+O135</f>
        <v>-406463125.18999994</v>
      </c>
      <c r="M135" s="125">
        <v>-104648667.15000001</v>
      </c>
      <c r="N135" s="125">
        <v>-303457795.38999999</v>
      </c>
      <c r="O135" s="125">
        <v>1643337.3499999996</v>
      </c>
      <c r="P135" s="127">
        <f>B135/1000000</f>
        <v>-4510.99021412</v>
      </c>
      <c r="Q135" s="127">
        <f t="shared" ref="Q135:V135" si="121">D135/1000000</f>
        <v>-3198.4058237300001</v>
      </c>
      <c r="R135" s="127">
        <f t="shared" si="121"/>
        <v>-1312.5843903900002</v>
      </c>
      <c r="S135" s="127">
        <f t="shared" si="121"/>
        <v>-724.75096635</v>
      </c>
      <c r="T135" s="127">
        <f t="shared" si="121"/>
        <v>-444.48857924000004</v>
      </c>
      <c r="U135" s="127">
        <f t="shared" si="121"/>
        <v>-143.3448448</v>
      </c>
      <c r="V135" s="127">
        <f t="shared" si="121"/>
        <v>1463.39887075</v>
      </c>
      <c r="W135" s="127">
        <f t="shared" si="115"/>
        <v>1869.86199594</v>
      </c>
      <c r="X135" s="127">
        <f t="shared" si="115"/>
        <v>-406.46312518999991</v>
      </c>
      <c r="Y135" s="127">
        <f t="shared" si="115"/>
        <v>-104.64866715000001</v>
      </c>
      <c r="Z135" s="127">
        <f>N135/1000000</f>
        <v>-303.45779539</v>
      </c>
      <c r="AA135" s="127">
        <f>O135/1000000</f>
        <v>1.6433373499999997</v>
      </c>
      <c r="AB135" s="127"/>
      <c r="AC135" s="127"/>
      <c r="AD135" s="127"/>
      <c r="AE135" s="127"/>
      <c r="AF135" s="127"/>
      <c r="AG135" s="128"/>
      <c r="AH135" s="129"/>
    </row>
    <row r="136" spans="1:34" s="39" customFormat="1" ht="13.8" hidden="1" thickBot="1" x14ac:dyDescent="0.3">
      <c r="A136" s="130" t="s">
        <v>110</v>
      </c>
      <c r="B136" s="131">
        <f>B134-B135</f>
        <v>-1.049041748046875E-5</v>
      </c>
      <c r="C136" s="131"/>
      <c r="D136" s="131">
        <f t="shared" ref="D136:AA136" si="122">D134-D135</f>
        <v>4.291534423828125E-6</v>
      </c>
      <c r="E136" s="131">
        <f t="shared" si="122"/>
        <v>0</v>
      </c>
      <c r="F136" s="131">
        <f t="shared" si="122"/>
        <v>-2.2649765014648438E-6</v>
      </c>
      <c r="G136" s="131">
        <f t="shared" si="122"/>
        <v>-1.6689300537109375E-6</v>
      </c>
      <c r="H136" s="131">
        <f t="shared" si="122"/>
        <v>-6.5565109252929688E-7</v>
      </c>
      <c r="I136" s="131">
        <f t="shared" si="122"/>
        <v>-7.62939453125E-6</v>
      </c>
      <c r="J136" s="131"/>
      <c r="K136" s="131">
        <f t="shared" si="122"/>
        <v>2.384185791015625E-6</v>
      </c>
      <c r="L136" s="131">
        <f t="shared" si="122"/>
        <v>1.3113021850585938E-6</v>
      </c>
      <c r="M136" s="131">
        <f t="shared" si="122"/>
        <v>2.2947788238525391E-6</v>
      </c>
      <c r="N136" s="131">
        <f t="shared" si="122"/>
        <v>0</v>
      </c>
      <c r="O136" s="131">
        <f t="shared" si="122"/>
        <v>2.4214386940002441E-8</v>
      </c>
      <c r="P136" s="131">
        <f t="shared" si="122"/>
        <v>-1.0004441719502211E-11</v>
      </c>
      <c r="Q136" s="131">
        <f t="shared" si="122"/>
        <v>4.5474735088646412E-12</v>
      </c>
      <c r="R136" s="131">
        <f t="shared" si="122"/>
        <v>0</v>
      </c>
      <c r="S136" s="131">
        <f t="shared" si="122"/>
        <v>-2.2737367544323206E-12</v>
      </c>
      <c r="T136" s="131">
        <f t="shared" si="122"/>
        <v>-1.6484591469634324E-12</v>
      </c>
      <c r="U136" s="131">
        <f t="shared" si="122"/>
        <v>-6.5369931689929217E-13</v>
      </c>
      <c r="V136" s="131">
        <f t="shared" si="122"/>
        <v>-7.73070496506989E-12</v>
      </c>
      <c r="W136" s="131">
        <f t="shared" si="122"/>
        <v>2.5011104298755527E-12</v>
      </c>
      <c r="X136" s="131">
        <f t="shared" si="122"/>
        <v>1.3073986337985843E-12</v>
      </c>
      <c r="Y136" s="131">
        <f t="shared" si="122"/>
        <v>2.3021584638627246E-12</v>
      </c>
      <c r="Z136" s="131">
        <f t="shared" si="122"/>
        <v>0</v>
      </c>
      <c r="AA136" s="131">
        <f t="shared" si="122"/>
        <v>2.4202861936828413E-14</v>
      </c>
      <c r="AB136" s="132"/>
      <c r="AC136" s="132"/>
      <c r="AD136" s="132"/>
      <c r="AE136" s="132"/>
      <c r="AF136" s="132"/>
      <c r="AG136" s="133"/>
      <c r="AH136" s="129"/>
    </row>
    <row r="137" spans="1:34" ht="13.5" customHeight="1" thickTop="1" x14ac:dyDescent="0.25">
      <c r="A137" s="493" t="s">
        <v>1</v>
      </c>
      <c r="B137" s="495" t="s">
        <v>427</v>
      </c>
      <c r="C137" s="495"/>
      <c r="D137" s="495"/>
      <c r="E137" s="495"/>
      <c r="F137" s="495"/>
      <c r="G137" s="495"/>
      <c r="H137" s="495"/>
      <c r="I137" s="495" t="s">
        <v>428</v>
      </c>
      <c r="J137" s="495"/>
      <c r="K137" s="495"/>
      <c r="L137" s="495"/>
      <c r="M137" s="495"/>
      <c r="N137" s="495"/>
      <c r="O137" s="495"/>
      <c r="P137" s="495" t="s">
        <v>429</v>
      </c>
      <c r="Q137" s="495"/>
      <c r="R137" s="495"/>
      <c r="S137" s="495"/>
      <c r="T137" s="495"/>
      <c r="U137" s="495"/>
      <c r="V137" s="495" t="s">
        <v>430</v>
      </c>
      <c r="W137" s="495"/>
      <c r="X137" s="495"/>
      <c r="Y137" s="495"/>
      <c r="Z137" s="495"/>
      <c r="AA137" s="495"/>
      <c r="AB137" s="495" t="s">
        <v>2</v>
      </c>
      <c r="AC137" s="495"/>
      <c r="AD137" s="495"/>
      <c r="AE137" s="495"/>
      <c r="AF137" s="495"/>
      <c r="AG137" s="496"/>
      <c r="AH137" s="10"/>
    </row>
    <row r="138" spans="1:34" x14ac:dyDescent="0.25">
      <c r="A138" s="494"/>
      <c r="B138" s="487" t="s">
        <v>3</v>
      </c>
      <c r="C138" s="497" t="s">
        <v>4</v>
      </c>
      <c r="D138" s="498"/>
      <c r="E138" s="498"/>
      <c r="F138" s="498"/>
      <c r="G138" s="498"/>
      <c r="H138" s="499"/>
      <c r="I138" s="487" t="s">
        <v>3</v>
      </c>
      <c r="J138" s="11"/>
      <c r="K138" s="488" t="s">
        <v>4</v>
      </c>
      <c r="L138" s="488"/>
      <c r="M138" s="488"/>
      <c r="N138" s="488"/>
      <c r="O138" s="488"/>
      <c r="P138" s="487" t="s">
        <v>3</v>
      </c>
      <c r="Q138" s="488" t="s">
        <v>5</v>
      </c>
      <c r="R138" s="488"/>
      <c r="S138" s="488"/>
      <c r="T138" s="488"/>
      <c r="U138" s="488"/>
      <c r="V138" s="487" t="s">
        <v>3</v>
      </c>
      <c r="W138" s="488" t="s">
        <v>5</v>
      </c>
      <c r="X138" s="488"/>
      <c r="Y138" s="488"/>
      <c r="Z138" s="488"/>
      <c r="AA138" s="488"/>
      <c r="AB138" s="487" t="s">
        <v>3</v>
      </c>
      <c r="AC138" s="488" t="s">
        <v>5</v>
      </c>
      <c r="AD138" s="488"/>
      <c r="AE138" s="488"/>
      <c r="AF138" s="488"/>
      <c r="AG138" s="503"/>
      <c r="AH138" s="10"/>
    </row>
    <row r="139" spans="1:34" x14ac:dyDescent="0.25">
      <c r="A139" s="494"/>
      <c r="B139" s="487"/>
      <c r="C139" s="504" t="s">
        <v>6</v>
      </c>
      <c r="D139" s="487" t="s">
        <v>7</v>
      </c>
      <c r="E139" s="487" t="s">
        <v>8</v>
      </c>
      <c r="F139" s="490" t="s">
        <v>9</v>
      </c>
      <c r="G139" s="490"/>
      <c r="H139" s="490"/>
      <c r="I139" s="487"/>
      <c r="J139" s="504" t="s">
        <v>6</v>
      </c>
      <c r="K139" s="487" t="s">
        <v>7</v>
      </c>
      <c r="L139" s="487" t="s">
        <v>8</v>
      </c>
      <c r="M139" s="490" t="s">
        <v>9</v>
      </c>
      <c r="N139" s="490"/>
      <c r="O139" s="490"/>
      <c r="P139" s="487"/>
      <c r="Q139" s="487" t="s">
        <v>7</v>
      </c>
      <c r="R139" s="489" t="s">
        <v>8</v>
      </c>
      <c r="S139" s="490" t="s">
        <v>9</v>
      </c>
      <c r="T139" s="490"/>
      <c r="U139" s="490"/>
      <c r="V139" s="487"/>
      <c r="W139" s="487" t="s">
        <v>7</v>
      </c>
      <c r="X139" s="489" t="s">
        <v>8</v>
      </c>
      <c r="Y139" s="490" t="s">
        <v>9</v>
      </c>
      <c r="Z139" s="490"/>
      <c r="AA139" s="490"/>
      <c r="AB139" s="487"/>
      <c r="AC139" s="489" t="s">
        <v>7</v>
      </c>
      <c r="AD139" s="489" t="s">
        <v>8</v>
      </c>
      <c r="AE139" s="500" t="s">
        <v>9</v>
      </c>
      <c r="AF139" s="500"/>
      <c r="AG139" s="501"/>
      <c r="AH139" s="12"/>
    </row>
    <row r="140" spans="1:34" ht="54.75" customHeight="1" x14ac:dyDescent="0.25">
      <c r="A140" s="494"/>
      <c r="B140" s="487"/>
      <c r="C140" s="505"/>
      <c r="D140" s="487"/>
      <c r="E140" s="487"/>
      <c r="F140" s="13" t="s">
        <v>10</v>
      </c>
      <c r="G140" s="13" t="s">
        <v>11</v>
      </c>
      <c r="H140" s="13" t="s">
        <v>12</v>
      </c>
      <c r="I140" s="487"/>
      <c r="J140" s="505"/>
      <c r="K140" s="487"/>
      <c r="L140" s="487"/>
      <c r="M140" s="13" t="s">
        <v>10</v>
      </c>
      <c r="N140" s="13" t="s">
        <v>11</v>
      </c>
      <c r="O140" s="13" t="s">
        <v>12</v>
      </c>
      <c r="P140" s="487"/>
      <c r="Q140" s="487"/>
      <c r="R140" s="489"/>
      <c r="S140" s="13" t="s">
        <v>10</v>
      </c>
      <c r="T140" s="13" t="s">
        <v>11</v>
      </c>
      <c r="U140" s="13" t="s">
        <v>12</v>
      </c>
      <c r="V140" s="487"/>
      <c r="W140" s="487"/>
      <c r="X140" s="489"/>
      <c r="Y140" s="13" t="s">
        <v>10</v>
      </c>
      <c r="Z140" s="13" t="s">
        <v>11</v>
      </c>
      <c r="AA140" s="13" t="s">
        <v>12</v>
      </c>
      <c r="AB140" s="487"/>
      <c r="AC140" s="489"/>
      <c r="AD140" s="489"/>
      <c r="AE140" s="14" t="s">
        <v>10</v>
      </c>
      <c r="AF140" s="14" t="s">
        <v>11</v>
      </c>
      <c r="AG140" s="15" t="s">
        <v>64</v>
      </c>
      <c r="AH140" s="16"/>
    </row>
    <row r="141" spans="1:34" x14ac:dyDescent="0.25">
      <c r="A141" s="17" t="s">
        <v>14</v>
      </c>
      <c r="B141" s="18"/>
      <c r="C141" s="18"/>
      <c r="D141" s="19"/>
      <c r="E141" s="18"/>
      <c r="F141" s="20"/>
      <c r="G141" s="20"/>
      <c r="H141" s="20"/>
      <c r="I141" s="18"/>
      <c r="J141" s="18"/>
      <c r="K141" s="18"/>
      <c r="L141" s="18"/>
      <c r="M141" s="20"/>
      <c r="N141" s="20"/>
      <c r="O141" s="20"/>
      <c r="P141" s="18" t="s">
        <v>15</v>
      </c>
      <c r="Q141" s="18" t="s">
        <v>16</v>
      </c>
      <c r="R141" s="18" t="s">
        <v>17</v>
      </c>
      <c r="S141" s="20">
        <v>4</v>
      </c>
      <c r="T141" s="20">
        <v>5</v>
      </c>
      <c r="U141" s="20">
        <v>6</v>
      </c>
      <c r="V141" s="18" t="s">
        <v>18</v>
      </c>
      <c r="W141" s="18" t="s">
        <v>19</v>
      </c>
      <c r="X141" s="18" t="s">
        <v>20</v>
      </c>
      <c r="Y141" s="20">
        <v>10</v>
      </c>
      <c r="Z141" s="20">
        <v>11</v>
      </c>
      <c r="AA141" s="20">
        <v>12</v>
      </c>
      <c r="AB141" s="18" t="s">
        <v>21</v>
      </c>
      <c r="AC141" s="18" t="s">
        <v>22</v>
      </c>
      <c r="AD141" s="18" t="s">
        <v>23</v>
      </c>
      <c r="AE141" s="20" t="s">
        <v>24</v>
      </c>
      <c r="AF141" s="20" t="s">
        <v>25</v>
      </c>
      <c r="AG141" s="21" t="s">
        <v>26</v>
      </c>
      <c r="AH141" s="22"/>
    </row>
    <row r="142" spans="1:34" s="39" customFormat="1" ht="26.4" x14ac:dyDescent="0.25">
      <c r="A142" s="34" t="s">
        <v>111</v>
      </c>
      <c r="B142" s="134">
        <v>4510990214.1199999</v>
      </c>
      <c r="C142" s="134">
        <v>0</v>
      </c>
      <c r="D142" s="134">
        <v>3198405823.73</v>
      </c>
      <c r="E142" s="135">
        <f>F142+G142+H142</f>
        <v>1312584390.3900001</v>
      </c>
      <c r="F142" s="134">
        <v>724750966.35000002</v>
      </c>
      <c r="G142" s="134">
        <v>444488579.24000001</v>
      </c>
      <c r="H142" s="134">
        <v>143344844.80000001</v>
      </c>
      <c r="I142" s="134">
        <v>-1463398870.75</v>
      </c>
      <c r="J142" s="134">
        <v>0</v>
      </c>
      <c r="K142" s="134">
        <v>-1869861995.9400001</v>
      </c>
      <c r="L142" s="135">
        <f>M142+N142+O142</f>
        <v>406463125.18999994</v>
      </c>
      <c r="M142" s="134">
        <v>104648667.15000001</v>
      </c>
      <c r="N142" s="134">
        <v>303457795.38999999</v>
      </c>
      <c r="O142" s="134">
        <v>-1643337.3499999996</v>
      </c>
      <c r="P142" s="35">
        <f t="shared" ref="P142:P151" si="123">B142/1000000</f>
        <v>4510.99021412</v>
      </c>
      <c r="Q142" s="35">
        <f t="shared" ref="Q142:S150" si="124">D142/1000000</f>
        <v>3198.4058237300001</v>
      </c>
      <c r="R142" s="35">
        <f>E142/1000000</f>
        <v>1312.5843903900002</v>
      </c>
      <c r="S142" s="35">
        <f>F142/1000000</f>
        <v>724.75096635</v>
      </c>
      <c r="T142" s="35">
        <f t="shared" ref="T142:V150" si="125">G142/1000000</f>
        <v>444.48857924000004</v>
      </c>
      <c r="U142" s="35">
        <f t="shared" si="125"/>
        <v>143.3448448</v>
      </c>
      <c r="V142" s="35">
        <f t="shared" si="125"/>
        <v>-1463.39887075</v>
      </c>
      <c r="W142" s="35">
        <f t="shared" ref="W142:Y150" si="126">K142/1000000</f>
        <v>-1869.86199594</v>
      </c>
      <c r="X142" s="35">
        <f>L142/1000000</f>
        <v>406.46312518999991</v>
      </c>
      <c r="Y142" s="35">
        <f>M142/1000000</f>
        <v>104.64866715000001</v>
      </c>
      <c r="Z142" s="35">
        <f t="shared" ref="Z142:AA150" si="127">N142/1000000</f>
        <v>303.45779539</v>
      </c>
      <c r="AA142" s="35">
        <f t="shared" si="127"/>
        <v>-1.6433373499999997</v>
      </c>
      <c r="AB142" s="35">
        <f t="shared" ref="AB142:AG150" si="128">V142/P142%</f>
        <v>-32.44074585152871</v>
      </c>
      <c r="AC142" s="35">
        <f t="shared" si="128"/>
        <v>-58.462312132716036</v>
      </c>
      <c r="AD142" s="35">
        <f t="shared" si="128"/>
        <v>30.966627987190218</v>
      </c>
      <c r="AE142" s="35">
        <f t="shared" si="128"/>
        <v>14.439258725936297</v>
      </c>
      <c r="AF142" s="35">
        <f t="shared" si="128"/>
        <v>68.271224405554193</v>
      </c>
      <c r="AG142" s="36">
        <f t="shared" si="128"/>
        <v>-1.1464223581202688</v>
      </c>
      <c r="AH142" s="37"/>
    </row>
    <row r="143" spans="1:34" s="39" customFormat="1" x14ac:dyDescent="0.25">
      <c r="A143" s="40" t="s">
        <v>112</v>
      </c>
      <c r="B143" s="134">
        <v>1294498056.9000001</v>
      </c>
      <c r="C143" s="134">
        <v>0</v>
      </c>
      <c r="D143" s="134">
        <v>863754426</v>
      </c>
      <c r="E143" s="135">
        <f t="shared" ref="E143:E149" si="129">F143+G143+H143</f>
        <v>430743630.89999998</v>
      </c>
      <c r="F143" s="134">
        <v>233443117</v>
      </c>
      <c r="G143" s="134">
        <v>171706900</v>
      </c>
      <c r="H143" s="134">
        <v>25593613.899999999</v>
      </c>
      <c r="I143" s="134">
        <v>-11917677218</v>
      </c>
      <c r="J143" s="134">
        <v>0</v>
      </c>
      <c r="K143" s="134">
        <v>-11150039018</v>
      </c>
      <c r="L143" s="136">
        <f t="shared" ref="L143:L149" si="130">M143+N143+O143</f>
        <v>-767638200</v>
      </c>
      <c r="M143" s="134">
        <v>-728311000</v>
      </c>
      <c r="N143" s="134">
        <v>-40327200</v>
      </c>
      <c r="O143" s="134">
        <v>1000000</v>
      </c>
      <c r="P143" s="31">
        <f t="shared" si="123"/>
        <v>1294.4980569000002</v>
      </c>
      <c r="Q143" s="31">
        <f t="shared" si="124"/>
        <v>863.75442599999997</v>
      </c>
      <c r="R143" s="31">
        <f t="shared" si="124"/>
        <v>430.74363089999997</v>
      </c>
      <c r="S143" s="31">
        <f t="shared" si="124"/>
        <v>233.443117</v>
      </c>
      <c r="T143" s="31">
        <f t="shared" si="125"/>
        <v>171.70689999999999</v>
      </c>
      <c r="U143" s="31">
        <f t="shared" si="125"/>
        <v>25.593613899999998</v>
      </c>
      <c r="V143" s="31">
        <f t="shared" si="125"/>
        <v>-11917.677218000001</v>
      </c>
      <c r="W143" s="31">
        <f t="shared" si="126"/>
        <v>-11150.039017999999</v>
      </c>
      <c r="X143" s="31">
        <f t="shared" si="126"/>
        <v>-767.63819999999998</v>
      </c>
      <c r="Y143" s="31">
        <f t="shared" si="126"/>
        <v>-728.31100000000004</v>
      </c>
      <c r="Z143" s="31">
        <f t="shared" si="127"/>
        <v>-40.327199999999998</v>
      </c>
      <c r="AA143" s="31">
        <f t="shared" si="127"/>
        <v>1</v>
      </c>
      <c r="AB143" s="31">
        <f t="shared" si="128"/>
        <v>-920.64079621253848</v>
      </c>
      <c r="AC143" s="31">
        <f t="shared" si="128"/>
        <v>-1290.880681171757</v>
      </c>
      <c r="AD143" s="31">
        <f t="shared" si="128"/>
        <v>-178.21231584924172</v>
      </c>
      <c r="AE143" s="31">
        <f t="shared" si="128"/>
        <v>-311.98649562240035</v>
      </c>
      <c r="AF143" s="31">
        <f t="shared" si="128"/>
        <v>-23.486068410762758</v>
      </c>
      <c r="AG143" s="33">
        <f t="shared" si="128"/>
        <v>3.9072246846702652</v>
      </c>
      <c r="AH143" s="30"/>
    </row>
    <row r="144" spans="1:34" s="39" customFormat="1" x14ac:dyDescent="0.25">
      <c r="A144" s="40" t="s">
        <v>113</v>
      </c>
      <c r="B144" s="134">
        <v>-577474200</v>
      </c>
      <c r="C144" s="134">
        <v>0</v>
      </c>
      <c r="D144" s="134">
        <v>-577474200</v>
      </c>
      <c r="E144" s="135">
        <f t="shared" si="129"/>
        <v>0</v>
      </c>
      <c r="F144" s="134">
        <v>0</v>
      </c>
      <c r="G144" s="134">
        <v>0</v>
      </c>
      <c r="H144" s="134">
        <v>0</v>
      </c>
      <c r="I144" s="134">
        <v>5937399000</v>
      </c>
      <c r="J144" s="134">
        <v>0</v>
      </c>
      <c r="K144" s="134">
        <v>5160136000</v>
      </c>
      <c r="L144" s="136">
        <f t="shared" si="130"/>
        <v>777263000</v>
      </c>
      <c r="M144" s="134">
        <v>690160000</v>
      </c>
      <c r="N144" s="134">
        <v>87103000</v>
      </c>
      <c r="O144" s="134">
        <v>0</v>
      </c>
      <c r="P144" s="31">
        <f t="shared" si="123"/>
        <v>-577.4742</v>
      </c>
      <c r="Q144" s="31">
        <f t="shared" si="124"/>
        <v>-577.4742</v>
      </c>
      <c r="R144" s="31">
        <f t="shared" si="124"/>
        <v>0</v>
      </c>
      <c r="S144" s="31">
        <f t="shared" si="124"/>
        <v>0</v>
      </c>
      <c r="T144" s="31">
        <f t="shared" si="125"/>
        <v>0</v>
      </c>
      <c r="U144" s="31">
        <f t="shared" si="125"/>
        <v>0</v>
      </c>
      <c r="V144" s="31">
        <f t="shared" si="125"/>
        <v>5937.3990000000003</v>
      </c>
      <c r="W144" s="31">
        <f t="shared" si="126"/>
        <v>5160.1360000000004</v>
      </c>
      <c r="X144" s="31">
        <f t="shared" si="126"/>
        <v>777.26300000000003</v>
      </c>
      <c r="Y144" s="31">
        <f t="shared" si="126"/>
        <v>690.16</v>
      </c>
      <c r="Z144" s="31">
        <f t="shared" si="127"/>
        <v>87.102999999999994</v>
      </c>
      <c r="AA144" s="31">
        <f t="shared" si="127"/>
        <v>0</v>
      </c>
      <c r="AB144" s="31">
        <f t="shared" si="128"/>
        <v>-1028.1669726543628</v>
      </c>
      <c r="AC144" s="31">
        <f t="shared" si="128"/>
        <v>-893.56996381829708</v>
      </c>
      <c r="AD144" s="49" t="s">
        <v>31</v>
      </c>
      <c r="AE144" s="49" t="s">
        <v>31</v>
      </c>
      <c r="AF144" s="49" t="s">
        <v>31</v>
      </c>
      <c r="AG144" s="46" t="s">
        <v>31</v>
      </c>
      <c r="AH144" s="30"/>
    </row>
    <row r="145" spans="1:34" s="39" customFormat="1" ht="26.4" x14ac:dyDescent="0.25">
      <c r="A145" s="40" t="s">
        <v>114</v>
      </c>
      <c r="B145" s="134">
        <v>1319000000</v>
      </c>
      <c r="C145" s="134">
        <v>0</v>
      </c>
      <c r="D145" s="134">
        <v>1100000000</v>
      </c>
      <c r="E145" s="135">
        <f t="shared" si="129"/>
        <v>219000000</v>
      </c>
      <c r="F145" s="134">
        <v>218000000</v>
      </c>
      <c r="G145" s="134">
        <v>1000000</v>
      </c>
      <c r="H145" s="134">
        <v>0</v>
      </c>
      <c r="I145" s="134">
        <v>0</v>
      </c>
      <c r="J145" s="134">
        <v>0</v>
      </c>
      <c r="K145" s="134">
        <v>0</v>
      </c>
      <c r="L145" s="136">
        <f t="shared" si="130"/>
        <v>0</v>
      </c>
      <c r="M145" s="134">
        <v>0</v>
      </c>
      <c r="N145" s="134">
        <v>0</v>
      </c>
      <c r="O145" s="134">
        <v>0</v>
      </c>
      <c r="P145" s="31">
        <f t="shared" si="123"/>
        <v>1319</v>
      </c>
      <c r="Q145" s="31">
        <f t="shared" si="124"/>
        <v>1100</v>
      </c>
      <c r="R145" s="31">
        <f t="shared" si="124"/>
        <v>219</v>
      </c>
      <c r="S145" s="31">
        <f t="shared" si="124"/>
        <v>218</v>
      </c>
      <c r="T145" s="31">
        <f t="shared" si="125"/>
        <v>1</v>
      </c>
      <c r="U145" s="31">
        <f t="shared" si="125"/>
        <v>0</v>
      </c>
      <c r="V145" s="31">
        <f t="shared" si="125"/>
        <v>0</v>
      </c>
      <c r="W145" s="31">
        <f t="shared" si="126"/>
        <v>0</v>
      </c>
      <c r="X145" s="31">
        <f t="shared" si="126"/>
        <v>0</v>
      </c>
      <c r="Y145" s="31">
        <f t="shared" si="126"/>
        <v>0</v>
      </c>
      <c r="Z145" s="31">
        <f t="shared" si="127"/>
        <v>0</v>
      </c>
      <c r="AA145" s="31">
        <f t="shared" si="127"/>
        <v>0</v>
      </c>
      <c r="AB145" s="31">
        <f t="shared" si="128"/>
        <v>0</v>
      </c>
      <c r="AC145" s="31">
        <f t="shared" si="128"/>
        <v>0</v>
      </c>
      <c r="AD145" s="31">
        <f t="shared" si="128"/>
        <v>0</v>
      </c>
      <c r="AE145" s="31">
        <f t="shared" si="128"/>
        <v>0</v>
      </c>
      <c r="AF145" s="49" t="s">
        <v>31</v>
      </c>
      <c r="AG145" s="46" t="s">
        <v>31</v>
      </c>
      <c r="AH145" s="30"/>
    </row>
    <row r="146" spans="1:34" s="39" customFormat="1" ht="26.4" x14ac:dyDescent="0.25">
      <c r="A146" s="40" t="s">
        <v>115</v>
      </c>
      <c r="B146" s="134"/>
      <c r="C146" s="134"/>
      <c r="D146" s="134"/>
      <c r="E146" s="135">
        <f t="shared" si="129"/>
        <v>0</v>
      </c>
      <c r="F146" s="134"/>
      <c r="G146" s="134"/>
      <c r="H146" s="134"/>
      <c r="I146" s="134"/>
      <c r="J146" s="134"/>
      <c r="K146" s="134"/>
      <c r="L146" s="136">
        <f t="shared" si="130"/>
        <v>0</v>
      </c>
      <c r="M146" s="134"/>
      <c r="N146" s="134"/>
      <c r="O146" s="134"/>
      <c r="P146" s="31">
        <f t="shared" si="123"/>
        <v>0</v>
      </c>
      <c r="Q146" s="31">
        <f t="shared" si="124"/>
        <v>0</v>
      </c>
      <c r="R146" s="31">
        <f t="shared" si="124"/>
        <v>0</v>
      </c>
      <c r="S146" s="31">
        <f t="shared" si="124"/>
        <v>0</v>
      </c>
      <c r="T146" s="31">
        <f t="shared" si="125"/>
        <v>0</v>
      </c>
      <c r="U146" s="31">
        <f t="shared" si="125"/>
        <v>0</v>
      </c>
      <c r="V146" s="31">
        <f t="shared" si="125"/>
        <v>0</v>
      </c>
      <c r="W146" s="31">
        <f t="shared" si="126"/>
        <v>0</v>
      </c>
      <c r="X146" s="31">
        <f t="shared" si="126"/>
        <v>0</v>
      </c>
      <c r="Y146" s="31">
        <f t="shared" si="126"/>
        <v>0</v>
      </c>
      <c r="Z146" s="31">
        <f t="shared" si="127"/>
        <v>0</v>
      </c>
      <c r="AA146" s="31">
        <f t="shared" si="127"/>
        <v>0</v>
      </c>
      <c r="AB146" s="49" t="s">
        <v>31</v>
      </c>
      <c r="AC146" s="49" t="s">
        <v>31</v>
      </c>
      <c r="AD146" s="49" t="s">
        <v>31</v>
      </c>
      <c r="AE146" s="49" t="s">
        <v>31</v>
      </c>
      <c r="AF146" s="49" t="s">
        <v>31</v>
      </c>
      <c r="AG146" s="46" t="s">
        <v>31</v>
      </c>
      <c r="AH146" s="30"/>
    </row>
    <row r="147" spans="1:34" s="39" customFormat="1" x14ac:dyDescent="0.25">
      <c r="A147" s="40" t="s">
        <v>116</v>
      </c>
      <c r="B147" s="134">
        <v>78163500</v>
      </c>
      <c r="C147" s="134">
        <v>0</v>
      </c>
      <c r="D147" s="134">
        <v>78163500</v>
      </c>
      <c r="E147" s="135">
        <f t="shared" si="129"/>
        <v>0</v>
      </c>
      <c r="F147" s="134">
        <v>0</v>
      </c>
      <c r="G147" s="134">
        <v>0</v>
      </c>
      <c r="H147" s="134">
        <v>0</v>
      </c>
      <c r="I147" s="134">
        <v>41627242.439999998</v>
      </c>
      <c r="J147" s="134">
        <v>0</v>
      </c>
      <c r="K147" s="134">
        <v>41627242.439999998</v>
      </c>
      <c r="L147" s="136">
        <f t="shared" si="130"/>
        <v>0</v>
      </c>
      <c r="M147" s="134">
        <v>0</v>
      </c>
      <c r="N147" s="134">
        <v>0</v>
      </c>
      <c r="O147" s="134">
        <v>0</v>
      </c>
      <c r="P147" s="31">
        <f t="shared" si="123"/>
        <v>78.163499999999999</v>
      </c>
      <c r="Q147" s="31">
        <f t="shared" si="124"/>
        <v>78.163499999999999</v>
      </c>
      <c r="R147" s="31">
        <f t="shared" si="124"/>
        <v>0</v>
      </c>
      <c r="S147" s="31">
        <f t="shared" si="124"/>
        <v>0</v>
      </c>
      <c r="T147" s="31">
        <f t="shared" si="125"/>
        <v>0</v>
      </c>
      <c r="U147" s="31">
        <f t="shared" si="125"/>
        <v>0</v>
      </c>
      <c r="V147" s="31">
        <f t="shared" si="125"/>
        <v>41.627242439999996</v>
      </c>
      <c r="W147" s="31">
        <f t="shared" si="126"/>
        <v>41.627242439999996</v>
      </c>
      <c r="X147" s="31">
        <f t="shared" si="126"/>
        <v>0</v>
      </c>
      <c r="Y147" s="31">
        <f t="shared" si="126"/>
        <v>0</v>
      </c>
      <c r="Z147" s="31">
        <f t="shared" si="127"/>
        <v>0</v>
      </c>
      <c r="AA147" s="31">
        <f t="shared" si="127"/>
        <v>0</v>
      </c>
      <c r="AB147" s="31">
        <f t="shared" si="128"/>
        <v>53.256625458174206</v>
      </c>
      <c r="AC147" s="49" t="s">
        <v>31</v>
      </c>
      <c r="AD147" s="49" t="s">
        <v>31</v>
      </c>
      <c r="AE147" s="49" t="s">
        <v>31</v>
      </c>
      <c r="AF147" s="49" t="s">
        <v>31</v>
      </c>
      <c r="AG147" s="46" t="s">
        <v>31</v>
      </c>
      <c r="AH147" s="30"/>
    </row>
    <row r="148" spans="1:34" s="39" customFormat="1" ht="26.4" x14ac:dyDescent="0.25">
      <c r="A148" s="40" t="s">
        <v>117</v>
      </c>
      <c r="B148" s="134">
        <v>0</v>
      </c>
      <c r="C148" s="134">
        <v>0</v>
      </c>
      <c r="D148" s="134">
        <v>0</v>
      </c>
      <c r="E148" s="135">
        <f t="shared" si="129"/>
        <v>0</v>
      </c>
      <c r="F148" s="134">
        <v>0</v>
      </c>
      <c r="G148" s="134">
        <v>0</v>
      </c>
      <c r="H148" s="134">
        <v>0</v>
      </c>
      <c r="I148" s="134">
        <v>4305556809.9200001</v>
      </c>
      <c r="J148" s="134">
        <v>0</v>
      </c>
      <c r="K148" s="134">
        <v>3172885201.8299999</v>
      </c>
      <c r="L148" s="136">
        <f t="shared" si="130"/>
        <v>1132671608.0899999</v>
      </c>
      <c r="M148" s="134">
        <v>665192574.76999998</v>
      </c>
      <c r="N148" s="134">
        <v>466268530.33999997</v>
      </c>
      <c r="O148" s="134">
        <v>1210502.98</v>
      </c>
      <c r="P148" s="31">
        <f t="shared" si="123"/>
        <v>0</v>
      </c>
      <c r="Q148" s="31">
        <f t="shared" si="124"/>
        <v>0</v>
      </c>
      <c r="R148" s="31">
        <f t="shared" si="124"/>
        <v>0</v>
      </c>
      <c r="S148" s="31">
        <f t="shared" si="124"/>
        <v>0</v>
      </c>
      <c r="T148" s="31">
        <f t="shared" si="125"/>
        <v>0</v>
      </c>
      <c r="U148" s="31">
        <f t="shared" si="125"/>
        <v>0</v>
      </c>
      <c r="V148" s="31">
        <f t="shared" si="125"/>
        <v>4305.55680992</v>
      </c>
      <c r="W148" s="31">
        <f t="shared" si="126"/>
        <v>3172.8852018299999</v>
      </c>
      <c r="X148" s="31">
        <f t="shared" si="126"/>
        <v>1132.6716080899998</v>
      </c>
      <c r="Y148" s="31">
        <f t="shared" si="126"/>
        <v>665.19257476999996</v>
      </c>
      <c r="Z148" s="31">
        <f t="shared" si="127"/>
        <v>466.26853033999998</v>
      </c>
      <c r="AA148" s="31">
        <f t="shared" si="127"/>
        <v>1.21050298</v>
      </c>
      <c r="AB148" s="49" t="s">
        <v>31</v>
      </c>
      <c r="AC148" s="49" t="s">
        <v>31</v>
      </c>
      <c r="AD148" s="49" t="s">
        <v>31</v>
      </c>
      <c r="AE148" s="49" t="s">
        <v>31</v>
      </c>
      <c r="AF148" s="49" t="s">
        <v>31</v>
      </c>
      <c r="AG148" s="46" t="s">
        <v>31</v>
      </c>
      <c r="AH148" s="30"/>
    </row>
    <row r="149" spans="1:34" s="39" customFormat="1" ht="13.8" thickBot="1" x14ac:dyDescent="0.3">
      <c r="A149" s="137" t="s">
        <v>118</v>
      </c>
      <c r="B149" s="138">
        <v>2396802857.2199998</v>
      </c>
      <c r="C149" s="138">
        <v>0</v>
      </c>
      <c r="D149" s="138">
        <v>1733962097.73</v>
      </c>
      <c r="E149" s="135">
        <f t="shared" si="129"/>
        <v>662840759.49000001</v>
      </c>
      <c r="F149" s="138">
        <v>273307849.35000002</v>
      </c>
      <c r="G149" s="138">
        <v>271781679.24000001</v>
      </c>
      <c r="H149" s="138">
        <v>117751230.90000001</v>
      </c>
      <c r="I149" s="138">
        <v>169695294.88999999</v>
      </c>
      <c r="J149" s="138">
        <v>0</v>
      </c>
      <c r="K149" s="138">
        <v>905528577.78999996</v>
      </c>
      <c r="L149" s="139">
        <f t="shared" si="130"/>
        <v>-735833282.89999998</v>
      </c>
      <c r="M149" s="138">
        <v>-522392907.62</v>
      </c>
      <c r="N149" s="138">
        <v>-209586534.94999999</v>
      </c>
      <c r="O149" s="138">
        <v>-3853840.33</v>
      </c>
      <c r="P149" s="140">
        <f t="shared" si="123"/>
        <v>2396.8028572199996</v>
      </c>
      <c r="Q149" s="140">
        <f t="shared" si="124"/>
        <v>1733.9620977300001</v>
      </c>
      <c r="R149" s="140">
        <f t="shared" si="124"/>
        <v>662.84075948999998</v>
      </c>
      <c r="S149" s="140">
        <f t="shared" si="124"/>
        <v>273.30784935000003</v>
      </c>
      <c r="T149" s="140">
        <f t="shared" si="125"/>
        <v>271.78167924000002</v>
      </c>
      <c r="U149" s="140">
        <f t="shared" si="125"/>
        <v>117.75123090000001</v>
      </c>
      <c r="V149" s="140">
        <f t="shared" si="125"/>
        <v>169.69529488999999</v>
      </c>
      <c r="W149" s="140">
        <f t="shared" si="126"/>
        <v>905.52857778999999</v>
      </c>
      <c r="X149" s="140">
        <f t="shared" si="126"/>
        <v>-735.83328289999997</v>
      </c>
      <c r="Y149" s="140">
        <f t="shared" si="126"/>
        <v>-522.39290761999996</v>
      </c>
      <c r="Z149" s="140">
        <f t="shared" si="127"/>
        <v>-209.58653494999999</v>
      </c>
      <c r="AA149" s="140">
        <f t="shared" si="127"/>
        <v>-3.8538403300000001</v>
      </c>
      <c r="AB149" s="140">
        <f t="shared" si="128"/>
        <v>7.0800689501357619</v>
      </c>
      <c r="AC149" s="140">
        <f t="shared" si="128"/>
        <v>52.22308947672294</v>
      </c>
      <c r="AD149" s="140">
        <f t="shared" si="128"/>
        <v>-111.01207527825561</v>
      </c>
      <c r="AE149" s="140">
        <f t="shared" si="128"/>
        <v>-191.13717694621343</v>
      </c>
      <c r="AF149" s="140">
        <f t="shared" si="128"/>
        <v>-77.115770104916493</v>
      </c>
      <c r="AG149" s="141">
        <f t="shared" ref="AG149" si="131">AA149/U149%</f>
        <v>-3.2728662796509242</v>
      </c>
      <c r="AH149" s="30"/>
    </row>
    <row r="150" spans="1:34" s="39" customFormat="1" ht="13.8" hidden="1" thickTop="1" x14ac:dyDescent="0.25">
      <c r="A150" s="142" t="s">
        <v>105</v>
      </c>
      <c r="B150" s="134">
        <f>+B134+B142</f>
        <v>-1.049041748046875E-5</v>
      </c>
      <c r="C150" s="134">
        <f t="shared" ref="C150:O150" si="132">+C134+C142</f>
        <v>0</v>
      </c>
      <c r="D150" s="134">
        <f t="shared" si="132"/>
        <v>4.291534423828125E-6</v>
      </c>
      <c r="E150" s="134">
        <f t="shared" si="132"/>
        <v>0</v>
      </c>
      <c r="F150" s="134">
        <f t="shared" si="132"/>
        <v>-2.2649765014648438E-6</v>
      </c>
      <c r="G150" s="134">
        <f t="shared" si="132"/>
        <v>-1.6689300537109375E-6</v>
      </c>
      <c r="H150" s="134">
        <f t="shared" si="132"/>
        <v>-6.5565109252929688E-7</v>
      </c>
      <c r="I150" s="134">
        <f t="shared" si="132"/>
        <v>-7.62939453125E-6</v>
      </c>
      <c r="J150" s="134">
        <f t="shared" si="132"/>
        <v>0</v>
      </c>
      <c r="K150" s="134">
        <f t="shared" si="132"/>
        <v>2.384185791015625E-6</v>
      </c>
      <c r="L150" s="134">
        <f t="shared" si="132"/>
        <v>1.3113021850585938E-6</v>
      </c>
      <c r="M150" s="134">
        <f t="shared" si="132"/>
        <v>2.2947788238525391E-6</v>
      </c>
      <c r="N150" s="134">
        <f t="shared" si="132"/>
        <v>0</v>
      </c>
      <c r="O150" s="134">
        <f t="shared" si="132"/>
        <v>2.4214386940002441E-8</v>
      </c>
      <c r="P150" s="143">
        <f t="shared" si="123"/>
        <v>-1.049041748046875E-11</v>
      </c>
      <c r="Q150" s="143">
        <f t="shared" si="124"/>
        <v>4.2915344238281251E-12</v>
      </c>
      <c r="R150" s="143">
        <f t="shared" si="124"/>
        <v>0</v>
      </c>
      <c r="S150" s="143">
        <f t="shared" si="124"/>
        <v>-2.2649765014648439E-12</v>
      </c>
      <c r="T150" s="143">
        <f t="shared" si="125"/>
        <v>-1.6689300537109375E-12</v>
      </c>
      <c r="U150" s="143">
        <f t="shared" si="125"/>
        <v>-6.5565109252929686E-13</v>
      </c>
      <c r="V150" s="143">
        <f t="shared" si="125"/>
        <v>-7.6293945312499997E-12</v>
      </c>
      <c r="W150" s="143">
        <f t="shared" si="126"/>
        <v>2.3841857910156252E-12</v>
      </c>
      <c r="X150" s="143">
        <f t="shared" si="126"/>
        <v>1.3113021850585937E-12</v>
      </c>
      <c r="Y150" s="143">
        <f t="shared" si="126"/>
        <v>2.2947788238525391E-12</v>
      </c>
      <c r="Z150" s="143">
        <f t="shared" si="127"/>
        <v>0</v>
      </c>
      <c r="AA150" s="143">
        <f t="shared" si="127"/>
        <v>2.421438694000244E-14</v>
      </c>
      <c r="AB150" s="143">
        <f t="shared" si="128"/>
        <v>72.727272727272734</v>
      </c>
      <c r="AC150" s="143">
        <f t="shared" si="128"/>
        <v>55.555555555555564</v>
      </c>
      <c r="AD150" s="143" t="e">
        <f t="shared" si="128"/>
        <v>#DIV/0!</v>
      </c>
      <c r="AE150" s="143">
        <f t="shared" si="128"/>
        <v>-101.31578947368421</v>
      </c>
      <c r="AF150" s="143">
        <f t="shared" si="128"/>
        <v>0</v>
      </c>
      <c r="AG150" s="144">
        <f t="shared" si="128"/>
        <v>-3.6931818181818183</v>
      </c>
      <c r="AH150" s="30"/>
    </row>
    <row r="151" spans="1:34" s="39" customFormat="1" hidden="1" x14ac:dyDescent="0.25">
      <c r="A151" s="145"/>
      <c r="B151" s="134">
        <f>+B142+B135</f>
        <v>0</v>
      </c>
      <c r="C151" s="134">
        <f t="shared" ref="C151:O151" si="133">+C142+C135</f>
        <v>0</v>
      </c>
      <c r="D151" s="134">
        <f t="shared" si="133"/>
        <v>0</v>
      </c>
      <c r="E151" s="134">
        <f t="shared" si="133"/>
        <v>0</v>
      </c>
      <c r="F151" s="134">
        <f t="shared" si="133"/>
        <v>0</v>
      </c>
      <c r="G151" s="134">
        <f t="shared" si="133"/>
        <v>0</v>
      </c>
      <c r="H151" s="134">
        <f t="shared" si="133"/>
        <v>0</v>
      </c>
      <c r="I151" s="134">
        <f t="shared" si="133"/>
        <v>0</v>
      </c>
      <c r="J151" s="134">
        <f t="shared" si="133"/>
        <v>0</v>
      </c>
      <c r="K151" s="134">
        <f t="shared" si="133"/>
        <v>0</v>
      </c>
      <c r="L151" s="134">
        <f t="shared" si="133"/>
        <v>0</v>
      </c>
      <c r="M151" s="134">
        <f t="shared" si="133"/>
        <v>0</v>
      </c>
      <c r="N151" s="134">
        <f t="shared" si="133"/>
        <v>0</v>
      </c>
      <c r="O151" s="134">
        <f t="shared" si="133"/>
        <v>0</v>
      </c>
      <c r="P151" s="134">
        <f t="shared" si="123"/>
        <v>0</v>
      </c>
      <c r="Q151" s="134"/>
      <c r="R151" s="134"/>
      <c r="S151" s="134"/>
      <c r="T151" s="134"/>
      <c r="U151" s="134"/>
      <c r="V151" s="134"/>
      <c r="W151" s="134"/>
      <c r="X151" s="134"/>
      <c r="Y151" s="134"/>
      <c r="Z151" s="134"/>
      <c r="AA151" s="134"/>
      <c r="AB151" s="146"/>
      <c r="AC151" s="146"/>
      <c r="AD151" s="146"/>
      <c r="AE151" s="146"/>
      <c r="AF151" s="146"/>
      <c r="AG151" s="147"/>
      <c r="AH151" s="146"/>
    </row>
    <row r="152" spans="1:34" s="39" customFormat="1" ht="13.8" thickTop="1" x14ac:dyDescent="0.25">
      <c r="A152" s="145"/>
      <c r="B152" s="134"/>
      <c r="C152" s="134"/>
      <c r="D152" s="134"/>
      <c r="E152" s="134"/>
      <c r="F152" s="134"/>
      <c r="G152" s="134"/>
      <c r="H152" s="134"/>
      <c r="I152" s="134"/>
      <c r="J152" s="134"/>
      <c r="K152" s="134"/>
      <c r="L152" s="134"/>
      <c r="M152" s="134"/>
      <c r="N152" s="134"/>
      <c r="O152" s="134"/>
      <c r="P152" s="134"/>
      <c r="Q152" s="134"/>
      <c r="R152" s="134"/>
      <c r="S152" s="134"/>
      <c r="T152" s="134"/>
      <c r="U152" s="134"/>
      <c r="V152" s="134"/>
      <c r="W152" s="134"/>
      <c r="X152" s="134"/>
      <c r="Y152" s="134"/>
      <c r="Z152" s="134"/>
      <c r="AA152" s="134"/>
      <c r="AB152" s="146"/>
      <c r="AC152" s="146"/>
      <c r="AD152" s="146"/>
      <c r="AE152" s="146"/>
      <c r="AF152" s="146"/>
      <c r="AG152" s="146"/>
      <c r="AH152" s="146"/>
    </row>
    <row r="153" spans="1:34" s="39" customFormat="1" x14ac:dyDescent="0.25">
      <c r="A153" s="145"/>
      <c r="B153" s="134"/>
      <c r="C153" s="134"/>
      <c r="D153" s="134"/>
      <c r="E153" s="134"/>
      <c r="F153" s="134"/>
      <c r="G153" s="134"/>
      <c r="H153" s="134"/>
      <c r="I153" s="134"/>
      <c r="J153" s="134"/>
      <c r="K153" s="134"/>
      <c r="L153" s="134"/>
      <c r="M153" s="134"/>
      <c r="N153" s="134"/>
      <c r="O153" s="134"/>
      <c r="P153" s="134"/>
      <c r="Q153" s="134"/>
      <c r="R153" s="134"/>
      <c r="S153" s="134"/>
      <c r="T153" s="134"/>
      <c r="U153" s="134"/>
      <c r="V153" s="134"/>
      <c r="X153" s="134"/>
      <c r="Y153" s="134"/>
      <c r="Z153" s="134"/>
      <c r="AA153" s="134"/>
      <c r="AB153" s="146"/>
      <c r="AC153" s="146"/>
      <c r="AD153" s="146"/>
      <c r="AE153" s="146"/>
      <c r="AF153" s="146"/>
      <c r="AG153" s="146"/>
      <c r="AH153" s="146"/>
    </row>
    <row r="154" spans="1:34" s="39" customFormat="1" x14ac:dyDescent="0.25">
      <c r="A154" s="145"/>
      <c r="B154" s="134"/>
      <c r="C154" s="134"/>
      <c r="D154" s="134"/>
      <c r="E154" s="134"/>
      <c r="F154" s="134"/>
      <c r="G154" s="134"/>
      <c r="H154" s="134"/>
      <c r="I154" s="134"/>
      <c r="J154" s="134"/>
      <c r="K154" s="134"/>
      <c r="L154" s="134"/>
      <c r="M154" s="134"/>
      <c r="N154" s="134"/>
      <c r="O154" s="134"/>
      <c r="P154" s="134"/>
      <c r="Q154" s="134"/>
      <c r="R154" s="134"/>
      <c r="S154" s="134"/>
      <c r="T154" s="134"/>
      <c r="U154" s="134"/>
      <c r="V154" s="134"/>
      <c r="W154" s="134"/>
      <c r="X154" s="134"/>
      <c r="Y154" s="134"/>
      <c r="Z154" s="134"/>
      <c r="AA154" s="134"/>
      <c r="AB154" s="146"/>
      <c r="AC154" s="146"/>
      <c r="AD154" s="146"/>
      <c r="AE154" s="146"/>
      <c r="AF154" s="146"/>
      <c r="AG154" s="146"/>
      <c r="AH154" s="146"/>
    </row>
    <row r="155" spans="1:34" s="149" customFormat="1" ht="15.6" customHeight="1" thickBot="1" x14ac:dyDescent="0.3">
      <c r="A155" s="509" t="s">
        <v>119</v>
      </c>
      <c r="B155" s="509"/>
      <c r="C155" s="509"/>
      <c r="D155" s="509"/>
      <c r="E155" s="509"/>
      <c r="F155" s="509"/>
      <c r="G155" s="509"/>
      <c r="H155" s="509"/>
      <c r="I155" s="509"/>
      <c r="J155" s="509"/>
      <c r="K155" s="509"/>
      <c r="L155" s="509"/>
      <c r="M155" s="509"/>
      <c r="N155" s="509"/>
      <c r="O155" s="509"/>
      <c r="P155" s="509"/>
      <c r="Q155" s="509"/>
      <c r="R155" s="509"/>
      <c r="S155" s="509"/>
      <c r="T155" s="509"/>
      <c r="U155" s="509"/>
      <c r="V155" s="509"/>
      <c r="W155" s="509"/>
      <c r="X155" s="509"/>
      <c r="Y155" s="509"/>
      <c r="Z155" s="509"/>
      <c r="AA155" s="509"/>
      <c r="AB155" s="509"/>
      <c r="AC155" s="509"/>
      <c r="AD155" s="509"/>
      <c r="AE155" s="509"/>
      <c r="AF155" s="509"/>
      <c r="AG155" s="509"/>
      <c r="AH155" s="148"/>
    </row>
    <row r="156" spans="1:34" s="149" customFormat="1" ht="13.8" thickTop="1" x14ac:dyDescent="0.25">
      <c r="A156" s="493" t="s">
        <v>1</v>
      </c>
      <c r="B156" s="495" t="s">
        <v>389</v>
      </c>
      <c r="C156" s="495"/>
      <c r="D156" s="495"/>
      <c r="E156" s="495"/>
      <c r="F156" s="495"/>
      <c r="G156" s="495"/>
      <c r="H156" s="495"/>
      <c r="I156" s="495" t="s">
        <v>431</v>
      </c>
      <c r="J156" s="495"/>
      <c r="K156" s="495"/>
      <c r="L156" s="495"/>
      <c r="M156" s="495"/>
      <c r="N156" s="495"/>
      <c r="O156" s="495"/>
      <c r="P156" s="495" t="s">
        <v>390</v>
      </c>
      <c r="Q156" s="495"/>
      <c r="R156" s="495"/>
      <c r="S156" s="495"/>
      <c r="T156" s="495"/>
      <c r="U156" s="495"/>
      <c r="V156" s="495" t="s">
        <v>432</v>
      </c>
      <c r="W156" s="495"/>
      <c r="X156" s="495"/>
      <c r="Y156" s="495"/>
      <c r="Z156" s="495"/>
      <c r="AA156" s="495"/>
      <c r="AB156" s="495" t="s">
        <v>120</v>
      </c>
      <c r="AC156" s="495"/>
      <c r="AD156" s="495"/>
      <c r="AE156" s="495"/>
      <c r="AF156" s="495"/>
      <c r="AG156" s="496"/>
      <c r="AH156" s="10"/>
    </row>
    <row r="157" spans="1:34" s="149" customFormat="1" x14ac:dyDescent="0.25">
      <c r="A157" s="494"/>
      <c r="B157" s="487" t="s">
        <v>3</v>
      </c>
      <c r="C157" s="488" t="s">
        <v>4</v>
      </c>
      <c r="D157" s="488"/>
      <c r="E157" s="488"/>
      <c r="F157" s="488"/>
      <c r="G157" s="488"/>
      <c r="H157" s="488"/>
      <c r="I157" s="487" t="s">
        <v>3</v>
      </c>
      <c r="J157" s="11"/>
      <c r="K157" s="488" t="s">
        <v>4</v>
      </c>
      <c r="L157" s="488"/>
      <c r="M157" s="488"/>
      <c r="N157" s="488"/>
      <c r="O157" s="488"/>
      <c r="P157" s="487" t="s">
        <v>3</v>
      </c>
      <c r="Q157" s="488" t="s">
        <v>5</v>
      </c>
      <c r="R157" s="488"/>
      <c r="S157" s="488"/>
      <c r="T157" s="488"/>
      <c r="U157" s="488"/>
      <c r="V157" s="487" t="s">
        <v>3</v>
      </c>
      <c r="W157" s="488" t="s">
        <v>5</v>
      </c>
      <c r="X157" s="488"/>
      <c r="Y157" s="488"/>
      <c r="Z157" s="488"/>
      <c r="AA157" s="488"/>
      <c r="AB157" s="487" t="s">
        <v>3</v>
      </c>
      <c r="AC157" s="488" t="s">
        <v>5</v>
      </c>
      <c r="AD157" s="488"/>
      <c r="AE157" s="488"/>
      <c r="AF157" s="488"/>
      <c r="AG157" s="503"/>
      <c r="AH157" s="10"/>
    </row>
    <row r="158" spans="1:34" s="149" customFormat="1" x14ac:dyDescent="0.25">
      <c r="A158" s="494"/>
      <c r="B158" s="487"/>
      <c r="C158" s="510" t="s">
        <v>6</v>
      </c>
      <c r="D158" s="487" t="s">
        <v>7</v>
      </c>
      <c r="E158" s="487" t="s">
        <v>8</v>
      </c>
      <c r="F158" s="490" t="s">
        <v>9</v>
      </c>
      <c r="G158" s="490"/>
      <c r="H158" s="490"/>
      <c r="I158" s="487"/>
      <c r="J158" s="510" t="s">
        <v>6</v>
      </c>
      <c r="K158" s="487" t="s">
        <v>7</v>
      </c>
      <c r="L158" s="487" t="s">
        <v>8</v>
      </c>
      <c r="M158" s="490" t="s">
        <v>9</v>
      </c>
      <c r="N158" s="490"/>
      <c r="O158" s="490"/>
      <c r="P158" s="487"/>
      <c r="Q158" s="487" t="s">
        <v>7</v>
      </c>
      <c r="R158" s="489" t="s">
        <v>8</v>
      </c>
      <c r="S158" s="490" t="s">
        <v>9</v>
      </c>
      <c r="T158" s="490"/>
      <c r="U158" s="490"/>
      <c r="V158" s="487"/>
      <c r="W158" s="487" t="s">
        <v>7</v>
      </c>
      <c r="X158" s="489" t="s">
        <v>8</v>
      </c>
      <c r="Y158" s="490" t="s">
        <v>9</v>
      </c>
      <c r="Z158" s="490"/>
      <c r="AA158" s="490"/>
      <c r="AB158" s="487"/>
      <c r="AC158" s="489" t="s">
        <v>7</v>
      </c>
      <c r="AD158" s="489" t="s">
        <v>8</v>
      </c>
      <c r="AE158" s="500" t="s">
        <v>9</v>
      </c>
      <c r="AF158" s="500"/>
      <c r="AG158" s="501"/>
      <c r="AH158" s="12"/>
    </row>
    <row r="159" spans="1:34" s="149" customFormat="1" ht="48" customHeight="1" x14ac:dyDescent="0.25">
      <c r="A159" s="494"/>
      <c r="B159" s="487"/>
      <c r="C159" s="510"/>
      <c r="D159" s="487"/>
      <c r="E159" s="487"/>
      <c r="F159" s="13" t="s">
        <v>10</v>
      </c>
      <c r="G159" s="13" t="s">
        <v>11</v>
      </c>
      <c r="H159" s="13" t="s">
        <v>12</v>
      </c>
      <c r="I159" s="487"/>
      <c r="J159" s="510"/>
      <c r="K159" s="487"/>
      <c r="L159" s="487"/>
      <c r="M159" s="13" t="s">
        <v>10</v>
      </c>
      <c r="N159" s="13" t="s">
        <v>11</v>
      </c>
      <c r="O159" s="13" t="s">
        <v>12</v>
      </c>
      <c r="P159" s="487"/>
      <c r="Q159" s="487"/>
      <c r="R159" s="489"/>
      <c r="S159" s="13" t="s">
        <v>10</v>
      </c>
      <c r="T159" s="13" t="s">
        <v>11</v>
      </c>
      <c r="U159" s="13" t="s">
        <v>12</v>
      </c>
      <c r="V159" s="487"/>
      <c r="W159" s="487"/>
      <c r="X159" s="489"/>
      <c r="Y159" s="13" t="s">
        <v>10</v>
      </c>
      <c r="Z159" s="13" t="s">
        <v>11</v>
      </c>
      <c r="AA159" s="13" t="s">
        <v>12</v>
      </c>
      <c r="AB159" s="487"/>
      <c r="AC159" s="489"/>
      <c r="AD159" s="489"/>
      <c r="AE159" s="14" t="s">
        <v>10</v>
      </c>
      <c r="AF159" s="14" t="s">
        <v>11</v>
      </c>
      <c r="AG159" s="15" t="s">
        <v>13</v>
      </c>
      <c r="AH159" s="16"/>
    </row>
    <row r="160" spans="1:34" s="39" customFormat="1" ht="26.4" x14ac:dyDescent="0.25">
      <c r="A160" s="34" t="s">
        <v>128</v>
      </c>
      <c r="B160" s="151">
        <f>D160+E160</f>
        <v>2518156337.5300002</v>
      </c>
      <c r="C160" s="152"/>
      <c r="D160" s="152">
        <v>1733962138.6200001</v>
      </c>
      <c r="E160" s="151">
        <f>F160+G160+H160</f>
        <v>784194198.90999997</v>
      </c>
      <c r="F160" s="152">
        <v>307808120.91000003</v>
      </c>
      <c r="G160" s="152">
        <v>310101366.60000002</v>
      </c>
      <c r="H160" s="152">
        <v>166284711.40000001</v>
      </c>
      <c r="I160" s="151">
        <f>K160+L160</f>
        <v>2348461042.6399999</v>
      </c>
      <c r="J160" s="152"/>
      <c r="K160" s="152">
        <v>828433560.83000004</v>
      </c>
      <c r="L160" s="151">
        <f>M160+N160+O160</f>
        <v>1520027481.8099999</v>
      </c>
      <c r="M160" s="152">
        <v>830201028.52999997</v>
      </c>
      <c r="N160" s="152">
        <v>519687901.55000001</v>
      </c>
      <c r="O160" s="152">
        <v>170138551.73000002</v>
      </c>
      <c r="P160" s="35">
        <f>B160/1000000</f>
        <v>2518.1563375300002</v>
      </c>
      <c r="Q160" s="35">
        <f t="shared" ref="Q160:V162" si="134">D160/1000000</f>
        <v>1733.9621386200001</v>
      </c>
      <c r="R160" s="35">
        <f t="shared" si="134"/>
        <v>784.19419890999995</v>
      </c>
      <c r="S160" s="35">
        <f t="shared" si="134"/>
        <v>307.80812091000001</v>
      </c>
      <c r="T160" s="35">
        <f t="shared" si="134"/>
        <v>310.10136660000001</v>
      </c>
      <c r="U160" s="35">
        <f t="shared" si="134"/>
        <v>166.28471139999999</v>
      </c>
      <c r="V160" s="35">
        <f t="shared" si="134"/>
        <v>2348.46104264</v>
      </c>
      <c r="W160" s="35">
        <f t="shared" ref="W160:AA163" si="135">K160/1000000</f>
        <v>828.43356083000003</v>
      </c>
      <c r="X160" s="35">
        <f t="shared" si="135"/>
        <v>1520.0274818099999</v>
      </c>
      <c r="Y160" s="35">
        <f t="shared" si="135"/>
        <v>830.20102852999992</v>
      </c>
      <c r="Z160" s="35">
        <f t="shared" si="135"/>
        <v>519.68790154999999</v>
      </c>
      <c r="AA160" s="35">
        <f t="shared" si="135"/>
        <v>170.13855173000002</v>
      </c>
      <c r="AB160" s="35">
        <f>V160-P160</f>
        <v>-169.69529489000024</v>
      </c>
      <c r="AC160" s="35">
        <f>W160-Q160</f>
        <v>-905.5285777900001</v>
      </c>
      <c r="AD160" s="35">
        <f>X160-R160</f>
        <v>735.83328289999997</v>
      </c>
      <c r="AE160" s="35">
        <f t="shared" ref="AE160:AG163" si="136">Y160-S160</f>
        <v>522.39290761999996</v>
      </c>
      <c r="AF160" s="35">
        <f t="shared" si="136"/>
        <v>209.58653494999999</v>
      </c>
      <c r="AG160" s="36">
        <f t="shared" si="136"/>
        <v>3.8538403300000255</v>
      </c>
      <c r="AH160" s="37"/>
    </row>
    <row r="161" spans="1:37" x14ac:dyDescent="0.25">
      <c r="A161" s="92" t="s">
        <v>121</v>
      </c>
      <c r="B161" s="153">
        <f>D161+E161</f>
        <v>136345386.65000001</v>
      </c>
      <c r="C161" s="25"/>
      <c r="D161" s="113">
        <v>216902.13</v>
      </c>
      <c r="E161" s="153">
        <f t="shared" ref="E161:E168" si="137">F161+G161+H161</f>
        <v>136128484.52000001</v>
      </c>
      <c r="F161" s="25">
        <v>1832097.35</v>
      </c>
      <c r="G161" s="25">
        <v>111224888.26000001</v>
      </c>
      <c r="H161" s="25">
        <v>23071498.91</v>
      </c>
      <c r="I161" s="153">
        <f>K161+L161</f>
        <v>219090948.80000001</v>
      </c>
      <c r="J161" s="25"/>
      <c r="K161" s="113">
        <v>169625957.61000001</v>
      </c>
      <c r="L161" s="153">
        <f t="shared" ref="L161:L168" si="138">M161+N161+O161</f>
        <v>49464991.189999998</v>
      </c>
      <c r="M161" s="25">
        <v>-1191802.07</v>
      </c>
      <c r="N161" s="25">
        <v>32721480.600000001</v>
      </c>
      <c r="O161" s="25">
        <v>17935312.66</v>
      </c>
      <c r="P161" s="32">
        <f>B161/1000000</f>
        <v>136.34538664999999</v>
      </c>
      <c r="Q161" s="32">
        <f t="shared" si="134"/>
        <v>0.21690213</v>
      </c>
      <c r="R161" s="32">
        <f t="shared" si="134"/>
        <v>136.12848452</v>
      </c>
      <c r="S161" s="32">
        <f t="shared" si="134"/>
        <v>1.8320973500000002</v>
      </c>
      <c r="T161" s="32">
        <f t="shared" si="134"/>
        <v>111.22488826</v>
      </c>
      <c r="U161" s="32">
        <f t="shared" si="134"/>
        <v>23.071498909999999</v>
      </c>
      <c r="V161" s="31">
        <f t="shared" si="134"/>
        <v>219.09094880000001</v>
      </c>
      <c r="W161" s="31">
        <f t="shared" si="135"/>
        <v>169.62595761</v>
      </c>
      <c r="X161" s="31">
        <f t="shared" si="135"/>
        <v>49.464991189999999</v>
      </c>
      <c r="Y161" s="31">
        <f t="shared" si="135"/>
        <v>-1.19180207</v>
      </c>
      <c r="Z161" s="31">
        <f t="shared" si="135"/>
        <v>32.7214806</v>
      </c>
      <c r="AA161" s="31">
        <f t="shared" si="135"/>
        <v>17.935312660000001</v>
      </c>
      <c r="AB161" s="31">
        <f t="shared" ref="AB161:AG168" si="139">V161-P161</f>
        <v>82.745562150000012</v>
      </c>
      <c r="AC161" s="31">
        <f t="shared" si="139"/>
        <v>169.40905548000001</v>
      </c>
      <c r="AD161" s="31">
        <f t="shared" si="139"/>
        <v>-86.663493329999994</v>
      </c>
      <c r="AE161" s="31">
        <f t="shared" si="136"/>
        <v>-3.0238994200000002</v>
      </c>
      <c r="AF161" s="31">
        <f t="shared" si="136"/>
        <v>-78.503407659999993</v>
      </c>
      <c r="AG161" s="33">
        <f t="shared" si="136"/>
        <v>-5.136186249999998</v>
      </c>
      <c r="AH161" s="30"/>
    </row>
    <row r="162" spans="1:37" x14ac:dyDescent="0.25">
      <c r="A162" s="92" t="s">
        <v>122</v>
      </c>
      <c r="B162" s="153">
        <f>D162+E162</f>
        <v>31175532.649999999</v>
      </c>
      <c r="C162" s="25"/>
      <c r="D162" s="154">
        <v>216902.13</v>
      </c>
      <c r="E162" s="153">
        <f t="shared" si="137"/>
        <v>30958630.52</v>
      </c>
      <c r="F162" s="25">
        <v>240158.07</v>
      </c>
      <c r="G162" s="25">
        <v>29381265.579999998</v>
      </c>
      <c r="H162" s="113">
        <v>1337206.8700000001</v>
      </c>
      <c r="I162" s="153">
        <f>K162+L162</f>
        <v>178777528.24000001</v>
      </c>
      <c r="J162" s="25"/>
      <c r="K162" s="154">
        <v>169625957.61000001</v>
      </c>
      <c r="L162" s="153">
        <f t="shared" si="138"/>
        <v>9151570.629999999</v>
      </c>
      <c r="M162" s="25">
        <v>345377.59</v>
      </c>
      <c r="N162" s="25">
        <v>1105107.31</v>
      </c>
      <c r="O162" s="113">
        <v>7701085.7299999995</v>
      </c>
      <c r="P162" s="32">
        <f>B162/1000000</f>
        <v>31.175532649999997</v>
      </c>
      <c r="Q162" s="32">
        <f t="shared" si="134"/>
        <v>0.21690213</v>
      </c>
      <c r="R162" s="32">
        <f t="shared" si="134"/>
        <v>30.95863052</v>
      </c>
      <c r="S162" s="32">
        <f t="shared" si="134"/>
        <v>0.24015807</v>
      </c>
      <c r="T162" s="32">
        <f t="shared" si="134"/>
        <v>29.381265579999997</v>
      </c>
      <c r="U162" s="32">
        <f t="shared" si="134"/>
        <v>1.3372068700000002</v>
      </c>
      <c r="V162" s="31">
        <f t="shared" si="134"/>
        <v>178.77752824000001</v>
      </c>
      <c r="W162" s="31">
        <f t="shared" si="135"/>
        <v>169.62595761</v>
      </c>
      <c r="X162" s="31">
        <f t="shared" si="135"/>
        <v>9.1515706299999984</v>
      </c>
      <c r="Y162" s="31">
        <f t="shared" si="135"/>
        <v>0.34537759000000001</v>
      </c>
      <c r="Z162" s="31">
        <f t="shared" si="135"/>
        <v>1.10510731</v>
      </c>
      <c r="AA162" s="31">
        <f t="shared" si="135"/>
        <v>7.7010857299999991</v>
      </c>
      <c r="AB162" s="31">
        <f t="shared" si="139"/>
        <v>147.60199559</v>
      </c>
      <c r="AC162" s="31">
        <f t="shared" si="139"/>
        <v>169.40905548000001</v>
      </c>
      <c r="AD162" s="31">
        <f t="shared" si="139"/>
        <v>-21.807059890000001</v>
      </c>
      <c r="AE162" s="31">
        <f t="shared" si="136"/>
        <v>0.10521952000000001</v>
      </c>
      <c r="AF162" s="31">
        <f t="shared" si="136"/>
        <v>-28.276158269999996</v>
      </c>
      <c r="AG162" s="33">
        <f t="shared" si="136"/>
        <v>6.3638788599999989</v>
      </c>
      <c r="AH162" s="30"/>
    </row>
    <row r="163" spans="1:37" x14ac:dyDescent="0.25">
      <c r="A163" s="92" t="s">
        <v>123</v>
      </c>
      <c r="B163" s="153">
        <f>E163</f>
        <v>105169854</v>
      </c>
      <c r="C163" s="25"/>
      <c r="D163" s="25"/>
      <c r="E163" s="153">
        <f t="shared" si="137"/>
        <v>105169854</v>
      </c>
      <c r="F163" s="155">
        <f>F161-F162</f>
        <v>1591939.28</v>
      </c>
      <c r="G163" s="155">
        <f>G161-G162</f>
        <v>81843622.680000007</v>
      </c>
      <c r="H163" s="155">
        <f>H161-H162</f>
        <v>21734292.039999999</v>
      </c>
      <c r="I163" s="153">
        <f>L163</f>
        <v>40313420.560000002</v>
      </c>
      <c r="J163" s="25"/>
      <c r="K163" s="25"/>
      <c r="L163" s="153">
        <f t="shared" si="138"/>
        <v>40313420.560000002</v>
      </c>
      <c r="M163" s="155">
        <f>M161-M162</f>
        <v>-1537179.6600000001</v>
      </c>
      <c r="N163" s="155">
        <f>N161-N162</f>
        <v>31616373.290000003</v>
      </c>
      <c r="O163" s="155">
        <f>O161-O162</f>
        <v>10234226.93</v>
      </c>
      <c r="P163" s="32">
        <f>B163/1000000</f>
        <v>105.169854</v>
      </c>
      <c r="Q163" s="32"/>
      <c r="R163" s="32">
        <f>E163/1000000</f>
        <v>105.169854</v>
      </c>
      <c r="S163" s="32">
        <f>F163/1000000</f>
        <v>1.5919392800000001</v>
      </c>
      <c r="T163" s="32">
        <f>G163/1000000</f>
        <v>81.84362268000001</v>
      </c>
      <c r="U163" s="32">
        <f>H163/1000000</f>
        <v>21.73429204</v>
      </c>
      <c r="V163" s="31">
        <f>I163/1000000</f>
        <v>40.313420560000004</v>
      </c>
      <c r="W163" s="31"/>
      <c r="X163" s="31">
        <f>L163/1000000</f>
        <v>40.313420560000004</v>
      </c>
      <c r="Y163" s="31">
        <f>M163/1000000</f>
        <v>-1.5371796600000001</v>
      </c>
      <c r="Z163" s="31">
        <f t="shared" si="135"/>
        <v>31.616373290000002</v>
      </c>
      <c r="AA163" s="31">
        <f t="shared" si="135"/>
        <v>10.23422693</v>
      </c>
      <c r="AB163" s="31">
        <f t="shared" si="139"/>
        <v>-64.856433439999989</v>
      </c>
      <c r="AC163" s="49" t="s">
        <v>31</v>
      </c>
      <c r="AD163" s="31">
        <f t="shared" si="139"/>
        <v>-64.856433439999989</v>
      </c>
      <c r="AE163" s="31">
        <f t="shared" si="136"/>
        <v>-3.1291189400000001</v>
      </c>
      <c r="AF163" s="31">
        <f t="shared" si="136"/>
        <v>-50.227249390000011</v>
      </c>
      <c r="AG163" s="33">
        <f t="shared" si="136"/>
        <v>-11.50006511</v>
      </c>
      <c r="AH163" s="30"/>
    </row>
    <row r="164" spans="1:37" s="39" customFormat="1" ht="26.4" x14ac:dyDescent="0.25">
      <c r="A164" s="34" t="s">
        <v>224</v>
      </c>
      <c r="B164" s="151">
        <f>D164+E164</f>
        <v>264996853.89999998</v>
      </c>
      <c r="C164" s="156"/>
      <c r="D164" s="156"/>
      <c r="E164" s="151">
        <f>F164+G164+H164-1709254</f>
        <v>264996853.89999998</v>
      </c>
      <c r="F164" s="152">
        <v>48884864.410000004</v>
      </c>
      <c r="G164" s="152">
        <v>127598167.13</v>
      </c>
      <c r="H164" s="152">
        <v>90223076.359999999</v>
      </c>
      <c r="I164" s="151">
        <f>K164+L164-1363654</f>
        <v>304223697.57999992</v>
      </c>
      <c r="J164" s="156"/>
      <c r="K164" s="156">
        <v>1369730.4</v>
      </c>
      <c r="L164" s="151">
        <f>M164+N164+O164-1363654</f>
        <v>304217621.17999995</v>
      </c>
      <c r="M164" s="152">
        <v>65616587.100000001</v>
      </c>
      <c r="N164" s="152">
        <v>137827007.34999999</v>
      </c>
      <c r="O164" s="152">
        <v>102137680.72999999</v>
      </c>
      <c r="P164" s="35">
        <f t="shared" ref="P164:P168" si="140">B164/1000000</f>
        <v>264.99685389999996</v>
      </c>
      <c r="Q164" s="35">
        <f t="shared" ref="Q164:V168" si="141">D164/1000000</f>
        <v>0</v>
      </c>
      <c r="R164" s="35">
        <f t="shared" si="141"/>
        <v>264.99685389999996</v>
      </c>
      <c r="S164" s="35">
        <f t="shared" si="141"/>
        <v>48.884864410000006</v>
      </c>
      <c r="T164" s="35">
        <f t="shared" si="141"/>
        <v>127.59816712999999</v>
      </c>
      <c r="U164" s="35">
        <f t="shared" si="141"/>
        <v>90.223076359999993</v>
      </c>
      <c r="V164" s="35">
        <f t="shared" si="141"/>
        <v>304.22369757999991</v>
      </c>
      <c r="W164" s="35">
        <f t="shared" ref="W164:AA168" si="142">K164/1000000</f>
        <v>1.3697303999999999</v>
      </c>
      <c r="X164" s="35">
        <f t="shared" si="142"/>
        <v>304.21762117999992</v>
      </c>
      <c r="Y164" s="35">
        <f t="shared" si="142"/>
        <v>65.616587100000004</v>
      </c>
      <c r="Z164" s="35">
        <f t="shared" si="142"/>
        <v>137.82700735</v>
      </c>
      <c r="AA164" s="35">
        <f t="shared" si="142"/>
        <v>102.13768072999999</v>
      </c>
      <c r="AB164" s="35">
        <f t="shared" si="139"/>
        <v>39.226843679999945</v>
      </c>
      <c r="AC164" s="35">
        <f t="shared" si="139"/>
        <v>1.3697303999999999</v>
      </c>
      <c r="AD164" s="35">
        <f t="shared" si="139"/>
        <v>39.220767279999961</v>
      </c>
      <c r="AE164" s="35">
        <f t="shared" si="139"/>
        <v>16.731722689999998</v>
      </c>
      <c r="AF164" s="35">
        <f t="shared" si="139"/>
        <v>10.228840220000009</v>
      </c>
      <c r="AG164" s="36">
        <f t="shared" si="139"/>
        <v>11.914604369999992</v>
      </c>
      <c r="AH164" s="37"/>
      <c r="AI164" s="3">
        <f t="shared" ref="AI164:AI168" si="143">AD164*1000</f>
        <v>39220.767279999964</v>
      </c>
      <c r="AJ164" s="59">
        <f>V164/P164%-100</f>
        <v>14.802758260217956</v>
      </c>
      <c r="AK164" s="59">
        <f>X164/R164%-100</f>
        <v>14.800465251863116</v>
      </c>
    </row>
    <row r="165" spans="1:37" s="39" customFormat="1" x14ac:dyDescent="0.25">
      <c r="A165" s="34" t="s">
        <v>124</v>
      </c>
      <c r="B165" s="151">
        <f>D165+E165-C165</f>
        <v>44345034457.080002</v>
      </c>
      <c r="C165" s="157">
        <f>C166</f>
        <v>711466665</v>
      </c>
      <c r="D165" s="157">
        <f>D166+D167+D168</f>
        <v>40916650033.080002</v>
      </c>
      <c r="E165" s="151">
        <f t="shared" si="137"/>
        <v>4139851089</v>
      </c>
      <c r="F165" s="157">
        <f>F166+F167+F168</f>
        <v>3685214089</v>
      </c>
      <c r="G165" s="157">
        <f>G166+G167+G168</f>
        <v>426337000</v>
      </c>
      <c r="H165" s="157">
        <f>H166+H167+H168</f>
        <v>28300000</v>
      </c>
      <c r="I165" s="151">
        <f>K165+L165-J165</f>
        <v>38364756239.080002</v>
      </c>
      <c r="J165" s="157">
        <f>J166</f>
        <v>711466665</v>
      </c>
      <c r="K165" s="157">
        <f>K166+K167+K168</f>
        <v>34926747015.080002</v>
      </c>
      <c r="L165" s="151">
        <f t="shared" si="138"/>
        <v>4149475889</v>
      </c>
      <c r="M165" s="157">
        <f>M166+M167+M168</f>
        <v>3647063089</v>
      </c>
      <c r="N165" s="157">
        <f>N166+N167+N168</f>
        <v>473112800</v>
      </c>
      <c r="O165" s="157">
        <f>O166+O167+O168</f>
        <v>29300000</v>
      </c>
      <c r="P165" s="35">
        <f t="shared" si="140"/>
        <v>44345.034457080001</v>
      </c>
      <c r="Q165" s="35">
        <f t="shared" si="141"/>
        <v>40916.650033080005</v>
      </c>
      <c r="R165" s="35">
        <f t="shared" si="141"/>
        <v>4139.8510889999998</v>
      </c>
      <c r="S165" s="35">
        <f t="shared" si="141"/>
        <v>3685.2140890000001</v>
      </c>
      <c r="T165" s="35">
        <f t="shared" si="141"/>
        <v>426.33699999999999</v>
      </c>
      <c r="U165" s="35">
        <f t="shared" si="141"/>
        <v>28.3</v>
      </c>
      <c r="V165" s="35">
        <f t="shared" si="141"/>
        <v>38364.756239080001</v>
      </c>
      <c r="W165" s="35">
        <f t="shared" si="142"/>
        <v>34926.74701508</v>
      </c>
      <c r="X165" s="35">
        <f t="shared" si="142"/>
        <v>4149.4758890000003</v>
      </c>
      <c r="Y165" s="35">
        <f t="shared" si="142"/>
        <v>3647.0630890000002</v>
      </c>
      <c r="Z165" s="35">
        <f t="shared" si="142"/>
        <v>473.11279999999999</v>
      </c>
      <c r="AA165" s="35">
        <f t="shared" si="142"/>
        <v>29.3</v>
      </c>
      <c r="AB165" s="35">
        <f t="shared" si="139"/>
        <v>-5980.2782179999995</v>
      </c>
      <c r="AC165" s="35">
        <f t="shared" si="139"/>
        <v>-5989.9030180000045</v>
      </c>
      <c r="AD165" s="35">
        <f t="shared" si="139"/>
        <v>9.624800000000505</v>
      </c>
      <c r="AE165" s="35">
        <f t="shared" si="139"/>
        <v>-38.15099999999984</v>
      </c>
      <c r="AF165" s="35">
        <f t="shared" si="139"/>
        <v>46.775800000000004</v>
      </c>
      <c r="AG165" s="36">
        <f t="shared" si="139"/>
        <v>1</v>
      </c>
      <c r="AH165" s="37"/>
      <c r="AI165" s="3">
        <f t="shared" si="143"/>
        <v>9624.800000000505</v>
      </c>
      <c r="AJ165" s="59"/>
    </row>
    <row r="166" spans="1:37" x14ac:dyDescent="0.25">
      <c r="A166" s="40" t="s">
        <v>125</v>
      </c>
      <c r="B166" s="153">
        <f>D166+E166-C166</f>
        <v>14826611015.08</v>
      </c>
      <c r="C166" s="2">
        <v>711466665</v>
      </c>
      <c r="D166" s="113">
        <v>14826611015.08</v>
      </c>
      <c r="E166" s="153">
        <f t="shared" si="137"/>
        <v>711466665</v>
      </c>
      <c r="F166" s="113">
        <v>711466665</v>
      </c>
      <c r="G166" s="113">
        <v>0</v>
      </c>
      <c r="H166" s="113">
        <v>0</v>
      </c>
      <c r="I166" s="153">
        <f>K166+L166-J166</f>
        <v>20764010015.080002</v>
      </c>
      <c r="J166" s="25">
        <v>711466665</v>
      </c>
      <c r="K166" s="113">
        <f>19986747.01508*1000</f>
        <v>19986747015.080002</v>
      </c>
      <c r="L166" s="153">
        <f t="shared" si="138"/>
        <v>1488729665</v>
      </c>
      <c r="M166" s="113">
        <v>1401626665</v>
      </c>
      <c r="N166" s="113">
        <v>87103000</v>
      </c>
      <c r="O166" s="113">
        <v>0</v>
      </c>
      <c r="P166" s="31">
        <f t="shared" si="140"/>
        <v>14826.61101508</v>
      </c>
      <c r="Q166" s="31">
        <f t="shared" si="141"/>
        <v>14826.61101508</v>
      </c>
      <c r="R166" s="31">
        <f t="shared" si="141"/>
        <v>711.46666500000003</v>
      </c>
      <c r="S166" s="31">
        <f t="shared" si="141"/>
        <v>711.46666500000003</v>
      </c>
      <c r="T166" s="31">
        <f t="shared" si="141"/>
        <v>0</v>
      </c>
      <c r="U166" s="31">
        <f t="shared" si="141"/>
        <v>0</v>
      </c>
      <c r="V166" s="31">
        <f t="shared" si="141"/>
        <v>20764.010015080003</v>
      </c>
      <c r="W166" s="31">
        <f>K166/1000000</f>
        <v>19986.747015080004</v>
      </c>
      <c r="X166" s="31">
        <f t="shared" si="142"/>
        <v>1488.7296650000001</v>
      </c>
      <c r="Y166" s="31">
        <f t="shared" si="142"/>
        <v>1401.626665</v>
      </c>
      <c r="Z166" s="31">
        <f t="shared" si="142"/>
        <v>87.102999999999994</v>
      </c>
      <c r="AA166" s="31">
        <f t="shared" si="142"/>
        <v>0</v>
      </c>
      <c r="AB166" s="31">
        <f t="shared" si="139"/>
        <v>5937.3990000000031</v>
      </c>
      <c r="AC166" s="31">
        <f t="shared" si="139"/>
        <v>5160.1360000000041</v>
      </c>
      <c r="AD166" s="31">
        <f t="shared" si="139"/>
        <v>777.26300000000003</v>
      </c>
      <c r="AE166" s="31">
        <f t="shared" si="139"/>
        <v>690.16</v>
      </c>
      <c r="AF166" s="31">
        <f t="shared" si="139"/>
        <v>87.102999999999994</v>
      </c>
      <c r="AG166" s="33">
        <f t="shared" si="139"/>
        <v>0</v>
      </c>
      <c r="AH166" s="30"/>
      <c r="AI166" s="3">
        <f t="shared" si="143"/>
        <v>777263</v>
      </c>
    </row>
    <row r="167" spans="1:37" x14ac:dyDescent="0.25">
      <c r="A167" s="40" t="s">
        <v>126</v>
      </c>
      <c r="B167" s="153">
        <f>D167+E167</f>
        <v>29078423442</v>
      </c>
      <c r="C167" s="25"/>
      <c r="D167" s="113">
        <v>25650039018</v>
      </c>
      <c r="E167" s="153">
        <f t="shared" si="137"/>
        <v>3428384424</v>
      </c>
      <c r="F167" s="25">
        <v>2973747424</v>
      </c>
      <c r="G167" s="25">
        <v>426337000</v>
      </c>
      <c r="H167" s="25">
        <v>28300000</v>
      </c>
      <c r="I167" s="153">
        <f>K167+L167</f>
        <v>17160746224</v>
      </c>
      <c r="J167" s="25"/>
      <c r="K167" s="113">
        <v>14500000000</v>
      </c>
      <c r="L167" s="153">
        <f t="shared" si="138"/>
        <v>2660746224</v>
      </c>
      <c r="M167" s="25">
        <v>2245436424</v>
      </c>
      <c r="N167" s="25">
        <v>386009800</v>
      </c>
      <c r="O167" s="25">
        <v>29300000</v>
      </c>
      <c r="P167" s="31">
        <f t="shared" si="140"/>
        <v>29078.423441999999</v>
      </c>
      <c r="Q167" s="31">
        <f t="shared" si="141"/>
        <v>25650.039017999999</v>
      </c>
      <c r="R167" s="31">
        <f t="shared" si="141"/>
        <v>3428.3844239999999</v>
      </c>
      <c r="S167" s="31">
        <f t="shared" si="141"/>
        <v>2973.7474240000001</v>
      </c>
      <c r="T167" s="31">
        <f t="shared" si="141"/>
        <v>426.33699999999999</v>
      </c>
      <c r="U167" s="31">
        <f t="shared" si="141"/>
        <v>28.3</v>
      </c>
      <c r="V167" s="31">
        <f t="shared" si="141"/>
        <v>17160.746223999999</v>
      </c>
      <c r="W167" s="31">
        <f t="shared" si="142"/>
        <v>14500</v>
      </c>
      <c r="X167" s="31">
        <f t="shared" si="142"/>
        <v>2660.746224</v>
      </c>
      <c r="Y167" s="31">
        <f t="shared" si="142"/>
        <v>2245.436424</v>
      </c>
      <c r="Z167" s="31">
        <f t="shared" si="142"/>
        <v>386.00979999999998</v>
      </c>
      <c r="AA167" s="31">
        <f t="shared" si="142"/>
        <v>29.3</v>
      </c>
      <c r="AB167" s="31">
        <f t="shared" si="139"/>
        <v>-11917.677218000001</v>
      </c>
      <c r="AC167" s="31">
        <f t="shared" si="139"/>
        <v>-11150.039017999999</v>
      </c>
      <c r="AD167" s="31">
        <f t="shared" si="139"/>
        <v>-767.63819999999987</v>
      </c>
      <c r="AE167" s="31">
        <f t="shared" si="139"/>
        <v>-728.31100000000015</v>
      </c>
      <c r="AF167" s="31">
        <f t="shared" si="139"/>
        <v>-40.327200000000005</v>
      </c>
      <c r="AG167" s="33">
        <f t="shared" si="139"/>
        <v>1</v>
      </c>
      <c r="AH167" s="30"/>
      <c r="AI167" s="3">
        <f t="shared" si="143"/>
        <v>-767638.19999999984</v>
      </c>
    </row>
    <row r="168" spans="1:37" ht="13.8" thickBot="1" x14ac:dyDescent="0.3">
      <c r="A168" s="137" t="s">
        <v>127</v>
      </c>
      <c r="B168" s="158">
        <f>D168+E168</f>
        <v>440000000</v>
      </c>
      <c r="C168" s="159"/>
      <c r="D168" s="160">
        <v>440000000</v>
      </c>
      <c r="E168" s="158">
        <f t="shared" si="137"/>
        <v>0</v>
      </c>
      <c r="F168" s="159"/>
      <c r="G168" s="159"/>
      <c r="H168" s="159"/>
      <c r="I168" s="158">
        <f>K168+L168</f>
        <v>440000000</v>
      </c>
      <c r="J168" s="159"/>
      <c r="K168" s="160">
        <v>440000000</v>
      </c>
      <c r="L168" s="158">
        <f t="shared" si="138"/>
        <v>0</v>
      </c>
      <c r="M168" s="159"/>
      <c r="N168" s="159"/>
      <c r="O168" s="159"/>
      <c r="P168" s="140">
        <f t="shared" si="140"/>
        <v>440</v>
      </c>
      <c r="Q168" s="140">
        <f t="shared" si="141"/>
        <v>440</v>
      </c>
      <c r="R168" s="140">
        <f t="shared" si="141"/>
        <v>0</v>
      </c>
      <c r="S168" s="140">
        <f t="shared" si="141"/>
        <v>0</v>
      </c>
      <c r="T168" s="140">
        <f t="shared" si="141"/>
        <v>0</v>
      </c>
      <c r="U168" s="140">
        <f t="shared" si="141"/>
        <v>0</v>
      </c>
      <c r="V168" s="140">
        <f t="shared" si="141"/>
        <v>440</v>
      </c>
      <c r="W168" s="140">
        <f t="shared" si="142"/>
        <v>440</v>
      </c>
      <c r="X168" s="140">
        <f t="shared" si="142"/>
        <v>0</v>
      </c>
      <c r="Y168" s="140">
        <f t="shared" si="142"/>
        <v>0</v>
      </c>
      <c r="Z168" s="140">
        <f t="shared" si="142"/>
        <v>0</v>
      </c>
      <c r="AA168" s="140">
        <f t="shared" si="142"/>
        <v>0</v>
      </c>
      <c r="AB168" s="140">
        <f t="shared" si="139"/>
        <v>0</v>
      </c>
      <c r="AC168" s="140">
        <f t="shared" si="139"/>
        <v>0</v>
      </c>
      <c r="AD168" s="140">
        <f t="shared" si="139"/>
        <v>0</v>
      </c>
      <c r="AE168" s="140">
        <f t="shared" si="139"/>
        <v>0</v>
      </c>
      <c r="AF168" s="140">
        <f t="shared" si="139"/>
        <v>0</v>
      </c>
      <c r="AG168" s="141">
        <f t="shared" si="139"/>
        <v>0</v>
      </c>
      <c r="AH168" s="30"/>
      <c r="AI168" s="3">
        <f t="shared" si="143"/>
        <v>0</v>
      </c>
    </row>
    <row r="169" spans="1:37" ht="13.8" hidden="1" thickTop="1" x14ac:dyDescent="0.25">
      <c r="R169" s="7">
        <f>R166/R165%</f>
        <v>17.18580329834661</v>
      </c>
      <c r="V169" s="7"/>
      <c r="W169" s="7"/>
      <c r="X169" s="7">
        <f>X166/X165%</f>
        <v>35.877535014639534</v>
      </c>
      <c r="AD169" s="7">
        <f>X169-R169</f>
        <v>18.691731716292924</v>
      </c>
    </row>
    <row r="170" spans="1:37" hidden="1" x14ac:dyDescent="0.25">
      <c r="R170" s="7">
        <f>R167/R165%</f>
        <v>82.814196701653387</v>
      </c>
      <c r="V170" s="7"/>
      <c r="W170" s="7"/>
      <c r="X170" s="7">
        <f>X167/X165%</f>
        <v>64.122464985360466</v>
      </c>
      <c r="AD170" s="7">
        <f>X170-R170</f>
        <v>-18.691731716292921</v>
      </c>
    </row>
    <row r="171" spans="1:37" hidden="1" x14ac:dyDescent="0.25">
      <c r="X171" s="7">
        <f>X165/R165%-100</f>
        <v>0.23249145423550033</v>
      </c>
    </row>
    <row r="172" spans="1:37" hidden="1" x14ac:dyDescent="0.25">
      <c r="Q172" s="7">
        <f>Q134/Q11%</f>
        <v>-6.0273233301628171</v>
      </c>
      <c r="R172" s="7"/>
      <c r="W172" s="3">
        <f>-W134/W11%</f>
        <v>-6.5706487080694478</v>
      </c>
      <c r="X172" s="7">
        <f t="shared" ref="X172:X173" si="144">X166/R166%-100</f>
        <v>109.24798563823086</v>
      </c>
    </row>
    <row r="173" spans="1:37" hidden="1" x14ac:dyDescent="0.25">
      <c r="R173" s="7"/>
      <c r="W173" s="3">
        <f>-W134/(W11+W145+W149)%</f>
        <v>-6.3680180564940994</v>
      </c>
      <c r="X173" s="7">
        <f t="shared" si="144"/>
        <v>-22.390668754245866</v>
      </c>
      <c r="Y173" s="7"/>
    </row>
    <row r="174" spans="1:37" ht="13.8" thickTop="1" x14ac:dyDescent="0.25">
      <c r="R174" s="7"/>
      <c r="T174" s="229"/>
      <c r="X174" s="7"/>
      <c r="Y174" s="7"/>
      <c r="Z174" s="229"/>
    </row>
  </sheetData>
  <mergeCells count="135">
    <mergeCell ref="Q157:U157"/>
    <mergeCell ref="V157:V159"/>
    <mergeCell ref="W157:AA157"/>
    <mergeCell ref="AB157:AB159"/>
    <mergeCell ref="AC157:AG157"/>
    <mergeCell ref="X158:X159"/>
    <mergeCell ref="Y158:AA158"/>
    <mergeCell ref="AC158:AC159"/>
    <mergeCell ref="AD158:AD159"/>
    <mergeCell ref="A156:A159"/>
    <mergeCell ref="B156:H156"/>
    <mergeCell ref="I156:O156"/>
    <mergeCell ref="P156:U156"/>
    <mergeCell ref="V156:AA156"/>
    <mergeCell ref="AB156:AG156"/>
    <mergeCell ref="B157:B159"/>
    <mergeCell ref="C157:H157"/>
    <mergeCell ref="I157:I159"/>
    <mergeCell ref="K157:O157"/>
    <mergeCell ref="AE158:AG158"/>
    <mergeCell ref="L158:L159"/>
    <mergeCell ref="M158:O158"/>
    <mergeCell ref="Q158:Q159"/>
    <mergeCell ref="R158:R159"/>
    <mergeCell ref="S158:U158"/>
    <mergeCell ref="W158:W159"/>
    <mergeCell ref="C158:C159"/>
    <mergeCell ref="D158:D159"/>
    <mergeCell ref="E158:E159"/>
    <mergeCell ref="F158:H158"/>
    <mergeCell ref="J158:J159"/>
    <mergeCell ref="K158:K159"/>
    <mergeCell ref="P157:P159"/>
    <mergeCell ref="A155:AG155"/>
    <mergeCell ref="AB138:AB140"/>
    <mergeCell ref="AC138:AG138"/>
    <mergeCell ref="C139:C140"/>
    <mergeCell ref="D139:D140"/>
    <mergeCell ref="E139:E140"/>
    <mergeCell ref="F139:H139"/>
    <mergeCell ref="J139:J140"/>
    <mergeCell ref="K139:K140"/>
    <mergeCell ref="L139:L140"/>
    <mergeCell ref="M139:O139"/>
    <mergeCell ref="I138:I140"/>
    <mergeCell ref="K138:O138"/>
    <mergeCell ref="P138:P140"/>
    <mergeCell ref="Q138:U138"/>
    <mergeCell ref="V138:V140"/>
    <mergeCell ref="W138:AA138"/>
    <mergeCell ref="Q139:Q140"/>
    <mergeCell ref="R139:R140"/>
    <mergeCell ref="S139:U139"/>
    <mergeCell ref="W139:W140"/>
    <mergeCell ref="A137:A140"/>
    <mergeCell ref="B137:H137"/>
    <mergeCell ref="I137:O137"/>
    <mergeCell ref="P137:U137"/>
    <mergeCell ref="V137:AA137"/>
    <mergeCell ref="AB137:AG137"/>
    <mergeCell ref="B138:B140"/>
    <mergeCell ref="C138:H138"/>
    <mergeCell ref="R48:R49"/>
    <mergeCell ref="S48:U48"/>
    <mergeCell ref="W48:W49"/>
    <mergeCell ref="X48:X49"/>
    <mergeCell ref="Y48:AA48"/>
    <mergeCell ref="AC48:AC49"/>
    <mergeCell ref="X139:X140"/>
    <mergeCell ref="Y139:AA139"/>
    <mergeCell ref="AC139:AC140"/>
    <mergeCell ref="AD139:AD140"/>
    <mergeCell ref="AE139:AG139"/>
    <mergeCell ref="P47:P49"/>
    <mergeCell ref="Q47:U47"/>
    <mergeCell ref="V47:V49"/>
    <mergeCell ref="W47:AA47"/>
    <mergeCell ref="AB47:AB49"/>
    <mergeCell ref="AC47:AG47"/>
    <mergeCell ref="C48:C49"/>
    <mergeCell ref="D48:D49"/>
    <mergeCell ref="E48:E49"/>
    <mergeCell ref="F48:H48"/>
    <mergeCell ref="J48:J49"/>
    <mergeCell ref="K48:K49"/>
    <mergeCell ref="L48:L49"/>
    <mergeCell ref="M48:O48"/>
    <mergeCell ref="Q48:Q49"/>
    <mergeCell ref="AD48:AD49"/>
    <mergeCell ref="AE48:AG48"/>
    <mergeCell ref="A46:A49"/>
    <mergeCell ref="B46:H46"/>
    <mergeCell ref="I46:O46"/>
    <mergeCell ref="P46:U46"/>
    <mergeCell ref="V46:AA46"/>
    <mergeCell ref="AB5:AB7"/>
    <mergeCell ref="AC5:AG5"/>
    <mergeCell ref="C6:C7"/>
    <mergeCell ref="D6:D7"/>
    <mergeCell ref="E6:E7"/>
    <mergeCell ref="F6:H6"/>
    <mergeCell ref="J6:J7"/>
    <mergeCell ref="K6:K7"/>
    <mergeCell ref="L6:L7"/>
    <mergeCell ref="M6:O6"/>
    <mergeCell ref="I5:I7"/>
    <mergeCell ref="K5:O5"/>
    <mergeCell ref="P5:P7"/>
    <mergeCell ref="Q5:U5"/>
    <mergeCell ref="AB46:AG46"/>
    <mergeCell ref="B47:B49"/>
    <mergeCell ref="C47:H47"/>
    <mergeCell ref="I47:I49"/>
    <mergeCell ref="K47:O47"/>
    <mergeCell ref="V5:V7"/>
    <mergeCell ref="W5:AA5"/>
    <mergeCell ref="Q6:Q7"/>
    <mergeCell ref="R6:R7"/>
    <mergeCell ref="S6:U6"/>
    <mergeCell ref="W6:W7"/>
    <mergeCell ref="AD1:AG1"/>
    <mergeCell ref="A2:AG2"/>
    <mergeCell ref="A4:A7"/>
    <mergeCell ref="B4:H4"/>
    <mergeCell ref="I4:O4"/>
    <mergeCell ref="P4:U4"/>
    <mergeCell ref="V4:AA4"/>
    <mergeCell ref="AB4:AG4"/>
    <mergeCell ref="B5:B7"/>
    <mergeCell ref="C5:H5"/>
    <mergeCell ref="X6:X7"/>
    <mergeCell ref="Y6:AA6"/>
    <mergeCell ref="AC6:AC7"/>
    <mergeCell ref="AD6:AD7"/>
    <mergeCell ref="AE6:AG6"/>
  </mergeCells>
  <pageMargins left="0" right="0" top="0.55118110236220474" bottom="0.35433070866141736" header="0.31496062992125984" footer="0.11811023622047245"/>
  <pageSetup paperSize="9" scale="69" fitToHeight="100" orientation="landscape" r:id="rId1"/>
  <headerFooter>
    <oddFooter>&amp;C&amp;8Страница  &amp;P из &amp;N</oddFooter>
  </headerFooter>
  <rowBreaks count="2" manualBreakCount="2">
    <brk id="40" max="32" man="1"/>
    <brk id="136" max="32"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E43"/>
  <sheetViews>
    <sheetView tabSelected="1" zoomScaleNormal="100" workbookViewId="0">
      <pane xSplit="1" ySplit="9" topLeftCell="B28" activePane="bottomRight" state="frozen"/>
      <selection activeCell="A188" sqref="A188"/>
      <selection pane="topRight" activeCell="A188" sqref="A188"/>
      <selection pane="bottomLeft" activeCell="A188" sqref="A188"/>
      <selection pane="bottomRight" activeCell="B2" sqref="B2:K2"/>
    </sheetView>
  </sheetViews>
  <sheetFormatPr defaultColWidth="9.109375" defaultRowHeight="13.2" x14ac:dyDescent="0.25"/>
  <cols>
    <col min="1" max="1" width="21.88671875" style="255" bestFit="1" customWidth="1"/>
    <col min="2" max="2" width="11.44140625" style="256" bestFit="1" customWidth="1"/>
    <col min="3" max="4" width="11.44140625" style="256" customWidth="1"/>
    <col min="5" max="5" width="10" style="256" customWidth="1"/>
    <col min="6" max="6" width="11.33203125" style="256" customWidth="1"/>
    <col min="7" max="7" width="11.33203125" style="256" bestFit="1" customWidth="1"/>
    <col min="8" max="8" width="10.33203125" style="256" customWidth="1"/>
    <col min="9" max="9" width="11.5546875" style="256" customWidth="1"/>
    <col min="10" max="10" width="9.6640625" style="256" bestFit="1" customWidth="1"/>
    <col min="11" max="11" width="11" style="256" customWidth="1"/>
    <col min="12" max="12" width="12.33203125" style="256" bestFit="1" customWidth="1"/>
    <col min="13" max="14" width="12.109375" style="256" customWidth="1"/>
    <col min="15" max="16" width="12.33203125" style="256" customWidth="1"/>
    <col min="17" max="17" width="7.33203125" style="256" bestFit="1" customWidth="1"/>
    <col min="18" max="18" width="7.44140625" style="256" customWidth="1"/>
    <col min="19" max="19" width="8.44140625" style="256" bestFit="1" customWidth="1"/>
    <col min="20" max="20" width="8.44140625" style="256" customWidth="1"/>
    <col min="21" max="21" width="8.33203125" style="256" customWidth="1"/>
    <col min="22" max="22" width="12.44140625" style="256" bestFit="1" customWidth="1"/>
    <col min="23" max="23" width="12.109375" style="256" customWidth="1"/>
    <col min="24" max="24" width="12.33203125" style="256" customWidth="1"/>
    <col min="25" max="25" width="11.5546875" style="256" customWidth="1"/>
    <col min="26" max="26" width="12.33203125" style="256" customWidth="1"/>
    <col min="27" max="27" width="7.33203125" style="256" bestFit="1" customWidth="1"/>
    <col min="28" max="28" width="7.33203125" style="256" customWidth="1"/>
    <col min="29" max="29" width="7.44140625" style="256" customWidth="1"/>
    <col min="30" max="30" width="7.33203125" style="256" bestFit="1" customWidth="1"/>
    <col min="31" max="16384" width="9.109375" style="256"/>
  </cols>
  <sheetData>
    <row r="1" spans="1:31" s="347" customFormat="1" ht="21.75" customHeight="1" x14ac:dyDescent="0.25">
      <c r="A1" s="346"/>
      <c r="J1" s="572" t="s">
        <v>383</v>
      </c>
      <c r="K1" s="572"/>
      <c r="T1" s="572" t="s">
        <v>383</v>
      </c>
      <c r="U1" s="572"/>
      <c r="AD1" s="572" t="s">
        <v>383</v>
      </c>
      <c r="AE1" s="572"/>
    </row>
    <row r="2" spans="1:31" s="255" customFormat="1" ht="31.5" customHeight="1" x14ac:dyDescent="0.25">
      <c r="B2" s="575" t="s">
        <v>478</v>
      </c>
      <c r="C2" s="575"/>
      <c r="D2" s="575"/>
      <c r="E2" s="575"/>
      <c r="F2" s="575"/>
      <c r="G2" s="575"/>
      <c r="H2" s="575"/>
      <c r="I2" s="575"/>
      <c r="J2" s="575"/>
      <c r="K2" s="575"/>
      <c r="L2" s="336"/>
      <c r="M2" s="336"/>
      <c r="N2" s="336"/>
      <c r="O2" s="336"/>
      <c r="P2" s="336"/>
      <c r="Q2" s="336"/>
      <c r="R2" s="336"/>
      <c r="S2" s="336"/>
      <c r="T2" s="336"/>
      <c r="U2" s="336"/>
      <c r="V2" s="336"/>
      <c r="W2" s="336"/>
      <c r="X2" s="336"/>
      <c r="Y2" s="336"/>
      <c r="Z2" s="336"/>
      <c r="AA2" s="336"/>
      <c r="AB2" s="336"/>
      <c r="AC2" s="336"/>
      <c r="AD2" s="336"/>
    </row>
    <row r="3" spans="1:31" s="255" customFormat="1" ht="13.8" thickBot="1" x14ac:dyDescent="0.3">
      <c r="Z3" s="344"/>
      <c r="AB3" s="344"/>
      <c r="AC3" s="344"/>
      <c r="AD3" s="344"/>
      <c r="AE3" s="344"/>
    </row>
    <row r="4" spans="1:31" s="333" customFormat="1" ht="13.5" customHeight="1" thickTop="1" x14ac:dyDescent="0.25">
      <c r="A4" s="580" t="s">
        <v>323</v>
      </c>
      <c r="B4" s="522" t="s">
        <v>401</v>
      </c>
      <c r="C4" s="522"/>
      <c r="D4" s="522"/>
      <c r="E4" s="522"/>
      <c r="F4" s="522"/>
      <c r="G4" s="522"/>
      <c r="H4" s="522"/>
      <c r="I4" s="522"/>
      <c r="J4" s="522"/>
      <c r="K4" s="522"/>
      <c r="L4" s="522" t="s">
        <v>324</v>
      </c>
      <c r="M4" s="522"/>
      <c r="N4" s="522"/>
      <c r="O4" s="522"/>
      <c r="P4" s="522"/>
      <c r="Q4" s="522"/>
      <c r="R4" s="522"/>
      <c r="S4" s="522"/>
      <c r="T4" s="522"/>
      <c r="U4" s="522"/>
      <c r="V4" s="522" t="s">
        <v>325</v>
      </c>
      <c r="W4" s="522"/>
      <c r="X4" s="522"/>
      <c r="Y4" s="522"/>
      <c r="Z4" s="522"/>
      <c r="AA4" s="522"/>
      <c r="AB4" s="522"/>
      <c r="AC4" s="522"/>
      <c r="AD4" s="573"/>
      <c r="AE4" s="523"/>
    </row>
    <row r="5" spans="1:31" s="333" customFormat="1" ht="12.75" customHeight="1" x14ac:dyDescent="0.25">
      <c r="A5" s="581"/>
      <c r="B5" s="524" t="s">
        <v>444</v>
      </c>
      <c r="C5" s="574" t="s">
        <v>9</v>
      </c>
      <c r="D5" s="586"/>
      <c r="E5" s="586"/>
      <c r="F5" s="576"/>
      <c r="G5" s="524" t="s">
        <v>477</v>
      </c>
      <c r="H5" s="524"/>
      <c r="I5" s="524"/>
      <c r="J5" s="524"/>
      <c r="K5" s="524"/>
      <c r="L5" s="524" t="s">
        <v>447</v>
      </c>
      <c r="M5" s="524"/>
      <c r="N5" s="524"/>
      <c r="O5" s="524"/>
      <c r="P5" s="524"/>
      <c r="Q5" s="524" t="s">
        <v>384</v>
      </c>
      <c r="R5" s="524"/>
      <c r="S5" s="524"/>
      <c r="T5" s="524"/>
      <c r="U5" s="524"/>
      <c r="V5" s="524" t="s">
        <v>447</v>
      </c>
      <c r="W5" s="524"/>
      <c r="X5" s="524"/>
      <c r="Y5" s="524"/>
      <c r="Z5" s="524"/>
      <c r="AA5" s="524" t="s">
        <v>384</v>
      </c>
      <c r="AB5" s="524"/>
      <c r="AC5" s="524"/>
      <c r="AD5" s="574"/>
      <c r="AE5" s="525"/>
    </row>
    <row r="6" spans="1:31" s="333" customFormat="1" ht="12.75" customHeight="1" x14ac:dyDescent="0.25">
      <c r="A6" s="581"/>
      <c r="B6" s="524"/>
      <c r="C6" s="582" t="s">
        <v>397</v>
      </c>
      <c r="D6" s="524" t="s">
        <v>326</v>
      </c>
      <c r="E6" s="574" t="s">
        <v>403</v>
      </c>
      <c r="F6" s="576"/>
      <c r="G6" s="524" t="s">
        <v>192</v>
      </c>
      <c r="H6" s="524" t="s">
        <v>9</v>
      </c>
      <c r="I6" s="524"/>
      <c r="J6" s="524"/>
      <c r="K6" s="524"/>
      <c r="L6" s="524" t="s">
        <v>192</v>
      </c>
      <c r="M6" s="524" t="s">
        <v>9</v>
      </c>
      <c r="N6" s="524"/>
      <c r="O6" s="524"/>
      <c r="P6" s="524"/>
      <c r="Q6" s="524" t="s">
        <v>192</v>
      </c>
      <c r="R6" s="524" t="s">
        <v>9</v>
      </c>
      <c r="S6" s="524"/>
      <c r="T6" s="524"/>
      <c r="U6" s="524"/>
      <c r="V6" s="524" t="s">
        <v>192</v>
      </c>
      <c r="W6" s="524" t="s">
        <v>9</v>
      </c>
      <c r="X6" s="524"/>
      <c r="Y6" s="524"/>
      <c r="Z6" s="524"/>
      <c r="AA6" s="524" t="s">
        <v>192</v>
      </c>
      <c r="AB6" s="524" t="s">
        <v>9</v>
      </c>
      <c r="AC6" s="524"/>
      <c r="AD6" s="574"/>
      <c r="AE6" s="525"/>
    </row>
    <row r="7" spans="1:31" s="333" customFormat="1" ht="12.75" customHeight="1" x14ac:dyDescent="0.25">
      <c r="A7" s="581"/>
      <c r="B7" s="524"/>
      <c r="C7" s="585"/>
      <c r="D7" s="524"/>
      <c r="E7" s="582" t="s">
        <v>400</v>
      </c>
      <c r="F7" s="524" t="s">
        <v>399</v>
      </c>
      <c r="G7" s="524"/>
      <c r="H7" s="524" t="s">
        <v>397</v>
      </c>
      <c r="I7" s="524" t="s">
        <v>326</v>
      </c>
      <c r="J7" s="574" t="s">
        <v>403</v>
      </c>
      <c r="K7" s="576"/>
      <c r="L7" s="524"/>
      <c r="M7" s="524" t="s">
        <v>397</v>
      </c>
      <c r="N7" s="524" t="s">
        <v>329</v>
      </c>
      <c r="O7" s="574" t="s">
        <v>403</v>
      </c>
      <c r="P7" s="576"/>
      <c r="Q7" s="524"/>
      <c r="R7" s="577" t="s">
        <v>402</v>
      </c>
      <c r="S7" s="577" t="s">
        <v>326</v>
      </c>
      <c r="T7" s="578" t="s">
        <v>403</v>
      </c>
      <c r="U7" s="584"/>
      <c r="V7" s="524"/>
      <c r="W7" s="524" t="s">
        <v>397</v>
      </c>
      <c r="X7" s="524" t="s">
        <v>329</v>
      </c>
      <c r="Y7" s="574" t="s">
        <v>403</v>
      </c>
      <c r="Z7" s="576"/>
      <c r="AA7" s="524"/>
      <c r="AB7" s="577" t="s">
        <v>402</v>
      </c>
      <c r="AC7" s="577" t="s">
        <v>326</v>
      </c>
      <c r="AD7" s="578" t="s">
        <v>403</v>
      </c>
      <c r="AE7" s="579"/>
    </row>
    <row r="8" spans="1:31" s="333" customFormat="1" ht="39.6" x14ac:dyDescent="0.25">
      <c r="A8" s="581"/>
      <c r="B8" s="524"/>
      <c r="C8" s="583"/>
      <c r="D8" s="524"/>
      <c r="E8" s="583"/>
      <c r="F8" s="524"/>
      <c r="G8" s="524"/>
      <c r="H8" s="524"/>
      <c r="I8" s="524"/>
      <c r="J8" s="330" t="s">
        <v>400</v>
      </c>
      <c r="K8" s="330" t="s">
        <v>399</v>
      </c>
      <c r="L8" s="524"/>
      <c r="M8" s="524"/>
      <c r="N8" s="524"/>
      <c r="O8" s="330" t="s">
        <v>400</v>
      </c>
      <c r="P8" s="330" t="s">
        <v>399</v>
      </c>
      <c r="Q8" s="524"/>
      <c r="R8" s="577"/>
      <c r="S8" s="577"/>
      <c r="T8" s="334" t="s">
        <v>400</v>
      </c>
      <c r="U8" s="334" t="s">
        <v>399</v>
      </c>
      <c r="V8" s="524"/>
      <c r="W8" s="524"/>
      <c r="X8" s="524"/>
      <c r="Y8" s="330" t="s">
        <v>400</v>
      </c>
      <c r="Z8" s="330" t="s">
        <v>399</v>
      </c>
      <c r="AA8" s="524"/>
      <c r="AB8" s="577"/>
      <c r="AC8" s="577"/>
      <c r="AD8" s="345" t="s">
        <v>400</v>
      </c>
      <c r="AE8" s="335" t="s">
        <v>399</v>
      </c>
    </row>
    <row r="9" spans="1:31" s="225" customFormat="1" ht="10.199999999999999" x14ac:dyDescent="0.25">
      <c r="A9" s="224">
        <v>1</v>
      </c>
      <c r="B9" s="222">
        <v>2</v>
      </c>
      <c r="C9" s="222">
        <v>3</v>
      </c>
      <c r="D9" s="222">
        <v>4</v>
      </c>
      <c r="E9" s="222">
        <v>5</v>
      </c>
      <c r="F9" s="222">
        <v>6</v>
      </c>
      <c r="G9" s="222">
        <v>7</v>
      </c>
      <c r="H9" s="222">
        <v>8</v>
      </c>
      <c r="I9" s="222">
        <v>9</v>
      </c>
      <c r="J9" s="222">
        <v>10</v>
      </c>
      <c r="K9" s="222">
        <v>11</v>
      </c>
      <c r="L9" s="222">
        <v>12</v>
      </c>
      <c r="M9" s="222">
        <v>13</v>
      </c>
      <c r="N9" s="222">
        <v>14</v>
      </c>
      <c r="O9" s="222">
        <v>15</v>
      </c>
      <c r="P9" s="222">
        <v>16</v>
      </c>
      <c r="Q9" s="222">
        <v>17</v>
      </c>
      <c r="R9" s="222">
        <v>18</v>
      </c>
      <c r="S9" s="222">
        <v>19</v>
      </c>
      <c r="T9" s="222">
        <v>20</v>
      </c>
      <c r="U9" s="222">
        <v>21</v>
      </c>
      <c r="V9" s="222">
        <v>22</v>
      </c>
      <c r="W9" s="222">
        <v>23</v>
      </c>
      <c r="X9" s="222">
        <v>24</v>
      </c>
      <c r="Y9" s="222">
        <v>25</v>
      </c>
      <c r="Z9" s="222">
        <v>26</v>
      </c>
      <c r="AA9" s="222">
        <v>27</v>
      </c>
      <c r="AB9" s="222">
        <v>28</v>
      </c>
      <c r="AC9" s="222">
        <v>29</v>
      </c>
      <c r="AD9" s="338">
        <v>30</v>
      </c>
      <c r="AE9" s="223">
        <v>31</v>
      </c>
    </row>
    <row r="10" spans="1:31" x14ac:dyDescent="0.25">
      <c r="A10" s="257" t="s">
        <v>158</v>
      </c>
      <c r="B10" s="258">
        <v>40970.679349999999</v>
      </c>
      <c r="C10" s="258">
        <v>7810.4573399999999</v>
      </c>
      <c r="D10" s="258">
        <v>33160.222009999998</v>
      </c>
      <c r="E10" s="258">
        <v>4633.2581899999996</v>
      </c>
      <c r="F10" s="258">
        <v>28526.963820000001</v>
      </c>
      <c r="G10" s="258">
        <v>39430.492899999997</v>
      </c>
      <c r="H10" s="258">
        <v>6459.9908299999997</v>
      </c>
      <c r="I10" s="258">
        <v>32970.502069999995</v>
      </c>
      <c r="J10" s="258">
        <v>4450.2582499999999</v>
      </c>
      <c r="K10" s="258">
        <v>28520.24382</v>
      </c>
      <c r="L10" s="258">
        <v>693454.19617000001</v>
      </c>
      <c r="M10" s="258">
        <v>66806.855729999996</v>
      </c>
      <c r="N10" s="258">
        <v>626647.34044000006</v>
      </c>
      <c r="O10" s="258">
        <v>37293.363169999997</v>
      </c>
      <c r="P10" s="258">
        <v>589353.97727000003</v>
      </c>
      <c r="Q10" s="258">
        <v>58.140580136084189</v>
      </c>
      <c r="R10" s="258">
        <v>49.485926878660834</v>
      </c>
      <c r="S10" s="258">
        <v>59.245215852396797</v>
      </c>
      <c r="T10" s="258">
        <v>55.425211672351502</v>
      </c>
      <c r="U10" s="258">
        <v>59.504731356208701</v>
      </c>
      <c r="V10" s="258">
        <v>654023.70327000006</v>
      </c>
      <c r="W10" s="258">
        <v>60346.8649</v>
      </c>
      <c r="X10" s="258">
        <v>593676.83837000001</v>
      </c>
      <c r="Y10" s="258">
        <v>32843.104919999998</v>
      </c>
      <c r="Z10" s="258">
        <v>560833.73345000006</v>
      </c>
      <c r="AA10" s="258">
        <v>54.763931201775101</v>
      </c>
      <c r="AB10" s="258">
        <v>44.258081594340673</v>
      </c>
      <c r="AC10" s="258">
        <v>56.118014874060698</v>
      </c>
      <c r="AD10" s="339">
        <v>48.678866230997642</v>
      </c>
      <c r="AE10" s="259">
        <v>56.6247713683683</v>
      </c>
    </row>
    <row r="11" spans="1:31" x14ac:dyDescent="0.25">
      <c r="A11" s="257" t="s">
        <v>159</v>
      </c>
      <c r="B11" s="258">
        <v>11988.730660000001</v>
      </c>
      <c r="C11" s="258">
        <v>3577.46396</v>
      </c>
      <c r="D11" s="258">
        <v>8411.2667000000001</v>
      </c>
      <c r="E11" s="258">
        <v>1467.53712</v>
      </c>
      <c r="F11" s="258">
        <v>6943.7295800000002</v>
      </c>
      <c r="G11" s="258">
        <v>8317.6948300000004</v>
      </c>
      <c r="H11" s="258">
        <v>778.78722999999991</v>
      </c>
      <c r="I11" s="258">
        <v>7538.9076000000005</v>
      </c>
      <c r="J11" s="258">
        <v>1343.7947999999999</v>
      </c>
      <c r="K11" s="258">
        <v>6195.1127999999999</v>
      </c>
      <c r="L11" s="258">
        <v>291555.0257</v>
      </c>
      <c r="M11" s="258">
        <v>18302.634819999999</v>
      </c>
      <c r="N11" s="258">
        <v>273252.39088000002</v>
      </c>
      <c r="O11" s="258">
        <v>23913.031800000001</v>
      </c>
      <c r="P11" s="258">
        <v>249339.35907999999</v>
      </c>
      <c r="Q11" s="258">
        <v>55.973053430284914</v>
      </c>
      <c r="R11" s="258">
        <v>52.833163902476045</v>
      </c>
      <c r="S11" s="258">
        <v>56.196754793306901</v>
      </c>
      <c r="T11" s="258">
        <v>53.948112484740797</v>
      </c>
      <c r="U11" s="258">
        <v>56.422302664401307</v>
      </c>
      <c r="V11" s="258">
        <v>283182.82546999998</v>
      </c>
      <c r="W11" s="258">
        <v>17469.342189999999</v>
      </c>
      <c r="X11" s="258">
        <v>265713.48327999999</v>
      </c>
      <c r="Y11" s="258">
        <v>22569.237000000001</v>
      </c>
      <c r="Z11" s="258">
        <v>243144.24627999999</v>
      </c>
      <c r="AA11" s="258">
        <v>53.988076267071904</v>
      </c>
      <c r="AB11" s="258">
        <v>46.692235481509314</v>
      </c>
      <c r="AC11" s="258">
        <v>54.548447763847136</v>
      </c>
      <c r="AD11" s="339">
        <v>50.774748872926082</v>
      </c>
      <c r="AE11" s="259">
        <v>54.927379711357311</v>
      </c>
    </row>
    <row r="12" spans="1:31" x14ac:dyDescent="0.25">
      <c r="A12" s="257" t="s">
        <v>160</v>
      </c>
      <c r="B12" s="258">
        <v>18752.419379999999</v>
      </c>
      <c r="C12" s="258">
        <v>5550.8361199999999</v>
      </c>
      <c r="D12" s="258">
        <v>13201.583259999999</v>
      </c>
      <c r="E12" s="258">
        <v>3552.7377299999998</v>
      </c>
      <c r="F12" s="258">
        <v>9648.8455300000005</v>
      </c>
      <c r="G12" s="258">
        <v>17602.923999999999</v>
      </c>
      <c r="H12" s="258">
        <v>4534.8628200000003</v>
      </c>
      <c r="I12" s="258">
        <v>13068.061179999999</v>
      </c>
      <c r="J12" s="258">
        <v>3552.7377299999998</v>
      </c>
      <c r="K12" s="258">
        <v>9515.3234499999999</v>
      </c>
      <c r="L12" s="258">
        <v>211553.33464999998</v>
      </c>
      <c r="M12" s="258">
        <v>17375.17843</v>
      </c>
      <c r="N12" s="258">
        <v>194178.15621999998</v>
      </c>
      <c r="O12" s="258">
        <v>17079.451219999999</v>
      </c>
      <c r="P12" s="258">
        <v>177098.70499999999</v>
      </c>
      <c r="Q12" s="258">
        <v>55.74545711162969</v>
      </c>
      <c r="R12" s="258">
        <v>55.148357322493865</v>
      </c>
      <c r="S12" s="258">
        <v>55.799516817119965</v>
      </c>
      <c r="T12" s="258">
        <v>54.620456808045489</v>
      </c>
      <c r="U12" s="258">
        <v>55.915922612681264</v>
      </c>
      <c r="V12" s="258">
        <v>193950.41064999998</v>
      </c>
      <c r="W12" s="258">
        <v>12840.31561</v>
      </c>
      <c r="X12" s="258">
        <v>181110.09503999999</v>
      </c>
      <c r="Y12" s="258">
        <v>13526.71349</v>
      </c>
      <c r="Z12" s="258">
        <v>167583.38154999999</v>
      </c>
      <c r="AA12" s="258">
        <v>51.034554562999453</v>
      </c>
      <c r="AB12" s="258">
        <v>40.069774023107549</v>
      </c>
      <c r="AC12" s="258">
        <v>52.044246328536261</v>
      </c>
      <c r="AD12" s="339">
        <v>43.258724207144127</v>
      </c>
      <c r="AE12" s="259">
        <v>52.911620070407842</v>
      </c>
    </row>
    <row r="13" spans="1:31" x14ac:dyDescent="0.25">
      <c r="A13" s="257" t="s">
        <v>161</v>
      </c>
      <c r="B13" s="258">
        <v>32670.0229</v>
      </c>
      <c r="C13" s="258">
        <v>1922.0671600000001</v>
      </c>
      <c r="D13" s="258">
        <v>30747.955740000001</v>
      </c>
      <c r="E13" s="258">
        <v>4275.1564099999996</v>
      </c>
      <c r="F13" s="258">
        <v>26472.799330000002</v>
      </c>
      <c r="G13" s="258">
        <v>31145.401020000001</v>
      </c>
      <c r="H13" s="258">
        <v>432.9976200000001</v>
      </c>
      <c r="I13" s="258">
        <v>30712.403400000003</v>
      </c>
      <c r="J13" s="258">
        <v>4273.8221299999996</v>
      </c>
      <c r="K13" s="258">
        <v>26438.581270000002</v>
      </c>
      <c r="L13" s="258">
        <v>300793.73077999998</v>
      </c>
      <c r="M13" s="258">
        <v>14942.11737</v>
      </c>
      <c r="N13" s="258">
        <v>285851.61340999999</v>
      </c>
      <c r="O13" s="258">
        <v>23380.312959999999</v>
      </c>
      <c r="P13" s="258">
        <v>262471.30044999998</v>
      </c>
      <c r="Q13" s="258">
        <v>60.540984749756845</v>
      </c>
      <c r="R13" s="258">
        <v>47.970507038048318</v>
      </c>
      <c r="S13" s="258">
        <v>61.38177646243858</v>
      </c>
      <c r="T13" s="258">
        <v>59.128697035741389</v>
      </c>
      <c r="U13" s="258">
        <v>61.590832524114568</v>
      </c>
      <c r="V13" s="258">
        <v>269648.32975999999</v>
      </c>
      <c r="W13" s="258">
        <v>14509.11975</v>
      </c>
      <c r="X13" s="258">
        <v>255139.21000999998</v>
      </c>
      <c r="Y13" s="258">
        <v>19106.490829999999</v>
      </c>
      <c r="Z13" s="258">
        <v>236032.71917999999</v>
      </c>
      <c r="AA13" s="258">
        <v>54.114030961940081</v>
      </c>
      <c r="AB13" s="258">
        <v>44.552463031468754</v>
      </c>
      <c r="AC13" s="258">
        <v>54.782627483860082</v>
      </c>
      <c r="AD13" s="339">
        <v>48.318591331587342</v>
      </c>
      <c r="AE13" s="259">
        <v>55.382376885771485</v>
      </c>
    </row>
    <row r="14" spans="1:31" x14ac:dyDescent="0.25">
      <c r="A14" s="257" t="s">
        <v>162</v>
      </c>
      <c r="B14" s="258">
        <v>9816.4806000000008</v>
      </c>
      <c r="C14" s="258">
        <v>4102.8498900000004</v>
      </c>
      <c r="D14" s="258">
        <v>5713.6307100000004</v>
      </c>
      <c r="E14" s="258">
        <v>307.52681000000001</v>
      </c>
      <c r="F14" s="258">
        <v>5406.1039000000001</v>
      </c>
      <c r="G14" s="258">
        <v>7785.4062200000008</v>
      </c>
      <c r="H14" s="258">
        <v>2301.0939600000002</v>
      </c>
      <c r="I14" s="258">
        <v>5484.3122600000006</v>
      </c>
      <c r="J14" s="258">
        <v>307.52681000000001</v>
      </c>
      <c r="K14" s="258">
        <v>5176.7854500000003</v>
      </c>
      <c r="L14" s="258">
        <v>268820.23602999997</v>
      </c>
      <c r="M14" s="258">
        <v>20838.779839999999</v>
      </c>
      <c r="N14" s="258">
        <v>247981.45619</v>
      </c>
      <c r="O14" s="258">
        <v>11581.485409999999</v>
      </c>
      <c r="P14" s="258">
        <v>236399.97078</v>
      </c>
      <c r="Q14" s="258">
        <v>54.308144335476392</v>
      </c>
      <c r="R14" s="258">
        <v>56.2183046450943</v>
      </c>
      <c r="S14" s="258">
        <v>54.153522130942612</v>
      </c>
      <c r="T14" s="258">
        <v>44.043648152655081</v>
      </c>
      <c r="U14" s="258">
        <v>54.769432541114092</v>
      </c>
      <c r="V14" s="258">
        <v>261019.87276000003</v>
      </c>
      <c r="W14" s="258">
        <v>18537.685880000001</v>
      </c>
      <c r="X14" s="258">
        <v>242482.18688000002</v>
      </c>
      <c r="Y14" s="258">
        <v>11273.9586</v>
      </c>
      <c r="Z14" s="258">
        <v>231208.22828000001</v>
      </c>
      <c r="AA14" s="258">
        <v>52.516793644039517</v>
      </c>
      <c r="AB14" s="258">
        <v>47.692282074345655</v>
      </c>
      <c r="AC14" s="258">
        <v>52.926102214280633</v>
      </c>
      <c r="AD14" s="339">
        <v>42.874143366554563</v>
      </c>
      <c r="AE14" s="259">
        <v>53.538159159586748</v>
      </c>
    </row>
    <row r="15" spans="1:31" x14ac:dyDescent="0.25">
      <c r="A15" s="257" t="s">
        <v>163</v>
      </c>
      <c r="B15" s="258">
        <v>9033.3104500000009</v>
      </c>
      <c r="C15" s="258">
        <v>4155.90996</v>
      </c>
      <c r="D15" s="258">
        <v>4877.40049</v>
      </c>
      <c r="E15" s="258">
        <v>1629.0828200000001</v>
      </c>
      <c r="F15" s="258">
        <v>3248.3176699999999</v>
      </c>
      <c r="G15" s="258">
        <v>7397.2019600000003</v>
      </c>
      <c r="H15" s="258">
        <v>2718.1714700000002</v>
      </c>
      <c r="I15" s="258">
        <v>4679.0304900000001</v>
      </c>
      <c r="J15" s="258">
        <v>1430.7128200000002</v>
      </c>
      <c r="K15" s="258">
        <v>3248.3176699999999</v>
      </c>
      <c r="L15" s="258">
        <v>336312.90918000002</v>
      </c>
      <c r="M15" s="258">
        <v>24870.40596</v>
      </c>
      <c r="N15" s="258">
        <v>311442.50322000001</v>
      </c>
      <c r="O15" s="258">
        <v>22069.411</v>
      </c>
      <c r="P15" s="258">
        <v>289373.09221999999</v>
      </c>
      <c r="Q15" s="258">
        <v>52.116166284086056</v>
      </c>
      <c r="R15" s="258">
        <v>44.539714666249779</v>
      </c>
      <c r="S15" s="258">
        <v>52.83385432769532</v>
      </c>
      <c r="T15" s="258">
        <v>53.781570007602497</v>
      </c>
      <c r="U15" s="258">
        <v>52.762944535672844</v>
      </c>
      <c r="V15" s="258">
        <v>328915.70721999998</v>
      </c>
      <c r="W15" s="258">
        <v>22152.234489999999</v>
      </c>
      <c r="X15" s="258">
        <v>306763.47272999998</v>
      </c>
      <c r="Y15" s="258">
        <v>20638.698179999999</v>
      </c>
      <c r="Z15" s="258">
        <v>286124.77454999997</v>
      </c>
      <c r="AA15" s="258">
        <v>50.841968762296226</v>
      </c>
      <c r="AB15" s="258">
        <v>38.684563494221322</v>
      </c>
      <c r="AC15" s="258">
        <v>52.02258573494197</v>
      </c>
      <c r="AD15" s="339">
        <v>50.05306235744235</v>
      </c>
      <c r="AE15" s="259">
        <v>52.170661390956148</v>
      </c>
    </row>
    <row r="16" spans="1:31" x14ac:dyDescent="0.25">
      <c r="A16" s="257" t="s">
        <v>164</v>
      </c>
      <c r="B16" s="258">
        <v>25167.493480000001</v>
      </c>
      <c r="C16" s="258">
        <v>7760.6753600000002</v>
      </c>
      <c r="D16" s="258">
        <v>17406.81812</v>
      </c>
      <c r="E16" s="258">
        <v>2712.2877199999998</v>
      </c>
      <c r="F16" s="258">
        <v>14694.5304</v>
      </c>
      <c r="G16" s="258">
        <v>20525.233850000001</v>
      </c>
      <c r="H16" s="258">
        <v>3201.8363300000001</v>
      </c>
      <c r="I16" s="258">
        <v>17323.397519999999</v>
      </c>
      <c r="J16" s="258">
        <v>2712.2877199999998</v>
      </c>
      <c r="K16" s="258">
        <v>14611.1098</v>
      </c>
      <c r="L16" s="258">
        <v>303346.90973999997</v>
      </c>
      <c r="M16" s="258">
        <v>24128.460179999998</v>
      </c>
      <c r="N16" s="258">
        <v>279218.44955999998</v>
      </c>
      <c r="O16" s="258">
        <v>20764.40927</v>
      </c>
      <c r="P16" s="258">
        <v>258454.04029</v>
      </c>
      <c r="Q16" s="258">
        <v>61.767422789219339</v>
      </c>
      <c r="R16" s="258">
        <v>59.001688030357663</v>
      </c>
      <c r="S16" s="258">
        <v>62.018642576348682</v>
      </c>
      <c r="T16" s="258">
        <v>51.941009888681464</v>
      </c>
      <c r="U16" s="258">
        <v>63.000683650159111</v>
      </c>
      <c r="V16" s="258">
        <v>282712.17897000001</v>
      </c>
      <c r="W16" s="258">
        <v>20817.126929999999</v>
      </c>
      <c r="X16" s="258">
        <v>261895.05204000001</v>
      </c>
      <c r="Y16" s="258">
        <v>18052.12155</v>
      </c>
      <c r="Z16" s="258">
        <v>243842.93049</v>
      </c>
      <c r="AA16" s="258">
        <v>57.026735508401572</v>
      </c>
      <c r="AB16" s="258">
        <v>45.798869418471639</v>
      </c>
      <c r="AC16" s="258">
        <v>58.160077394527775</v>
      </c>
      <c r="AD16" s="339">
        <v>45.156373665535526</v>
      </c>
      <c r="AE16" s="259">
        <v>59.426999432297947</v>
      </c>
    </row>
    <row r="17" spans="1:31" x14ac:dyDescent="0.25">
      <c r="A17" s="257" t="s">
        <v>165</v>
      </c>
      <c r="B17" s="258">
        <v>11975.207470000001</v>
      </c>
      <c r="C17" s="258">
        <v>5755.8790200000003</v>
      </c>
      <c r="D17" s="258">
        <v>6219.32845</v>
      </c>
      <c r="E17" s="258">
        <v>2194.73407</v>
      </c>
      <c r="F17" s="258">
        <v>4024.59438</v>
      </c>
      <c r="G17" s="258">
        <v>10615.861520000002</v>
      </c>
      <c r="H17" s="258">
        <v>4396.5330700000004</v>
      </c>
      <c r="I17" s="258">
        <v>6219.32845</v>
      </c>
      <c r="J17" s="258">
        <v>2194.73407</v>
      </c>
      <c r="K17" s="258">
        <v>4024.59438</v>
      </c>
      <c r="L17" s="258">
        <v>266729.34959</v>
      </c>
      <c r="M17" s="258">
        <v>21607.819220000001</v>
      </c>
      <c r="N17" s="258">
        <v>245121.53036999999</v>
      </c>
      <c r="O17" s="258">
        <v>17855.149259999998</v>
      </c>
      <c r="P17" s="258">
        <v>227266.38110999999</v>
      </c>
      <c r="Q17" s="258">
        <v>55.952443563085524</v>
      </c>
      <c r="R17" s="258">
        <v>53.113733061704949</v>
      </c>
      <c r="S17" s="258">
        <v>56.217301965302575</v>
      </c>
      <c r="T17" s="258">
        <v>53.595686219624952</v>
      </c>
      <c r="U17" s="258">
        <v>56.434177062074902</v>
      </c>
      <c r="V17" s="258">
        <v>256113.48806999999</v>
      </c>
      <c r="W17" s="258">
        <v>17211.28615</v>
      </c>
      <c r="X17" s="258">
        <v>238902.20191999999</v>
      </c>
      <c r="Y17" s="258">
        <v>15660.41519</v>
      </c>
      <c r="Z17" s="258">
        <v>223241.78672999999</v>
      </c>
      <c r="AA17" s="258">
        <v>53.57276484829837</v>
      </c>
      <c r="AB17" s="258">
        <v>40.938785693927798</v>
      </c>
      <c r="AC17" s="258">
        <v>54.790932502908589</v>
      </c>
      <c r="AD17" s="339">
        <v>47.007767135982398</v>
      </c>
      <c r="AE17" s="259">
        <v>55.434800600256644</v>
      </c>
    </row>
    <row r="18" spans="1:31" x14ac:dyDescent="0.25">
      <c r="A18" s="257" t="s">
        <v>166</v>
      </c>
      <c r="B18" s="258">
        <v>34830.64258</v>
      </c>
      <c r="C18" s="258">
        <v>4068.45775</v>
      </c>
      <c r="D18" s="258">
        <v>30762.184830000002</v>
      </c>
      <c r="E18" s="258">
        <v>1922.25083</v>
      </c>
      <c r="F18" s="258">
        <v>28839.934000000001</v>
      </c>
      <c r="G18" s="258">
        <v>33533.532890000002</v>
      </c>
      <c r="H18" s="258">
        <v>2771.5730599999997</v>
      </c>
      <c r="I18" s="258">
        <v>30761.959830000003</v>
      </c>
      <c r="J18" s="258">
        <v>1922.25083</v>
      </c>
      <c r="K18" s="258">
        <v>28839.709000000003</v>
      </c>
      <c r="L18" s="258">
        <v>289148.47626999998</v>
      </c>
      <c r="M18" s="258">
        <v>11950.150369999999</v>
      </c>
      <c r="N18" s="258">
        <v>277198.3259</v>
      </c>
      <c r="O18" s="258">
        <v>19388.03945</v>
      </c>
      <c r="P18" s="258">
        <v>257810.28645000001</v>
      </c>
      <c r="Q18" s="258">
        <v>59.282241118238765</v>
      </c>
      <c r="R18" s="258">
        <v>53.861720550826142</v>
      </c>
      <c r="S18" s="258">
        <v>59.540560181804338</v>
      </c>
      <c r="T18" s="258">
        <v>52.661030399124463</v>
      </c>
      <c r="U18" s="258">
        <v>60.131310171185476</v>
      </c>
      <c r="V18" s="258">
        <v>255614.94338000001</v>
      </c>
      <c r="W18" s="258">
        <v>9178.5773100000006</v>
      </c>
      <c r="X18" s="258">
        <v>246436.36607000002</v>
      </c>
      <c r="Y18" s="258">
        <v>17465.788619999999</v>
      </c>
      <c r="Z18" s="258">
        <v>228970.57745000001</v>
      </c>
      <c r="AA18" s="258">
        <v>52.269100876991615</v>
      </c>
      <c r="AB18" s="258">
        <v>39.100613620866234</v>
      </c>
      <c r="AC18" s="258">
        <v>52.933073233167029</v>
      </c>
      <c r="AD18" s="339">
        <v>47.4398882792918</v>
      </c>
      <c r="AE18" s="259">
        <v>53.404776831476951</v>
      </c>
    </row>
    <row r="19" spans="1:31" x14ac:dyDescent="0.25">
      <c r="A19" s="257" t="s">
        <v>167</v>
      </c>
      <c r="B19" s="258">
        <v>18835.017750000003</v>
      </c>
      <c r="C19" s="258">
        <v>556.952</v>
      </c>
      <c r="D19" s="258">
        <v>18278.065750000002</v>
      </c>
      <c r="E19" s="258">
        <v>2365.83313</v>
      </c>
      <c r="F19" s="258">
        <v>15912.232620000001</v>
      </c>
      <c r="G19" s="258">
        <v>15090.520430000002</v>
      </c>
      <c r="H19" s="258">
        <v>488.95403999999996</v>
      </c>
      <c r="I19" s="258">
        <v>14601.566390000002</v>
      </c>
      <c r="J19" s="258">
        <v>2365.83313</v>
      </c>
      <c r="K19" s="258">
        <v>12235.733260000001</v>
      </c>
      <c r="L19" s="258">
        <v>187443.52223999996</v>
      </c>
      <c r="M19" s="258">
        <v>6996.1724999999997</v>
      </c>
      <c r="N19" s="258">
        <v>180447.34973999998</v>
      </c>
      <c r="O19" s="258">
        <v>12916.72903</v>
      </c>
      <c r="P19" s="258">
        <v>167530.62070999999</v>
      </c>
      <c r="Q19" s="258">
        <v>60.471893986887956</v>
      </c>
      <c r="R19" s="258">
        <v>48.461425767044545</v>
      </c>
      <c r="S19" s="258">
        <v>61.058600075407092</v>
      </c>
      <c r="T19" s="258">
        <v>42.949311960199005</v>
      </c>
      <c r="U19" s="258">
        <v>63.110250784922599</v>
      </c>
      <c r="V19" s="258">
        <v>172353.00181000002</v>
      </c>
      <c r="W19" s="258">
        <v>6507.2184600000001</v>
      </c>
      <c r="X19" s="258">
        <v>165845.78335000001</v>
      </c>
      <c r="Y19" s="258">
        <v>10550.8959</v>
      </c>
      <c r="Z19" s="258">
        <v>155294.88745000001</v>
      </c>
      <c r="AA19" s="258">
        <v>54.940161514404373</v>
      </c>
      <c r="AB19" s="258">
        <v>44.869694424677711</v>
      </c>
      <c r="AC19" s="258">
        <v>55.428272746048577</v>
      </c>
      <c r="AD19" s="339">
        <v>35.082699220228562</v>
      </c>
      <c r="AE19" s="259">
        <v>57.701790806083835</v>
      </c>
    </row>
    <row r="20" spans="1:31" x14ac:dyDescent="0.25">
      <c r="A20" s="257" t="s">
        <v>168</v>
      </c>
      <c r="B20" s="258">
        <v>11812.450650000001</v>
      </c>
      <c r="C20" s="258">
        <v>2193.1375899999998</v>
      </c>
      <c r="D20" s="258">
        <v>9619.3130600000004</v>
      </c>
      <c r="E20" s="258">
        <v>2592.3771299999999</v>
      </c>
      <c r="F20" s="258">
        <v>7026.9359299999996</v>
      </c>
      <c r="G20" s="258">
        <v>11409.7294</v>
      </c>
      <c r="H20" s="258">
        <v>1798.3581899999999</v>
      </c>
      <c r="I20" s="258">
        <v>9611.3712100000012</v>
      </c>
      <c r="J20" s="258">
        <v>2584.4352799999997</v>
      </c>
      <c r="K20" s="258">
        <v>7026.9359299999996</v>
      </c>
      <c r="L20" s="258">
        <v>239317.23024</v>
      </c>
      <c r="M20" s="258">
        <v>12012.541160000001</v>
      </c>
      <c r="N20" s="258">
        <v>227304.68908000001</v>
      </c>
      <c r="O20" s="258">
        <v>16368.83087</v>
      </c>
      <c r="P20" s="258">
        <v>210935.85821000001</v>
      </c>
      <c r="Q20" s="164">
        <v>62.485669679424298</v>
      </c>
      <c r="R20" s="258">
        <v>47.786014219234453</v>
      </c>
      <c r="S20" s="164">
        <v>63.518268179916298</v>
      </c>
      <c r="T20" s="164">
        <v>67.106276133058529</v>
      </c>
      <c r="U20" s="164">
        <v>63.255811316133119</v>
      </c>
      <c r="V20" s="258">
        <v>227907.60284000001</v>
      </c>
      <c r="W20" s="258">
        <v>10214.18297</v>
      </c>
      <c r="X20" s="258">
        <v>217693.41987000001</v>
      </c>
      <c r="Y20" s="258">
        <v>13784.39559</v>
      </c>
      <c r="Z20" s="258">
        <v>203909.02428000001</v>
      </c>
      <c r="AA20" s="164">
        <v>59.498887430882327</v>
      </c>
      <c r="AB20" s="258">
        <v>40.562868081528009</v>
      </c>
      <c r="AC20" s="164">
        <v>60.831321146656308</v>
      </c>
      <c r="AD20" s="340">
        <v>56.495174093583962</v>
      </c>
      <c r="AE20" s="325">
        <v>61.148592159571479</v>
      </c>
    </row>
    <row r="21" spans="1:31" x14ac:dyDescent="0.25">
      <c r="A21" s="257" t="s">
        <v>169</v>
      </c>
      <c r="B21" s="258">
        <v>3711.8863799999999</v>
      </c>
      <c r="C21" s="258">
        <v>1948.1849999999999</v>
      </c>
      <c r="D21" s="258">
        <v>1763.70138</v>
      </c>
      <c r="E21" s="258">
        <v>946.12819000000002</v>
      </c>
      <c r="F21" s="258">
        <v>817.57318999999995</v>
      </c>
      <c r="G21" s="258">
        <v>2459.4349199999997</v>
      </c>
      <c r="H21" s="258">
        <v>745.73353999999995</v>
      </c>
      <c r="I21" s="258">
        <v>1713.70138</v>
      </c>
      <c r="J21" s="258">
        <v>896.12819000000002</v>
      </c>
      <c r="K21" s="258">
        <v>817.57318999999995</v>
      </c>
      <c r="L21" s="258">
        <v>355135.13222000003</v>
      </c>
      <c r="M21" s="258">
        <v>27145.223259999999</v>
      </c>
      <c r="N21" s="258">
        <v>327989.90896000003</v>
      </c>
      <c r="O21" s="258">
        <v>14253.148800000001</v>
      </c>
      <c r="P21" s="258">
        <v>313736.76016000001</v>
      </c>
      <c r="Q21" s="258">
        <v>54.404053189786339</v>
      </c>
      <c r="R21" s="258">
        <v>46.796712173586911</v>
      </c>
      <c r="S21" s="258">
        <v>55.145985667545332</v>
      </c>
      <c r="T21" s="258">
        <v>43.666832244226924</v>
      </c>
      <c r="U21" s="258">
        <v>55.812539714632699</v>
      </c>
      <c r="V21" s="258">
        <v>352674.04882000003</v>
      </c>
      <c r="W21" s="258">
        <v>26399.489720000001</v>
      </c>
      <c r="X21" s="258">
        <v>326274.55910000001</v>
      </c>
      <c r="Y21" s="258">
        <v>13357.02061</v>
      </c>
      <c r="Z21" s="258">
        <v>312917.53849000001</v>
      </c>
      <c r="AA21" s="258">
        <v>53.927695200252643</v>
      </c>
      <c r="AB21" s="258">
        <v>44.586848493511795</v>
      </c>
      <c r="AC21" s="258">
        <v>54.85757844460872</v>
      </c>
      <c r="AD21" s="339">
        <v>40.921398242860661</v>
      </c>
      <c r="AE21" s="259">
        <v>55.666803391070722</v>
      </c>
    </row>
    <row r="22" spans="1:31" x14ac:dyDescent="0.25">
      <c r="A22" s="257" t="s">
        <v>170</v>
      </c>
      <c r="B22" s="258">
        <v>27701.320680000001</v>
      </c>
      <c r="C22" s="258">
        <v>4630.9575100000002</v>
      </c>
      <c r="D22" s="258">
        <v>23070.363170000001</v>
      </c>
      <c r="E22" s="258">
        <v>2152.8462100000002</v>
      </c>
      <c r="F22" s="258">
        <v>20917.516960000001</v>
      </c>
      <c r="G22" s="258">
        <v>20336.842290000001</v>
      </c>
      <c r="H22" s="258">
        <v>4344.0426299999999</v>
      </c>
      <c r="I22" s="258">
        <v>15992.799660000001</v>
      </c>
      <c r="J22" s="258">
        <v>1778.2618200000002</v>
      </c>
      <c r="K22" s="258">
        <v>14214.537840000001</v>
      </c>
      <c r="L22" s="258">
        <v>418726.71640000003</v>
      </c>
      <c r="M22" s="258">
        <v>28581.939910000001</v>
      </c>
      <c r="N22" s="258">
        <v>390144.77649000002</v>
      </c>
      <c r="O22" s="258">
        <v>23310.47596</v>
      </c>
      <c r="P22" s="258">
        <v>366834.30053000001</v>
      </c>
      <c r="Q22" s="258">
        <v>58.469582324227659</v>
      </c>
      <c r="R22" s="258">
        <v>44.029478882264264</v>
      </c>
      <c r="S22" s="258">
        <v>59.908992879105128</v>
      </c>
      <c r="T22" s="258">
        <v>49.216290451391799</v>
      </c>
      <c r="U22" s="258">
        <v>60.747659499176592</v>
      </c>
      <c r="V22" s="258">
        <v>398196.46787999995</v>
      </c>
      <c r="W22" s="258">
        <v>24237.897280000001</v>
      </c>
      <c r="X22" s="258">
        <v>373958.57059999998</v>
      </c>
      <c r="Y22" s="258">
        <v>21338.80791</v>
      </c>
      <c r="Z22" s="258">
        <v>352619.76269</v>
      </c>
      <c r="AA22" s="258">
        <v>55.036836092206251</v>
      </c>
      <c r="AB22" s="258">
        <v>37.173333558707533</v>
      </c>
      <c r="AC22" s="258">
        <v>56.806137476345107</v>
      </c>
      <c r="AD22" s="339">
        <v>44.699912966984058</v>
      </c>
      <c r="AE22" s="259">
        <v>57.752674602435789</v>
      </c>
    </row>
    <row r="23" spans="1:31" x14ac:dyDescent="0.25">
      <c r="A23" s="257" t="s">
        <v>171</v>
      </c>
      <c r="B23" s="258">
        <v>38635.459050000005</v>
      </c>
      <c r="C23" s="258">
        <v>3537.9245900000001</v>
      </c>
      <c r="D23" s="258">
        <v>35097.534460000003</v>
      </c>
      <c r="E23" s="258">
        <v>1652.22722</v>
      </c>
      <c r="F23" s="258">
        <v>33445.307240000002</v>
      </c>
      <c r="G23" s="258">
        <v>35097.732020000003</v>
      </c>
      <c r="H23" s="258">
        <v>1640.9282900000001</v>
      </c>
      <c r="I23" s="258">
        <v>33456.80373</v>
      </c>
      <c r="J23" s="258">
        <v>834.50722999999994</v>
      </c>
      <c r="K23" s="258">
        <v>32622.2965</v>
      </c>
      <c r="L23" s="258">
        <v>532883.99933999998</v>
      </c>
      <c r="M23" s="258">
        <v>27033.017400000001</v>
      </c>
      <c r="N23" s="258">
        <v>505850.98194000003</v>
      </c>
      <c r="O23" s="258">
        <v>26760.113259999998</v>
      </c>
      <c r="P23" s="258">
        <v>479090.86868000001</v>
      </c>
      <c r="Q23" s="258">
        <v>55.073677685809884</v>
      </c>
      <c r="R23" s="258">
        <v>56.492500300036681</v>
      </c>
      <c r="S23" s="258">
        <v>54.999858236332983</v>
      </c>
      <c r="T23" s="258">
        <v>34.838427341877768</v>
      </c>
      <c r="U23" s="258">
        <v>56.837093289243079</v>
      </c>
      <c r="V23" s="258">
        <v>497786.26732000004</v>
      </c>
      <c r="W23" s="258">
        <v>25392.089110000001</v>
      </c>
      <c r="X23" s="258">
        <v>472394.17821000004</v>
      </c>
      <c r="Y23" s="258">
        <v>25925.606029999999</v>
      </c>
      <c r="Z23" s="258">
        <v>446468.57218000002</v>
      </c>
      <c r="AA23" s="258">
        <v>51.270226797178587</v>
      </c>
      <c r="AB23" s="258">
        <v>51.260975902763917</v>
      </c>
      <c r="AC23" s="258">
        <v>51.270724144979944</v>
      </c>
      <c r="AD23" s="339">
        <v>33.396470359047463</v>
      </c>
      <c r="AE23" s="259">
        <v>52.915271577140288</v>
      </c>
    </row>
    <row r="24" spans="1:31" x14ac:dyDescent="0.25">
      <c r="A24" s="257" t="s">
        <v>172</v>
      </c>
      <c r="B24" s="258">
        <v>69394.818779999987</v>
      </c>
      <c r="C24" s="258">
        <v>3522.6364600000002</v>
      </c>
      <c r="D24" s="258">
        <v>65872.182319999993</v>
      </c>
      <c r="E24" s="258">
        <v>4370.4527600000001</v>
      </c>
      <c r="F24" s="258">
        <v>61501.72956</v>
      </c>
      <c r="G24" s="258">
        <v>43150.305799999987</v>
      </c>
      <c r="H24" s="258">
        <v>1621.4673100000002</v>
      </c>
      <c r="I24" s="258">
        <v>41528.838489999995</v>
      </c>
      <c r="J24" s="258">
        <v>4370.4527600000001</v>
      </c>
      <c r="K24" s="258">
        <v>37158.385729999995</v>
      </c>
      <c r="L24" s="258">
        <v>512307.76296999998</v>
      </c>
      <c r="M24" s="258">
        <v>36519.094519999999</v>
      </c>
      <c r="N24" s="258">
        <v>475788.66845</v>
      </c>
      <c r="O24" s="258">
        <v>42350.230130000004</v>
      </c>
      <c r="P24" s="258">
        <v>433438.43832000002</v>
      </c>
      <c r="Q24" s="258">
        <v>54.900863787717242</v>
      </c>
      <c r="R24" s="258">
        <v>42.49173033905776</v>
      </c>
      <c r="S24" s="258">
        <v>56.159695541261762</v>
      </c>
      <c r="T24" s="258">
        <v>54.470094707247398</v>
      </c>
      <c r="U24" s="258">
        <v>56.330420623540718</v>
      </c>
      <c r="V24" s="258">
        <v>469157.45717000001</v>
      </c>
      <c r="W24" s="258">
        <v>34897.627209999999</v>
      </c>
      <c r="X24" s="258">
        <v>434259.82996</v>
      </c>
      <c r="Y24" s="258">
        <v>37979.777370000003</v>
      </c>
      <c r="Z24" s="258">
        <v>396280.05258999998</v>
      </c>
      <c r="AA24" s="258">
        <v>50.242651426869323</v>
      </c>
      <c r="AB24" s="258">
        <v>40.596857789068281</v>
      </c>
      <c r="AC24" s="258">
        <v>51.220646903924496</v>
      </c>
      <c r="AD24" s="339">
        <v>48.848897962389216</v>
      </c>
      <c r="AE24" s="259">
        <v>51.460107930755164</v>
      </c>
    </row>
    <row r="25" spans="1:31" x14ac:dyDescent="0.25">
      <c r="A25" s="257" t="s">
        <v>173</v>
      </c>
      <c r="B25" s="258">
        <v>29098.877650000002</v>
      </c>
      <c r="C25" s="258">
        <v>3059.1304</v>
      </c>
      <c r="D25" s="258">
        <v>26039.74725</v>
      </c>
      <c r="E25" s="258">
        <v>14982.23776</v>
      </c>
      <c r="F25" s="258">
        <v>10703.97107</v>
      </c>
      <c r="G25" s="258">
        <v>20070.44083</v>
      </c>
      <c r="H25" s="258">
        <v>2026.98396</v>
      </c>
      <c r="I25" s="258">
        <v>18043.456870000002</v>
      </c>
      <c r="J25" s="258">
        <v>8689.6765699999996</v>
      </c>
      <c r="K25" s="258">
        <v>9352.1518799999994</v>
      </c>
      <c r="L25" s="258">
        <v>432881.62742000003</v>
      </c>
      <c r="M25" s="258">
        <v>23890.185570000001</v>
      </c>
      <c r="N25" s="258">
        <v>408991.44185</v>
      </c>
      <c r="O25" s="258">
        <v>41348.668790000003</v>
      </c>
      <c r="P25" s="258">
        <v>367081.65343000001</v>
      </c>
      <c r="Q25" s="258">
        <v>56.559737568621976</v>
      </c>
      <c r="R25" s="164">
        <v>62.306417372053666</v>
      </c>
      <c r="S25" s="258">
        <v>56.256653286411833</v>
      </c>
      <c r="T25" s="258">
        <v>53.294405850376243</v>
      </c>
      <c r="U25" s="258">
        <v>56.573024728851493</v>
      </c>
      <c r="V25" s="258">
        <v>412566.95676000003</v>
      </c>
      <c r="W25" s="258">
        <v>21863.20161</v>
      </c>
      <c r="X25" s="258">
        <v>390703.75515000004</v>
      </c>
      <c r="Y25" s="258">
        <v>32658.99222</v>
      </c>
      <c r="Z25" s="258">
        <v>357485.27172000002</v>
      </c>
      <c r="AA25" s="258">
        <v>53.291558623054769</v>
      </c>
      <c r="AB25" s="164">
        <v>55.525303504997837</v>
      </c>
      <c r="AC25" s="258">
        <v>53.171859587055927</v>
      </c>
      <c r="AD25" s="339">
        <v>38.931164494470465</v>
      </c>
      <c r="AE25" s="259">
        <v>54.998400238700988</v>
      </c>
    </row>
    <row r="26" spans="1:31" x14ac:dyDescent="0.25">
      <c r="A26" s="257" t="s">
        <v>174</v>
      </c>
      <c r="B26" s="258">
        <v>29626.716030000003</v>
      </c>
      <c r="C26" s="258">
        <v>6213.09501</v>
      </c>
      <c r="D26" s="258">
        <v>23413.621020000002</v>
      </c>
      <c r="E26" s="258">
        <v>3884.3445900000002</v>
      </c>
      <c r="F26" s="258">
        <v>19529.276430000002</v>
      </c>
      <c r="G26" s="258">
        <v>26754.486420000001</v>
      </c>
      <c r="H26" s="258">
        <v>5050.4156499999999</v>
      </c>
      <c r="I26" s="258">
        <v>21704.070770000002</v>
      </c>
      <c r="J26" s="258">
        <v>2174.7943400000004</v>
      </c>
      <c r="K26" s="258">
        <v>19529.276430000002</v>
      </c>
      <c r="L26" s="258">
        <v>550030.76369000005</v>
      </c>
      <c r="M26" s="258">
        <v>37810.241849999999</v>
      </c>
      <c r="N26" s="258">
        <v>512220.52184</v>
      </c>
      <c r="O26" s="258">
        <v>34887.832710000002</v>
      </c>
      <c r="P26" s="258">
        <v>477332.68913000001</v>
      </c>
      <c r="Q26" s="258">
        <v>56.551018363055626</v>
      </c>
      <c r="R26" s="258">
        <v>46.224728330323089</v>
      </c>
      <c r="S26" s="258">
        <v>57.499183782815713</v>
      </c>
      <c r="T26" s="258">
        <v>50.813254438112644</v>
      </c>
      <c r="U26" s="258">
        <v>58.057520345787395</v>
      </c>
      <c r="V26" s="258">
        <v>523276.27727000002</v>
      </c>
      <c r="W26" s="258">
        <v>32759.8262</v>
      </c>
      <c r="X26" s="258">
        <v>490516.45107000001</v>
      </c>
      <c r="Y26" s="258">
        <v>32713.038369999998</v>
      </c>
      <c r="Z26" s="258">
        <v>457803.41269999999</v>
      </c>
      <c r="AA26" s="258">
        <v>53.641867261950502</v>
      </c>
      <c r="AB26" s="258">
        <v>39.489058553604934</v>
      </c>
      <c r="AC26" s="258">
        <v>54.957332925694899</v>
      </c>
      <c r="AD26" s="339">
        <v>46.488203228819252</v>
      </c>
      <c r="AE26" s="259">
        <v>55.682193054166603</v>
      </c>
    </row>
    <row r="27" spans="1:31" x14ac:dyDescent="0.25">
      <c r="A27" s="257" t="s">
        <v>175</v>
      </c>
      <c r="B27" s="258">
        <v>49032.548299999995</v>
      </c>
      <c r="C27" s="258">
        <v>5669.0639499999997</v>
      </c>
      <c r="D27" s="258">
        <v>43363.484349999999</v>
      </c>
      <c r="E27" s="258">
        <v>2344.2813900000001</v>
      </c>
      <c r="F27" s="258">
        <v>41019.202960000002</v>
      </c>
      <c r="G27" s="258">
        <v>43134.162049999999</v>
      </c>
      <c r="H27" s="258">
        <v>1770.6776999999997</v>
      </c>
      <c r="I27" s="258">
        <v>41363.484349999999</v>
      </c>
      <c r="J27" s="258">
        <v>344.2813900000001</v>
      </c>
      <c r="K27" s="258">
        <v>41019.202960000002</v>
      </c>
      <c r="L27" s="258">
        <v>401764.19735000003</v>
      </c>
      <c r="M27" s="258">
        <v>19331.31423</v>
      </c>
      <c r="N27" s="258">
        <v>382432.88312000001</v>
      </c>
      <c r="O27" s="258">
        <v>28900.193480000002</v>
      </c>
      <c r="P27" s="258">
        <v>353532.68964</v>
      </c>
      <c r="Q27" s="258">
        <v>61.181280873710932</v>
      </c>
      <c r="R27" s="258">
        <v>54.536892178922898</v>
      </c>
      <c r="S27" s="258">
        <v>61.560396957234268</v>
      </c>
      <c r="T27" s="258">
        <v>59.132160243044929</v>
      </c>
      <c r="U27" s="258">
        <v>61.767745122300433</v>
      </c>
      <c r="V27" s="258">
        <v>356630.03529999999</v>
      </c>
      <c r="W27" s="258">
        <v>17560.63653</v>
      </c>
      <c r="X27" s="258">
        <v>339069.39876999997</v>
      </c>
      <c r="Y27" s="258">
        <v>26555.912090000002</v>
      </c>
      <c r="Z27" s="258">
        <v>312513.48667999997</v>
      </c>
      <c r="AA27" s="258">
        <v>54.308180026013815</v>
      </c>
      <c r="AB27" s="258">
        <v>49.541512265297477</v>
      </c>
      <c r="AC27" s="258">
        <v>54.580156952095408</v>
      </c>
      <c r="AD27" s="339">
        <v>54.335568728728603</v>
      </c>
      <c r="AE27" s="259">
        <v>54.601042444442818</v>
      </c>
    </row>
    <row r="28" spans="1:31" x14ac:dyDescent="0.25">
      <c r="A28" s="257" t="s">
        <v>176</v>
      </c>
      <c r="B28" s="258">
        <v>16157.78434</v>
      </c>
      <c r="C28" s="258">
        <v>978.58573999999999</v>
      </c>
      <c r="D28" s="258">
        <v>15179.1986</v>
      </c>
      <c r="E28" s="258">
        <v>1565.0306</v>
      </c>
      <c r="F28" s="258">
        <v>13614.168</v>
      </c>
      <c r="G28" s="258">
        <v>8513.5413800000006</v>
      </c>
      <c r="H28" s="258">
        <v>795.47955999999999</v>
      </c>
      <c r="I28" s="258">
        <v>7718.0618199999999</v>
      </c>
      <c r="J28" s="258">
        <v>908.51748000000009</v>
      </c>
      <c r="K28" s="258">
        <v>6809.5443399999995</v>
      </c>
      <c r="L28" s="258">
        <v>189570.21867999999</v>
      </c>
      <c r="M28" s="258">
        <v>10272.748680000001</v>
      </c>
      <c r="N28" s="258">
        <v>179297.47</v>
      </c>
      <c r="O28" s="258">
        <v>5665.5</v>
      </c>
      <c r="P28" s="258">
        <v>173631.97</v>
      </c>
      <c r="Q28" s="258">
        <v>53.703637039908394</v>
      </c>
      <c r="R28" s="258">
        <v>55.55197575819242</v>
      </c>
      <c r="S28" s="258">
        <v>53.601455807000072</v>
      </c>
      <c r="T28" s="164">
        <v>31.991809952094794</v>
      </c>
      <c r="U28" s="258">
        <v>54.809472716947617</v>
      </c>
      <c r="V28" s="258">
        <v>181056.67730000001</v>
      </c>
      <c r="W28" s="258">
        <v>9477.2691200000008</v>
      </c>
      <c r="X28" s="258">
        <v>171579.40818</v>
      </c>
      <c r="Y28" s="258">
        <v>4756.9825199999996</v>
      </c>
      <c r="Z28" s="258">
        <v>166822.42566000001</v>
      </c>
      <c r="AA28" s="258">
        <v>50.204617165614131</v>
      </c>
      <c r="AB28" s="258">
        <v>50.747762250151361</v>
      </c>
      <c r="AC28" s="258">
        <v>50.174954922121678</v>
      </c>
      <c r="AD28" s="340">
        <v>25.901402868584643</v>
      </c>
      <c r="AE28" s="259">
        <v>51.552601299042031</v>
      </c>
    </row>
    <row r="29" spans="1:31" x14ac:dyDescent="0.25">
      <c r="A29" s="257" t="s">
        <v>177</v>
      </c>
      <c r="B29" s="258">
        <v>417091.97823999997</v>
      </c>
      <c r="C29" s="258">
        <v>61294.957849999999</v>
      </c>
      <c r="D29" s="258">
        <v>355797.02038999996</v>
      </c>
      <c r="E29" s="258">
        <v>41171.261050000001</v>
      </c>
      <c r="F29" s="258">
        <v>314625.75933999999</v>
      </c>
      <c r="G29" s="258">
        <v>298302.66590999998</v>
      </c>
      <c r="H29" s="258">
        <v>8609.4397699999972</v>
      </c>
      <c r="I29" s="258">
        <v>289693.22613999993</v>
      </c>
      <c r="J29" s="258">
        <v>17241.849260000003</v>
      </c>
      <c r="K29" s="258">
        <v>272451.37688</v>
      </c>
      <c r="L29" s="258">
        <v>3446346.4653500002</v>
      </c>
      <c r="M29" s="258">
        <v>331400.52091000002</v>
      </c>
      <c r="N29" s="258">
        <v>3114945.9444400002</v>
      </c>
      <c r="O29" s="258">
        <v>94770.063970000003</v>
      </c>
      <c r="P29" s="258">
        <v>3020175.8804700002</v>
      </c>
      <c r="Q29" s="258">
        <v>60.117262081720526</v>
      </c>
      <c r="R29" s="258">
        <v>48.849339393859431</v>
      </c>
      <c r="S29" s="258">
        <v>61.629701186901315</v>
      </c>
      <c r="T29" s="258">
        <v>54.53487920491812</v>
      </c>
      <c r="U29" s="258">
        <v>61.882324078659963</v>
      </c>
      <c r="V29" s="258">
        <v>3145142.9642799995</v>
      </c>
      <c r="W29" s="258">
        <v>324336.32061</v>
      </c>
      <c r="X29" s="258">
        <v>2820806.6436699997</v>
      </c>
      <c r="Y29" s="258">
        <v>74936.750719999996</v>
      </c>
      <c r="Z29" s="258">
        <v>2745869.8929499998</v>
      </c>
      <c r="AA29" s="258">
        <v>53.900943480060924</v>
      </c>
      <c r="AB29" s="258">
        <v>45.334467284775293</v>
      </c>
      <c r="AC29" s="258">
        <v>55.098048298230047</v>
      </c>
      <c r="AD29" s="339">
        <v>38.053712947123849</v>
      </c>
      <c r="AE29" s="259">
        <v>55.779877331575207</v>
      </c>
    </row>
    <row r="30" spans="1:31" x14ac:dyDescent="0.25">
      <c r="A30" s="257" t="s">
        <v>178</v>
      </c>
      <c r="B30" s="258">
        <v>207739.64871999997</v>
      </c>
      <c r="C30" s="258">
        <v>35657.576629999996</v>
      </c>
      <c r="D30" s="258">
        <v>172082.07208999997</v>
      </c>
      <c r="E30" s="258">
        <v>30407.096369999999</v>
      </c>
      <c r="F30" s="258">
        <v>141674.97571999999</v>
      </c>
      <c r="G30" s="258">
        <v>189556.30041999996</v>
      </c>
      <c r="H30" s="258">
        <v>17974.228329999994</v>
      </c>
      <c r="I30" s="258">
        <v>171582.07208999997</v>
      </c>
      <c r="J30" s="258">
        <v>29907.096369999999</v>
      </c>
      <c r="K30" s="258">
        <v>141674.97571999999</v>
      </c>
      <c r="L30" s="258">
        <v>2467606.8224899997</v>
      </c>
      <c r="M30" s="258">
        <v>233094.27731999999</v>
      </c>
      <c r="N30" s="258">
        <v>2234512.5451699998</v>
      </c>
      <c r="O30" s="258">
        <v>149711.03307</v>
      </c>
      <c r="P30" s="258">
        <v>2084801.5120999999</v>
      </c>
      <c r="Q30" s="258">
        <v>54.855942560628506</v>
      </c>
      <c r="R30" s="258">
        <v>53.289745110719281</v>
      </c>
      <c r="S30" s="258">
        <v>55.024640156981185</v>
      </c>
      <c r="T30" s="258">
        <v>36.405048695275113</v>
      </c>
      <c r="U30" s="258">
        <v>57.122642229998419</v>
      </c>
      <c r="V30" s="258">
        <v>2277816.1137999999</v>
      </c>
      <c r="W30" s="258">
        <v>214884.38914000001</v>
      </c>
      <c r="X30" s="258">
        <v>2062931.7246600001</v>
      </c>
      <c r="Y30" s="258">
        <v>119803.93670000001</v>
      </c>
      <c r="Z30" s="258">
        <v>1943127.7879600001</v>
      </c>
      <c r="AA30" s="258">
        <v>50.515536496568025</v>
      </c>
      <c r="AB30" s="258">
        <v>47.996583124244218</v>
      </c>
      <c r="AC30" s="258">
        <v>50.793210667953232</v>
      </c>
      <c r="AD30" s="339">
        <v>29.097199019903066</v>
      </c>
      <c r="AE30" s="259">
        <v>53.240826395622321</v>
      </c>
    </row>
    <row r="31" spans="1:31" x14ac:dyDescent="0.25">
      <c r="A31" s="257" t="s">
        <v>179</v>
      </c>
      <c r="B31" s="258">
        <v>140750.58782000002</v>
      </c>
      <c r="C31" s="258">
        <v>12827.17275</v>
      </c>
      <c r="D31" s="258">
        <v>127923.41507</v>
      </c>
      <c r="E31" s="258">
        <v>24081.942490000001</v>
      </c>
      <c r="F31" s="258">
        <v>103841.40154000001</v>
      </c>
      <c r="G31" s="258">
        <v>127863.31961000002</v>
      </c>
      <c r="H31" s="258">
        <v>292.01957000000039</v>
      </c>
      <c r="I31" s="258">
        <v>127571.30004</v>
      </c>
      <c r="J31" s="258">
        <v>24081.942490000001</v>
      </c>
      <c r="K31" s="258">
        <v>103489.28651000001</v>
      </c>
      <c r="L31" s="258">
        <v>1032761.963</v>
      </c>
      <c r="M31" s="258">
        <v>136889.53745</v>
      </c>
      <c r="N31" s="258">
        <v>895872.42555000004</v>
      </c>
      <c r="O31" s="258">
        <v>74471.159230000005</v>
      </c>
      <c r="P31" s="258">
        <v>812994.56631999998</v>
      </c>
      <c r="Q31" s="258">
        <v>59.059225012129488</v>
      </c>
      <c r="R31" s="258">
        <v>50.929623427144534</v>
      </c>
      <c r="S31" s="258">
        <v>60.535729126324597</v>
      </c>
      <c r="T31" s="258">
        <v>48.482367105014497</v>
      </c>
      <c r="U31" s="258">
        <v>61.822709164352446</v>
      </c>
      <c r="V31" s="258">
        <v>904898.64338999987</v>
      </c>
      <c r="W31" s="258">
        <v>136597.51788</v>
      </c>
      <c r="X31" s="258">
        <v>768301.12550999993</v>
      </c>
      <c r="Y31" s="258">
        <v>50389.216740000003</v>
      </c>
      <c r="Z31" s="258">
        <v>709505.27980999998</v>
      </c>
      <c r="AA31" s="258">
        <v>51.742573761259962</v>
      </c>
      <c r="AB31" s="258">
        <v>50.820977821274987</v>
      </c>
      <c r="AC31" s="258">
        <v>51.909936731180217</v>
      </c>
      <c r="AD31" s="339">
        <v>32.804491421676261</v>
      </c>
      <c r="AE31" s="259">
        <v>53.94654109036135</v>
      </c>
    </row>
    <row r="32" spans="1:31" x14ac:dyDescent="0.25">
      <c r="A32" s="257" t="s">
        <v>180</v>
      </c>
      <c r="B32" s="258">
        <v>16033.254730000001</v>
      </c>
      <c r="C32" s="258">
        <v>8007.7859600000002</v>
      </c>
      <c r="D32" s="258">
        <v>8025.4687699999995</v>
      </c>
      <c r="E32" s="258">
        <v>490.17962999999997</v>
      </c>
      <c r="F32" s="258">
        <v>7535.2891399999999</v>
      </c>
      <c r="G32" s="258">
        <v>11534.651040000001</v>
      </c>
      <c r="H32" s="258">
        <v>4375.2120500000001</v>
      </c>
      <c r="I32" s="258">
        <v>7159.4389899999996</v>
      </c>
      <c r="J32" s="258">
        <v>330.17962999999997</v>
      </c>
      <c r="K32" s="258">
        <v>6829.25936</v>
      </c>
      <c r="L32" s="258">
        <v>456083.19914000004</v>
      </c>
      <c r="M32" s="258">
        <v>36159.710359999997</v>
      </c>
      <c r="N32" s="258">
        <v>419923.48878000001</v>
      </c>
      <c r="O32" s="258">
        <v>20288.25578</v>
      </c>
      <c r="P32" s="258">
        <v>399635.23300000001</v>
      </c>
      <c r="Q32" s="258">
        <v>54.211746325500151</v>
      </c>
      <c r="R32" s="258">
        <v>52.602684521621732</v>
      </c>
      <c r="S32" s="258">
        <v>54.354918440545056</v>
      </c>
      <c r="T32" s="164">
        <v>31.987536769677426</v>
      </c>
      <c r="U32" s="258">
        <v>56.355477733941662</v>
      </c>
      <c r="V32" s="258">
        <v>444545.12487</v>
      </c>
      <c r="W32" s="258">
        <v>31784.498309999999</v>
      </c>
      <c r="X32" s="258">
        <v>412760.62656</v>
      </c>
      <c r="Y32" s="258">
        <v>19958.076150000001</v>
      </c>
      <c r="Z32" s="258">
        <v>392802.55041000003</v>
      </c>
      <c r="AA32" s="258">
        <v>52.559242689533541</v>
      </c>
      <c r="AB32" s="258">
        <v>43.917156422078541</v>
      </c>
      <c r="AC32" s="258">
        <v>53.367932292112442</v>
      </c>
      <c r="AD32" s="339">
        <v>31.387777898997236</v>
      </c>
      <c r="AE32" s="259">
        <v>55.336856642268081</v>
      </c>
    </row>
    <row r="33" spans="1:31" x14ac:dyDescent="0.25">
      <c r="A33" s="257" t="s">
        <v>181</v>
      </c>
      <c r="B33" s="258">
        <v>48162.059380000006</v>
      </c>
      <c r="C33" s="258">
        <v>17074.05991</v>
      </c>
      <c r="D33" s="258">
        <v>31087.999470000002</v>
      </c>
      <c r="E33" s="258">
        <v>4399.2483300000004</v>
      </c>
      <c r="F33" s="258">
        <v>26688.75114</v>
      </c>
      <c r="G33" s="258">
        <v>43075.261140000002</v>
      </c>
      <c r="H33" s="258">
        <v>12042.65423</v>
      </c>
      <c r="I33" s="258">
        <v>31032.606910000002</v>
      </c>
      <c r="J33" s="258">
        <v>4399.2483300000004</v>
      </c>
      <c r="K33" s="258">
        <v>26633.35858</v>
      </c>
      <c r="L33" s="258">
        <v>498340.79988000001</v>
      </c>
      <c r="M33" s="258">
        <v>78662.688309999998</v>
      </c>
      <c r="N33" s="258">
        <v>419678.11157000001</v>
      </c>
      <c r="O33" s="258">
        <v>14184.890810000001</v>
      </c>
      <c r="P33" s="258">
        <v>405493.22076</v>
      </c>
      <c r="Q33" s="258">
        <v>53.807730716561892</v>
      </c>
      <c r="R33" s="258">
        <v>53.503384333043023</v>
      </c>
      <c r="S33" s="258">
        <v>53.865161841864726</v>
      </c>
      <c r="T33" s="258">
        <v>40.545351152986839</v>
      </c>
      <c r="U33" s="258">
        <v>54.49138224002094</v>
      </c>
      <c r="V33" s="258">
        <v>455397.87575000001</v>
      </c>
      <c r="W33" s="258">
        <v>66620.034079999998</v>
      </c>
      <c r="X33" s="258">
        <v>388777.84166999999</v>
      </c>
      <c r="Y33" s="258">
        <v>9785.6424800000004</v>
      </c>
      <c r="Z33" s="258">
        <v>378992.19919000001</v>
      </c>
      <c r="AA33" s="258">
        <v>48.894935765778577</v>
      </c>
      <c r="AB33" s="258">
        <v>43.813068115997531</v>
      </c>
      <c r="AC33" s="258">
        <v>49.886465551310586</v>
      </c>
      <c r="AD33" s="339">
        <v>27.970769456291993</v>
      </c>
      <c r="AE33" s="259">
        <v>50.91654048124343</v>
      </c>
    </row>
    <row r="34" spans="1:31" x14ac:dyDescent="0.25">
      <c r="A34" s="257" t="s">
        <v>182</v>
      </c>
      <c r="B34" s="258">
        <v>1619.9703300000001</v>
      </c>
      <c r="C34" s="258">
        <v>634.50216999999998</v>
      </c>
      <c r="D34" s="258">
        <v>985.46816000000001</v>
      </c>
      <c r="E34" s="258">
        <v>42.367359999999998</v>
      </c>
      <c r="F34" s="258">
        <v>943.10080000000005</v>
      </c>
      <c r="G34" s="258">
        <v>971.70402000000013</v>
      </c>
      <c r="H34" s="258">
        <v>205.42131000000001</v>
      </c>
      <c r="I34" s="258">
        <v>766.28270999999995</v>
      </c>
      <c r="J34" s="258">
        <v>42.367359999999998</v>
      </c>
      <c r="K34" s="258">
        <v>723.91534999999999</v>
      </c>
      <c r="L34" s="258">
        <v>64846.22279</v>
      </c>
      <c r="M34" s="258">
        <v>5666.1551200000004</v>
      </c>
      <c r="N34" s="258">
        <v>59180.067669999997</v>
      </c>
      <c r="O34" s="258">
        <v>4114.4246700000003</v>
      </c>
      <c r="P34" s="258">
        <v>55065.642999999996</v>
      </c>
      <c r="Q34" s="258">
        <v>53.227683939652628</v>
      </c>
      <c r="R34" s="258">
        <v>43.253092519083971</v>
      </c>
      <c r="S34" s="258">
        <v>54.429464047899344</v>
      </c>
      <c r="T34" s="258">
        <v>35.201826387522352</v>
      </c>
      <c r="U34" s="258">
        <v>56.745362474610964</v>
      </c>
      <c r="V34" s="258">
        <v>63874.518770000002</v>
      </c>
      <c r="W34" s="258">
        <v>5460.7338099999997</v>
      </c>
      <c r="X34" s="258">
        <v>58413.784960000005</v>
      </c>
      <c r="Y34" s="258">
        <v>4072.0573100000001</v>
      </c>
      <c r="Z34" s="258">
        <v>54341.727650000001</v>
      </c>
      <c r="AA34" s="258">
        <v>52.152568570572718</v>
      </c>
      <c r="AB34" s="258">
        <v>40.362932755802895</v>
      </c>
      <c r="AC34" s="258">
        <v>53.6166076422491</v>
      </c>
      <c r="AD34" s="339">
        <v>34.839343520332648</v>
      </c>
      <c r="AE34" s="259">
        <v>55.873163312785401</v>
      </c>
    </row>
    <row r="35" spans="1:31" x14ac:dyDescent="0.25">
      <c r="A35" s="257" t="s">
        <v>183</v>
      </c>
      <c r="B35" s="258">
        <v>14048.43167</v>
      </c>
      <c r="C35" s="258">
        <v>1801.75395</v>
      </c>
      <c r="D35" s="258">
        <v>12246.67772</v>
      </c>
      <c r="E35" s="258">
        <v>0</v>
      </c>
      <c r="F35" s="258">
        <v>12246.67772</v>
      </c>
      <c r="G35" s="258">
        <v>1247.1001800000013</v>
      </c>
      <c r="H35" s="258">
        <v>54.369500000000016</v>
      </c>
      <c r="I35" s="258">
        <v>1192.7306800000006</v>
      </c>
      <c r="J35" s="258">
        <v>0</v>
      </c>
      <c r="K35" s="258">
        <v>1192.7306800000006</v>
      </c>
      <c r="L35" s="258">
        <v>38369.184289999997</v>
      </c>
      <c r="M35" s="258">
        <v>3904.1842900000001</v>
      </c>
      <c r="N35" s="258">
        <v>34465</v>
      </c>
      <c r="O35" s="258">
        <v>0</v>
      </c>
      <c r="P35" s="258">
        <v>34465</v>
      </c>
      <c r="Q35" s="164">
        <v>42.797453670660772</v>
      </c>
      <c r="R35" s="164">
        <v>33.94406574147429</v>
      </c>
      <c r="S35" s="164">
        <v>44.100442239298751</v>
      </c>
      <c r="T35" s="258"/>
      <c r="U35" s="164">
        <v>44.100442239298751</v>
      </c>
      <c r="V35" s="258">
        <v>37122.084109999996</v>
      </c>
      <c r="W35" s="258">
        <v>3849.8147899999999</v>
      </c>
      <c r="X35" s="258">
        <v>33272.269319999999</v>
      </c>
      <c r="Y35" s="258">
        <v>0</v>
      </c>
      <c r="Z35" s="258">
        <v>33272.269319999999</v>
      </c>
      <c r="AA35" s="164">
        <v>41.406422999463182</v>
      </c>
      <c r="AB35" s="164">
        <v>33.471362163659549</v>
      </c>
      <c r="AC35" s="164">
        <v>42.574257690905327</v>
      </c>
      <c r="AD35" s="339"/>
      <c r="AE35" s="325">
        <v>42.574257690905327</v>
      </c>
    </row>
    <row r="36" spans="1:31" s="221" customFormat="1" x14ac:dyDescent="0.25">
      <c r="A36" s="260" t="s">
        <v>184</v>
      </c>
      <c r="B36" s="261">
        <v>1334657.7973699998</v>
      </c>
      <c r="C36" s="261">
        <v>214312.07403000002</v>
      </c>
      <c r="D36" s="261">
        <v>1120345.7233399998</v>
      </c>
      <c r="E36" s="261">
        <v>160142.42591000002</v>
      </c>
      <c r="F36" s="261">
        <v>959849.68797000009</v>
      </c>
      <c r="G36" s="261">
        <v>1074921.9470500001</v>
      </c>
      <c r="H36" s="261">
        <v>91432.23202000001</v>
      </c>
      <c r="I36" s="261">
        <v>983489.71503000008</v>
      </c>
      <c r="J36" s="261">
        <v>123137.69679</v>
      </c>
      <c r="K36" s="261">
        <v>860350.31878000009</v>
      </c>
      <c r="L36" s="261">
        <v>14786129.995599996</v>
      </c>
      <c r="M36" s="261">
        <v>1276191.9547600001</v>
      </c>
      <c r="N36" s="261">
        <v>13509938.040840002</v>
      </c>
      <c r="O36" s="261">
        <v>797626.20409999997</v>
      </c>
      <c r="P36" s="261">
        <v>12703344.017109999</v>
      </c>
      <c r="Q36" s="261">
        <v>57.189212960432499</v>
      </c>
      <c r="R36" s="261">
        <v>50.556045121127333</v>
      </c>
      <c r="S36" s="261">
        <v>57.906909623421775</v>
      </c>
      <c r="T36" s="261">
        <v>46.632793803418224</v>
      </c>
      <c r="U36" s="261">
        <v>58.789513547222342</v>
      </c>
      <c r="V36" s="261">
        <v>13705583.576989999</v>
      </c>
      <c r="W36" s="261">
        <v>1185905.3000399997</v>
      </c>
      <c r="X36" s="261">
        <v>12519678.27695</v>
      </c>
      <c r="Y36" s="261">
        <v>669703.63708999997</v>
      </c>
      <c r="Z36" s="261">
        <v>11841008.519690001</v>
      </c>
      <c r="AA36" s="261">
        <v>52.648597277306557</v>
      </c>
      <c r="AB36" s="261">
        <v>45.560817575072136</v>
      </c>
      <c r="AC36" s="261">
        <v>53.436023135262232</v>
      </c>
      <c r="AD36" s="341">
        <v>38.386776063720887</v>
      </c>
      <c r="AE36" s="262">
        <v>54.636120989230406</v>
      </c>
    </row>
    <row r="37" spans="1:31" x14ac:dyDescent="0.25">
      <c r="A37" s="257" t="s">
        <v>327</v>
      </c>
      <c r="B37" s="258">
        <v>2601408.30877</v>
      </c>
      <c r="C37" s="258">
        <v>1148917.53174</v>
      </c>
      <c r="D37" s="258">
        <v>1452490.77703</v>
      </c>
      <c r="E37" s="258">
        <v>519625.56131999998</v>
      </c>
      <c r="F37" s="258">
        <v>932865.2157099999</v>
      </c>
      <c r="G37" s="258">
        <v>24391.050710000054</v>
      </c>
      <c r="H37" s="258">
        <v>-699396.1423200001</v>
      </c>
      <c r="I37" s="258">
        <v>723787.19302999997</v>
      </c>
      <c r="J37" s="258">
        <v>60712.94764000002</v>
      </c>
      <c r="K37" s="258">
        <v>663074.24541999993</v>
      </c>
      <c r="L37" s="258">
        <v>16766484.32965</v>
      </c>
      <c r="M37" s="258">
        <v>9490345.7543100007</v>
      </c>
      <c r="N37" s="258">
        <v>7276138.57534</v>
      </c>
      <c r="O37" s="258">
        <v>796666.47783999995</v>
      </c>
      <c r="P37" s="258">
        <v>6468170.8974999981</v>
      </c>
      <c r="Q37" s="258">
        <v>47.296981185655504</v>
      </c>
      <c r="R37" s="258">
        <v>43.693349274508343</v>
      </c>
      <c r="S37" s="258">
        <v>52.998193689752569</v>
      </c>
      <c r="T37" s="258">
        <v>44.227731033168972</v>
      </c>
      <c r="U37" s="258">
        <v>54.279356239176963</v>
      </c>
      <c r="V37" s="258">
        <v>16728824.971619999</v>
      </c>
      <c r="W37" s="258">
        <v>10200563.57147</v>
      </c>
      <c r="X37" s="258">
        <v>6528261.4001499992</v>
      </c>
      <c r="Y37" s="258">
        <v>731132.67793000001</v>
      </c>
      <c r="Z37" s="258">
        <v>5785827.5221899981</v>
      </c>
      <c r="AA37" s="258">
        <v>44.107163804844483</v>
      </c>
      <c r="AB37" s="258">
        <v>43.440187331508191</v>
      </c>
      <c r="AC37" s="258">
        <v>45.1913420673663</v>
      </c>
      <c r="AD37" s="340">
        <v>32.357620395902671</v>
      </c>
      <c r="AE37" s="259">
        <v>47.522258944919614</v>
      </c>
    </row>
    <row r="38" spans="1:31" s="221" customFormat="1" ht="13.8" thickBot="1" x14ac:dyDescent="0.3">
      <c r="A38" s="217" t="s">
        <v>328</v>
      </c>
      <c r="B38" s="211">
        <v>3936066.1061399998</v>
      </c>
      <c r="C38" s="211">
        <v>1363229.60577</v>
      </c>
      <c r="D38" s="211">
        <v>2572836.5003699996</v>
      </c>
      <c r="E38" s="211">
        <v>679767.98722999997</v>
      </c>
      <c r="F38" s="211">
        <v>1892714.90368</v>
      </c>
      <c r="G38" s="211">
        <v>1099312.9977600002</v>
      </c>
      <c r="H38" s="211">
        <v>-607963.91030000011</v>
      </c>
      <c r="I38" s="211">
        <v>1707276.90806</v>
      </c>
      <c r="J38" s="211">
        <v>183850.64443000001</v>
      </c>
      <c r="K38" s="211">
        <v>1523424.5641999999</v>
      </c>
      <c r="L38" s="211">
        <v>31552614.325249996</v>
      </c>
      <c r="M38" s="211">
        <v>10766537.709070001</v>
      </c>
      <c r="N38" s="211">
        <v>20786076.616180003</v>
      </c>
      <c r="O38" s="211">
        <v>1594292.68194</v>
      </c>
      <c r="P38" s="211">
        <v>19171514.914609998</v>
      </c>
      <c r="Q38" s="211">
        <v>51.468987525036255</v>
      </c>
      <c r="R38" s="211">
        <v>44.407881216487397</v>
      </c>
      <c r="S38" s="211">
        <v>56.088429534297497</v>
      </c>
      <c r="T38" s="211">
        <v>45.399155014926066</v>
      </c>
      <c r="U38" s="211">
        <v>57.186362192639898</v>
      </c>
      <c r="V38" s="211">
        <v>30434408.548609998</v>
      </c>
      <c r="W38" s="211">
        <v>11386468.871509999</v>
      </c>
      <c r="X38" s="211">
        <v>19047939.677099999</v>
      </c>
      <c r="Y38" s="211">
        <v>1400836.3150200001</v>
      </c>
      <c r="Z38" s="211">
        <v>17626836.04188</v>
      </c>
      <c r="AA38" s="211">
        <v>47.583597038428451</v>
      </c>
      <c r="AB38" s="211">
        <v>43.65179749400388</v>
      </c>
      <c r="AC38" s="211">
        <v>50.29144585899364</v>
      </c>
      <c r="AD38" s="342">
        <v>34.984536795857622</v>
      </c>
      <c r="AE38" s="212">
        <v>52.077254870637582</v>
      </c>
    </row>
    <row r="39" spans="1:31" ht="13.8" thickTop="1" x14ac:dyDescent="0.25">
      <c r="V39" s="417"/>
      <c r="X39" s="417"/>
    </row>
    <row r="40" spans="1:31" hidden="1" x14ac:dyDescent="0.25">
      <c r="B40" s="256">
        <f t="shared" ref="B40:B42" si="0">B36/1000</f>
        <v>1334.6577973699998</v>
      </c>
      <c r="C40" s="256">
        <f t="shared" ref="C40:Z40" si="1">C36/1000</f>
        <v>214.31207403000002</v>
      </c>
      <c r="D40" s="256">
        <f t="shared" si="1"/>
        <v>1120.3457233399997</v>
      </c>
      <c r="E40" s="256">
        <f t="shared" si="1"/>
        <v>160.14242591000001</v>
      </c>
      <c r="F40" s="256">
        <f t="shared" si="1"/>
        <v>959.8496879700001</v>
      </c>
      <c r="G40" s="256">
        <f t="shared" si="1"/>
        <v>1074.92194705</v>
      </c>
      <c r="H40" s="256">
        <f t="shared" si="1"/>
        <v>91.432232020000015</v>
      </c>
      <c r="I40" s="256">
        <f t="shared" si="1"/>
        <v>983.48971503000007</v>
      </c>
      <c r="J40" s="256">
        <f t="shared" si="1"/>
        <v>123.13769679000001</v>
      </c>
      <c r="K40" s="256">
        <f t="shared" si="1"/>
        <v>860.35031878000007</v>
      </c>
      <c r="L40" s="256">
        <f t="shared" si="1"/>
        <v>14786.129995599997</v>
      </c>
      <c r="M40" s="256">
        <f t="shared" si="1"/>
        <v>1276.19195476</v>
      </c>
      <c r="N40" s="256">
        <f t="shared" si="1"/>
        <v>13509.938040840001</v>
      </c>
      <c r="O40" s="256">
        <f t="shared" si="1"/>
        <v>797.6262041</v>
      </c>
      <c r="P40" s="256">
        <f t="shared" si="1"/>
        <v>12703.344017109999</v>
      </c>
      <c r="V40" s="256">
        <f t="shared" si="1"/>
        <v>13705.583576989999</v>
      </c>
      <c r="W40" s="256">
        <f t="shared" si="1"/>
        <v>1185.9053000399997</v>
      </c>
      <c r="X40" s="256">
        <f t="shared" si="1"/>
        <v>12519.678276950001</v>
      </c>
      <c r="Y40" s="256">
        <f t="shared" si="1"/>
        <v>669.70363709000003</v>
      </c>
      <c r="Z40" s="256">
        <f t="shared" si="1"/>
        <v>11841.008519690002</v>
      </c>
    </row>
    <row r="41" spans="1:31" hidden="1" x14ac:dyDescent="0.25">
      <c r="B41" s="256">
        <f t="shared" ref="B41" si="2">B37/1000</f>
        <v>2601.4083087700001</v>
      </c>
      <c r="C41" s="256">
        <f t="shared" ref="C41:Z41" si="3">C37/1000</f>
        <v>1148.91753174</v>
      </c>
      <c r="D41" s="256">
        <f t="shared" si="3"/>
        <v>1452.4907770299999</v>
      </c>
      <c r="E41" s="256">
        <f t="shared" si="3"/>
        <v>519.62556131999997</v>
      </c>
      <c r="F41" s="256">
        <f t="shared" si="3"/>
        <v>932.86521570999992</v>
      </c>
      <c r="G41" s="256">
        <f t="shared" si="3"/>
        <v>24.391050710000055</v>
      </c>
      <c r="H41" s="256">
        <f t="shared" si="3"/>
        <v>-699.39614232000008</v>
      </c>
      <c r="I41" s="256">
        <f t="shared" si="3"/>
        <v>723.78719302999991</v>
      </c>
      <c r="J41" s="256">
        <f t="shared" si="3"/>
        <v>60.712947640000017</v>
      </c>
      <c r="K41" s="256">
        <f t="shared" si="3"/>
        <v>663.0742454199999</v>
      </c>
      <c r="L41" s="256">
        <f t="shared" si="3"/>
        <v>16766.48432965</v>
      </c>
      <c r="M41" s="256">
        <f t="shared" si="3"/>
        <v>9490.3457543100012</v>
      </c>
      <c r="N41" s="256">
        <f t="shared" si="3"/>
        <v>7276.13857534</v>
      </c>
      <c r="O41" s="256">
        <f t="shared" si="3"/>
        <v>796.66647783999997</v>
      </c>
      <c r="P41" s="256">
        <f t="shared" si="3"/>
        <v>6468.1708974999983</v>
      </c>
      <c r="V41" s="256">
        <f t="shared" si="3"/>
        <v>16728.824971620001</v>
      </c>
      <c r="W41" s="256">
        <f t="shared" si="3"/>
        <v>10200.56357147</v>
      </c>
      <c r="X41" s="256">
        <f t="shared" si="3"/>
        <v>6528.2614001499987</v>
      </c>
      <c r="Y41" s="256">
        <f t="shared" si="3"/>
        <v>731.13267793</v>
      </c>
      <c r="Z41" s="256">
        <f t="shared" si="3"/>
        <v>5785.8275221899985</v>
      </c>
    </row>
    <row r="42" spans="1:31" hidden="1" x14ac:dyDescent="0.25">
      <c r="B42" s="256">
        <f t="shared" si="0"/>
        <v>3936.0661061399996</v>
      </c>
      <c r="C42" s="256">
        <f t="shared" ref="C42:Z42" si="4">C38/1000</f>
        <v>1363.22960577</v>
      </c>
      <c r="D42" s="256">
        <f t="shared" si="4"/>
        <v>2572.8365003699996</v>
      </c>
      <c r="E42" s="256">
        <f t="shared" si="4"/>
        <v>679.76798723000002</v>
      </c>
      <c r="F42" s="256">
        <f t="shared" si="4"/>
        <v>1892.7149036799999</v>
      </c>
      <c r="G42" s="256">
        <f t="shared" si="4"/>
        <v>1099.3129977600001</v>
      </c>
      <c r="H42" s="256">
        <f t="shared" si="4"/>
        <v>-607.96391030000007</v>
      </c>
      <c r="I42" s="256">
        <f t="shared" si="4"/>
        <v>1707.2769080600001</v>
      </c>
      <c r="J42" s="256">
        <f t="shared" si="4"/>
        <v>183.85064443000002</v>
      </c>
      <c r="K42" s="256">
        <f t="shared" si="4"/>
        <v>1523.4245641999998</v>
      </c>
      <c r="L42" s="256">
        <f t="shared" si="4"/>
        <v>31552.614325249997</v>
      </c>
      <c r="M42" s="256">
        <f t="shared" si="4"/>
        <v>10766.53770907</v>
      </c>
      <c r="N42" s="256">
        <f t="shared" si="4"/>
        <v>20786.076616180002</v>
      </c>
      <c r="O42" s="256">
        <f t="shared" si="4"/>
        <v>1594.29268194</v>
      </c>
      <c r="P42" s="256">
        <f t="shared" si="4"/>
        <v>19171.514914609998</v>
      </c>
      <c r="V42" s="256">
        <f t="shared" si="4"/>
        <v>30434.408548609998</v>
      </c>
      <c r="W42" s="256">
        <f t="shared" si="4"/>
        <v>11386.468871509998</v>
      </c>
      <c r="X42" s="256">
        <f t="shared" si="4"/>
        <v>19047.939677099999</v>
      </c>
      <c r="Y42" s="256">
        <f t="shared" si="4"/>
        <v>1400.83631502</v>
      </c>
      <c r="Z42" s="256">
        <f t="shared" si="4"/>
        <v>17626.83604188</v>
      </c>
    </row>
    <row r="43" spans="1:31" hidden="1" x14ac:dyDescent="0.25">
      <c r="E43" s="256">
        <f>E38/D38%</f>
        <v>26.420955514749675</v>
      </c>
      <c r="F43" s="256">
        <f>F38/D38%</f>
        <v>73.565300531448798</v>
      </c>
      <c r="P43" s="256">
        <f>P38/L38%</f>
        <v>60.760464147238608</v>
      </c>
    </row>
  </sheetData>
  <autoFilter ref="A9:AE38"/>
  <mergeCells count="45">
    <mergeCell ref="A4:A8"/>
    <mergeCell ref="L6:L8"/>
    <mergeCell ref="Q6:Q8"/>
    <mergeCell ref="W6:Z6"/>
    <mergeCell ref="AA6:AA8"/>
    <mergeCell ref="V6:V8"/>
    <mergeCell ref="D6:D8"/>
    <mergeCell ref="G6:G8"/>
    <mergeCell ref="E7:E8"/>
    <mergeCell ref="J7:K7"/>
    <mergeCell ref="O7:P7"/>
    <mergeCell ref="T7:U7"/>
    <mergeCell ref="B5:B8"/>
    <mergeCell ref="C6:C8"/>
    <mergeCell ref="C5:F5"/>
    <mergeCell ref="F7:F8"/>
    <mergeCell ref="H7:H8"/>
    <mergeCell ref="I7:I8"/>
    <mergeCell ref="G5:K5"/>
    <mergeCell ref="H6:K6"/>
    <mergeCell ref="Q5:U5"/>
    <mergeCell ref="E6:F6"/>
    <mergeCell ref="W7:W8"/>
    <mergeCell ref="X7:X8"/>
    <mergeCell ref="V5:Z5"/>
    <mergeCell ref="AB6:AE6"/>
    <mergeCell ref="AB7:AB8"/>
    <mergeCell ref="AC7:AC8"/>
    <mergeCell ref="Y7:Z7"/>
    <mergeCell ref="AD7:AE7"/>
    <mergeCell ref="L5:P5"/>
    <mergeCell ref="M6:P6"/>
    <mergeCell ref="M7:M8"/>
    <mergeCell ref="N7:N8"/>
    <mergeCell ref="R6:U6"/>
    <mergeCell ref="R7:R8"/>
    <mergeCell ref="S7:S8"/>
    <mergeCell ref="J1:K1"/>
    <mergeCell ref="T1:U1"/>
    <mergeCell ref="AD1:AE1"/>
    <mergeCell ref="V4:AE4"/>
    <mergeCell ref="AA5:AE5"/>
    <mergeCell ref="B2:K2"/>
    <mergeCell ref="L4:U4"/>
    <mergeCell ref="B4:K4"/>
  </mergeCells>
  <conditionalFormatting sqref="B10:AE38">
    <cfRule type="cellIs" dxfId="3" priority="1" operator="equal">
      <formula>0</formula>
    </cfRule>
  </conditionalFormatting>
  <printOptions horizontalCentered="1"/>
  <pageMargins left="0" right="0" top="0.55118110236220474" bottom="0.35433070866141736" header="0.31496062992125984" footer="0.11811023622047245"/>
  <pageSetup paperSize="9" scale="96" fitToWidth="100" orientation="landscape" r:id="rId1"/>
  <headerFooter>
    <oddFooter>&amp;C&amp;9Страница  &amp;P из &amp;N</oddFooter>
  </headerFooter>
  <colBreaks count="2" manualBreakCount="2">
    <brk id="11" max="37" man="1"/>
    <brk id="21" max="3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E29"/>
  <sheetViews>
    <sheetView zoomScaleNormal="100" workbookViewId="0">
      <pane xSplit="1" ySplit="10" topLeftCell="B11" activePane="bottomRight" state="frozen"/>
      <selection activeCell="A188" sqref="A188"/>
      <selection pane="topRight" activeCell="A188" sqref="A188"/>
      <selection pane="bottomLeft" activeCell="A188" sqref="A188"/>
      <selection pane="bottomRight" activeCell="I8" sqref="I8:I9"/>
    </sheetView>
  </sheetViews>
  <sheetFormatPr defaultColWidth="9.109375" defaultRowHeight="13.2" x14ac:dyDescent="0.25"/>
  <cols>
    <col min="1" max="1" width="21.33203125" style="269" customWidth="1"/>
    <col min="2" max="3" width="11.109375" style="270" customWidth="1"/>
    <col min="4" max="4" width="11" style="270" customWidth="1"/>
    <col min="5" max="6" width="10" style="270" customWidth="1"/>
    <col min="7" max="7" width="10.33203125" style="270" bestFit="1" customWidth="1"/>
    <col min="8" max="8" width="10.6640625" style="270" customWidth="1"/>
    <col min="9" max="9" width="10" style="270" customWidth="1"/>
    <col min="10" max="10" width="9.88671875" style="270" customWidth="1"/>
    <col min="11" max="12" width="12.33203125" style="270" bestFit="1" customWidth="1"/>
    <col min="13" max="13" width="12.33203125" style="270" customWidth="1"/>
    <col min="14" max="14" width="12.33203125" style="268" bestFit="1" customWidth="1"/>
    <col min="15" max="15" width="11.109375" style="268" customWidth="1"/>
    <col min="16" max="16" width="12.33203125" style="268" bestFit="1" customWidth="1"/>
    <col min="17" max="17" width="6.33203125" style="268" bestFit="1" customWidth="1"/>
    <col min="18" max="18" width="7.109375" style="268" customWidth="1"/>
    <col min="19" max="19" width="7.33203125" style="268" customWidth="1"/>
    <col min="20" max="20" width="6.109375" style="268" bestFit="1" customWidth="1"/>
    <col min="21" max="21" width="8" style="268" bestFit="1" customWidth="1"/>
    <col min="22" max="22" width="12.33203125" style="268" bestFit="1" customWidth="1"/>
    <col min="23" max="23" width="12.88671875" style="268" customWidth="1"/>
    <col min="24" max="24" width="12.33203125" style="268" bestFit="1" customWidth="1"/>
    <col min="25" max="25" width="11.33203125" style="268" bestFit="1" customWidth="1"/>
    <col min="26" max="26" width="12.33203125" style="268" bestFit="1" customWidth="1"/>
    <col min="27" max="27" width="7.33203125" style="268" bestFit="1" customWidth="1"/>
    <col min="28" max="28" width="6.6640625" style="268" customWidth="1"/>
    <col min="29" max="29" width="8" style="268" customWidth="1"/>
    <col min="30" max="30" width="7.33203125" style="268" bestFit="1" customWidth="1"/>
    <col min="31" max="31" width="7.6640625" style="268" customWidth="1"/>
    <col min="32" max="16384" width="9.109375" style="268"/>
  </cols>
  <sheetData>
    <row r="1" spans="1:31" s="264" customFormat="1" ht="12.75" customHeight="1" x14ac:dyDescent="0.25">
      <c r="A1" s="255"/>
      <c r="B1" s="256"/>
      <c r="C1" s="256"/>
      <c r="D1" s="256"/>
      <c r="E1" s="256"/>
      <c r="F1" s="256"/>
      <c r="G1" s="256"/>
      <c r="H1" s="256"/>
      <c r="I1" s="256"/>
      <c r="J1" s="588" t="s">
        <v>1172</v>
      </c>
      <c r="K1" s="588"/>
      <c r="L1" s="256"/>
      <c r="M1" s="256"/>
      <c r="S1" s="588" t="s">
        <v>1172</v>
      </c>
      <c r="T1" s="588"/>
      <c r="U1" s="588"/>
      <c r="AD1" s="588" t="s">
        <v>1172</v>
      </c>
      <c r="AE1" s="588"/>
    </row>
    <row r="2" spans="1:31" s="264" customFormat="1" x14ac:dyDescent="0.25">
      <c r="A2" s="255"/>
      <c r="B2" s="256"/>
      <c r="C2" s="256"/>
      <c r="D2" s="256"/>
      <c r="E2" s="256"/>
      <c r="F2" s="256"/>
      <c r="G2" s="256"/>
      <c r="H2" s="256"/>
      <c r="I2" s="256"/>
      <c r="J2" s="256"/>
      <c r="K2" s="256"/>
      <c r="L2" s="256"/>
      <c r="M2" s="256"/>
    </row>
    <row r="3" spans="1:31" s="265" customFormat="1" ht="42.75" customHeight="1" x14ac:dyDescent="0.25">
      <c r="A3" s="337"/>
      <c r="B3" s="575" t="s">
        <v>479</v>
      </c>
      <c r="C3" s="575"/>
      <c r="D3" s="575"/>
      <c r="E3" s="575"/>
      <c r="F3" s="575"/>
      <c r="G3" s="575"/>
      <c r="H3" s="575"/>
      <c r="I3" s="575"/>
      <c r="J3" s="575"/>
      <c r="K3" s="575"/>
      <c r="L3" s="337"/>
      <c r="M3" s="337"/>
    </row>
    <row r="4" spans="1:31" s="265" customFormat="1" ht="24" customHeight="1" thickBot="1" x14ac:dyDescent="0.3">
      <c r="A4" s="255"/>
      <c r="B4" s="255"/>
      <c r="C4" s="255"/>
      <c r="D4" s="255"/>
      <c r="E4" s="255"/>
      <c r="F4" s="255"/>
      <c r="G4" s="255"/>
      <c r="H4" s="255"/>
      <c r="I4" s="255"/>
      <c r="J4" s="255"/>
      <c r="K4" s="255"/>
      <c r="L4" s="343"/>
      <c r="M4" s="343"/>
    </row>
    <row r="5" spans="1:31" s="199" customFormat="1" ht="13.5" customHeight="1" thickTop="1" x14ac:dyDescent="0.25">
      <c r="A5" s="580" t="s">
        <v>323</v>
      </c>
      <c r="B5" s="522" t="s">
        <v>401</v>
      </c>
      <c r="C5" s="522"/>
      <c r="D5" s="522"/>
      <c r="E5" s="522"/>
      <c r="F5" s="522"/>
      <c r="G5" s="522"/>
      <c r="H5" s="522"/>
      <c r="I5" s="522"/>
      <c r="J5" s="522"/>
      <c r="K5" s="522"/>
      <c r="L5" s="522" t="s">
        <v>324</v>
      </c>
      <c r="M5" s="522"/>
      <c r="N5" s="522"/>
      <c r="O5" s="522"/>
      <c r="P5" s="522"/>
      <c r="Q5" s="522"/>
      <c r="R5" s="522"/>
      <c r="S5" s="522"/>
      <c r="T5" s="522"/>
      <c r="U5" s="522"/>
      <c r="V5" s="522" t="s">
        <v>325</v>
      </c>
      <c r="W5" s="522"/>
      <c r="X5" s="522"/>
      <c r="Y5" s="522"/>
      <c r="Z5" s="522"/>
      <c r="AA5" s="522"/>
      <c r="AB5" s="522"/>
      <c r="AC5" s="522"/>
      <c r="AD5" s="522"/>
      <c r="AE5" s="523"/>
    </row>
    <row r="6" spans="1:31" s="199" customFormat="1" x14ac:dyDescent="0.25">
      <c r="A6" s="581"/>
      <c r="B6" s="524" t="s">
        <v>444</v>
      </c>
      <c r="C6" s="524" t="s">
        <v>9</v>
      </c>
      <c r="D6" s="524"/>
      <c r="E6" s="524"/>
      <c r="F6" s="524"/>
      <c r="G6" s="524" t="s">
        <v>480</v>
      </c>
      <c r="H6" s="524"/>
      <c r="I6" s="524"/>
      <c r="J6" s="524"/>
      <c r="K6" s="524"/>
      <c r="L6" s="524" t="s">
        <v>447</v>
      </c>
      <c r="M6" s="524"/>
      <c r="N6" s="524"/>
      <c r="O6" s="524"/>
      <c r="P6" s="524"/>
      <c r="Q6" s="524" t="s">
        <v>384</v>
      </c>
      <c r="R6" s="524"/>
      <c r="S6" s="524"/>
      <c r="T6" s="524"/>
      <c r="U6" s="524"/>
      <c r="V6" s="524" t="s">
        <v>481</v>
      </c>
      <c r="W6" s="524"/>
      <c r="X6" s="524"/>
      <c r="Y6" s="524"/>
      <c r="Z6" s="524"/>
      <c r="AA6" s="524" t="s">
        <v>384</v>
      </c>
      <c r="AB6" s="524"/>
      <c r="AC6" s="524"/>
      <c r="AD6" s="524"/>
      <c r="AE6" s="525"/>
    </row>
    <row r="7" spans="1:31" s="199" customFormat="1" ht="12.75" customHeight="1" x14ac:dyDescent="0.25">
      <c r="A7" s="581"/>
      <c r="B7" s="524"/>
      <c r="C7" s="524" t="s">
        <v>397</v>
      </c>
      <c r="D7" s="524" t="s">
        <v>326</v>
      </c>
      <c r="E7" s="524" t="s">
        <v>403</v>
      </c>
      <c r="F7" s="524"/>
      <c r="G7" s="524" t="s">
        <v>192</v>
      </c>
      <c r="H7" s="524" t="s">
        <v>9</v>
      </c>
      <c r="I7" s="524"/>
      <c r="J7" s="524"/>
      <c r="K7" s="524"/>
      <c r="L7" s="524" t="s">
        <v>192</v>
      </c>
      <c r="M7" s="524" t="s">
        <v>9</v>
      </c>
      <c r="N7" s="524"/>
      <c r="O7" s="524"/>
      <c r="P7" s="524"/>
      <c r="Q7" s="524" t="s">
        <v>192</v>
      </c>
      <c r="R7" s="524" t="s">
        <v>9</v>
      </c>
      <c r="S7" s="524"/>
      <c r="T7" s="524"/>
      <c r="U7" s="524"/>
      <c r="V7" s="524" t="s">
        <v>192</v>
      </c>
      <c r="W7" s="524" t="s">
        <v>9</v>
      </c>
      <c r="X7" s="524"/>
      <c r="Y7" s="524"/>
      <c r="Z7" s="524"/>
      <c r="AA7" s="524" t="s">
        <v>192</v>
      </c>
      <c r="AB7" s="524" t="s">
        <v>9</v>
      </c>
      <c r="AC7" s="524"/>
      <c r="AD7" s="524"/>
      <c r="AE7" s="525"/>
    </row>
    <row r="8" spans="1:31" s="199" customFormat="1" x14ac:dyDescent="0.25">
      <c r="A8" s="581"/>
      <c r="B8" s="524"/>
      <c r="C8" s="524"/>
      <c r="D8" s="524"/>
      <c r="E8" s="524" t="s">
        <v>400</v>
      </c>
      <c r="F8" s="524" t="s">
        <v>398</v>
      </c>
      <c r="G8" s="524"/>
      <c r="H8" s="524" t="s">
        <v>397</v>
      </c>
      <c r="I8" s="524" t="s">
        <v>326</v>
      </c>
      <c r="J8" s="524" t="s">
        <v>403</v>
      </c>
      <c r="K8" s="524"/>
      <c r="L8" s="524"/>
      <c r="M8" s="524" t="s">
        <v>397</v>
      </c>
      <c r="N8" s="524" t="s">
        <v>329</v>
      </c>
      <c r="O8" s="524" t="s">
        <v>403</v>
      </c>
      <c r="P8" s="524"/>
      <c r="Q8" s="524"/>
      <c r="R8" s="577" t="s">
        <v>402</v>
      </c>
      <c r="S8" s="577" t="s">
        <v>326</v>
      </c>
      <c r="T8" s="577" t="s">
        <v>403</v>
      </c>
      <c r="U8" s="577"/>
      <c r="V8" s="524"/>
      <c r="W8" s="524" t="s">
        <v>397</v>
      </c>
      <c r="X8" s="524" t="s">
        <v>329</v>
      </c>
      <c r="Y8" s="524" t="s">
        <v>403</v>
      </c>
      <c r="Z8" s="524"/>
      <c r="AA8" s="524"/>
      <c r="AB8" s="577" t="s">
        <v>402</v>
      </c>
      <c r="AC8" s="577" t="s">
        <v>326</v>
      </c>
      <c r="AD8" s="577" t="s">
        <v>403</v>
      </c>
      <c r="AE8" s="587"/>
    </row>
    <row r="9" spans="1:31" s="332" customFormat="1" ht="38.25" customHeight="1" x14ac:dyDescent="0.25">
      <c r="A9" s="581"/>
      <c r="B9" s="524"/>
      <c r="C9" s="524"/>
      <c r="D9" s="524"/>
      <c r="E9" s="524"/>
      <c r="F9" s="524"/>
      <c r="G9" s="524"/>
      <c r="H9" s="524"/>
      <c r="I9" s="524"/>
      <c r="J9" s="330" t="s">
        <v>400</v>
      </c>
      <c r="K9" s="330" t="s">
        <v>398</v>
      </c>
      <c r="L9" s="524"/>
      <c r="M9" s="524"/>
      <c r="N9" s="524"/>
      <c r="O9" s="330" t="s">
        <v>400</v>
      </c>
      <c r="P9" s="330" t="s">
        <v>398</v>
      </c>
      <c r="Q9" s="524"/>
      <c r="R9" s="577"/>
      <c r="S9" s="577"/>
      <c r="T9" s="334" t="s">
        <v>400</v>
      </c>
      <c r="U9" s="334" t="s">
        <v>398</v>
      </c>
      <c r="V9" s="524"/>
      <c r="W9" s="524"/>
      <c r="X9" s="524"/>
      <c r="Y9" s="330" t="s">
        <v>400</v>
      </c>
      <c r="Z9" s="330" t="s">
        <v>398</v>
      </c>
      <c r="AA9" s="524"/>
      <c r="AB9" s="577"/>
      <c r="AC9" s="577"/>
      <c r="AD9" s="334" t="s">
        <v>400</v>
      </c>
      <c r="AE9" s="335" t="s">
        <v>398</v>
      </c>
    </row>
    <row r="10" spans="1:31" s="271" customFormat="1" ht="10.199999999999999" x14ac:dyDescent="0.25">
      <c r="A10" s="224">
        <v>1</v>
      </c>
      <c r="B10" s="348">
        <v>2</v>
      </c>
      <c r="C10" s="348">
        <v>3</v>
      </c>
      <c r="D10" s="348">
        <v>4</v>
      </c>
      <c r="E10" s="348">
        <v>5</v>
      </c>
      <c r="F10" s="348">
        <v>6</v>
      </c>
      <c r="G10" s="348">
        <v>7</v>
      </c>
      <c r="H10" s="348">
        <v>8</v>
      </c>
      <c r="I10" s="348">
        <v>9</v>
      </c>
      <c r="J10" s="348">
        <v>10</v>
      </c>
      <c r="K10" s="348">
        <v>11</v>
      </c>
      <c r="L10" s="348">
        <v>12</v>
      </c>
      <c r="M10" s="348">
        <v>13</v>
      </c>
      <c r="N10" s="348">
        <v>14</v>
      </c>
      <c r="O10" s="348">
        <v>15</v>
      </c>
      <c r="P10" s="348">
        <v>16</v>
      </c>
      <c r="Q10" s="348">
        <v>17</v>
      </c>
      <c r="R10" s="348">
        <v>18</v>
      </c>
      <c r="S10" s="348">
        <v>19</v>
      </c>
      <c r="T10" s="348">
        <v>20</v>
      </c>
      <c r="U10" s="348">
        <v>21</v>
      </c>
      <c r="V10" s="348">
        <v>22</v>
      </c>
      <c r="W10" s="348">
        <v>23</v>
      </c>
      <c r="X10" s="348">
        <v>24</v>
      </c>
      <c r="Y10" s="348">
        <v>25</v>
      </c>
      <c r="Z10" s="348">
        <v>26</v>
      </c>
      <c r="AA10" s="348">
        <v>27</v>
      </c>
      <c r="AB10" s="348">
        <v>28</v>
      </c>
      <c r="AC10" s="348">
        <v>29</v>
      </c>
      <c r="AD10" s="348">
        <v>30</v>
      </c>
      <c r="AE10" s="349">
        <v>31</v>
      </c>
    </row>
    <row r="11" spans="1:31" s="264" customFormat="1" x14ac:dyDescent="0.25">
      <c r="A11" s="257" t="s">
        <v>404</v>
      </c>
      <c r="B11" s="206">
        <v>12825.89407</v>
      </c>
      <c r="C11" s="206">
        <v>12437.38085</v>
      </c>
      <c r="D11" s="206">
        <v>388.51321999999999</v>
      </c>
      <c r="E11" s="206">
        <v>0</v>
      </c>
      <c r="F11" s="206">
        <v>388.51321999999999</v>
      </c>
      <c r="G11" s="206">
        <v>-8151.9561000000012</v>
      </c>
      <c r="H11" s="206">
        <v>-8540.469320000002</v>
      </c>
      <c r="I11" s="206">
        <v>388.51321999999999</v>
      </c>
      <c r="J11" s="206">
        <v>0</v>
      </c>
      <c r="K11" s="206">
        <v>388.51321999999999</v>
      </c>
      <c r="L11" s="206">
        <v>33429.990030000001</v>
      </c>
      <c r="M11" s="206">
        <v>28505.190030000002</v>
      </c>
      <c r="N11" s="206">
        <v>4924.8</v>
      </c>
      <c r="O11" s="206">
        <v>0</v>
      </c>
      <c r="P11" s="206">
        <v>4924.8</v>
      </c>
      <c r="Q11" s="206">
        <v>40.0491660025248</v>
      </c>
      <c r="R11" s="206">
        <v>39.523146509545711</v>
      </c>
      <c r="S11" s="206">
        <v>43.391837597800802</v>
      </c>
      <c r="T11" s="206">
        <v>0</v>
      </c>
      <c r="U11" s="206">
        <v>50</v>
      </c>
      <c r="V11" s="206">
        <v>41509.386129999999</v>
      </c>
      <c r="W11" s="206">
        <v>36973.099349999997</v>
      </c>
      <c r="X11" s="206">
        <v>4536.2867800000004</v>
      </c>
      <c r="Y11" s="206">
        <v>0</v>
      </c>
      <c r="Z11" s="206">
        <v>4536.2867800000004</v>
      </c>
      <c r="AA11" s="206">
        <v>47.286430138775202</v>
      </c>
      <c r="AB11" s="206">
        <v>48.373043181066585</v>
      </c>
      <c r="AC11" s="206">
        <v>39.968692993585698</v>
      </c>
      <c r="AD11" s="206">
        <v>0</v>
      </c>
      <c r="AE11" s="207">
        <v>46.055543169265754</v>
      </c>
    </row>
    <row r="12" spans="1:31" s="264" customFormat="1" x14ac:dyDescent="0.25">
      <c r="A12" s="266" t="s">
        <v>405</v>
      </c>
      <c r="B12" s="206">
        <v>62066.153109999999</v>
      </c>
      <c r="C12" s="206">
        <v>11812.702719999999</v>
      </c>
      <c r="D12" s="206">
        <v>50253.450389999998</v>
      </c>
      <c r="E12" s="206">
        <v>3864.3763300000001</v>
      </c>
      <c r="F12" s="206">
        <v>46389.074059999999</v>
      </c>
      <c r="G12" s="206">
        <v>33994.949330000003</v>
      </c>
      <c r="H12" s="206">
        <v>-9703.4092199999996</v>
      </c>
      <c r="I12" s="206">
        <v>43698.358549999997</v>
      </c>
      <c r="J12" s="206">
        <v>68.976520000000164</v>
      </c>
      <c r="K12" s="206">
        <v>43629.382030000001</v>
      </c>
      <c r="L12" s="206">
        <v>225463.73779000001</v>
      </c>
      <c r="M12" s="206">
        <v>16209.544260000001</v>
      </c>
      <c r="N12" s="206">
        <v>209254.19353000002</v>
      </c>
      <c r="O12" s="206">
        <v>1434.1</v>
      </c>
      <c r="P12" s="206">
        <v>207820.09353000001</v>
      </c>
      <c r="Q12" s="206">
        <v>52.648499867343979</v>
      </c>
      <c r="R12" s="206">
        <v>27.704042113493763</v>
      </c>
      <c r="S12" s="206">
        <v>56.595913508088529</v>
      </c>
      <c r="T12" s="206">
        <v>42.551108209951629</v>
      </c>
      <c r="U12" s="206">
        <v>56.725116372778082</v>
      </c>
      <c r="V12" s="206">
        <v>191387.38109000001</v>
      </c>
      <c r="W12" s="206">
        <v>25864.598330000001</v>
      </c>
      <c r="X12" s="206">
        <v>165522.78276</v>
      </c>
      <c r="Y12" s="206">
        <v>1365.12348</v>
      </c>
      <c r="Z12" s="206">
        <v>164157.65927999999</v>
      </c>
      <c r="AA12" s="206">
        <v>41.94197819165062</v>
      </c>
      <c r="AB12" s="206">
        <v>32.320330964788972</v>
      </c>
      <c r="AC12" s="206">
        <v>43.988225061006851</v>
      </c>
      <c r="AD12" s="206">
        <v>19.050804753150832</v>
      </c>
      <c r="AE12" s="207">
        <v>44.472329273042789</v>
      </c>
    </row>
    <row r="13" spans="1:31" s="264" customFormat="1" x14ac:dyDescent="0.25">
      <c r="A13" s="266" t="s">
        <v>406</v>
      </c>
      <c r="B13" s="206">
        <v>1340739.95762</v>
      </c>
      <c r="C13" s="206">
        <v>889311.29517000006</v>
      </c>
      <c r="D13" s="206">
        <v>451428.66245</v>
      </c>
      <c r="E13" s="206">
        <v>56840.464260000001</v>
      </c>
      <c r="F13" s="206">
        <v>394588.19819000002</v>
      </c>
      <c r="G13" s="206">
        <v>-677245.03804000001</v>
      </c>
      <c r="H13" s="206">
        <v>-780397.56324000005</v>
      </c>
      <c r="I13" s="206">
        <v>103152.52520000003</v>
      </c>
      <c r="J13" s="206">
        <v>-58153.069949999997</v>
      </c>
      <c r="K13" s="206">
        <v>161305.59515000004</v>
      </c>
      <c r="L13" s="206">
        <v>10540457.272380002</v>
      </c>
      <c r="M13" s="206">
        <v>8635641.3367600013</v>
      </c>
      <c r="N13" s="206">
        <v>1904815.9356199999</v>
      </c>
      <c r="O13" s="206">
        <v>138631.83934000001</v>
      </c>
      <c r="P13" s="206">
        <v>1766184.0962799999</v>
      </c>
      <c r="Q13" s="206">
        <v>43.815484333656848</v>
      </c>
      <c r="R13" s="206">
        <v>42.868258975619561</v>
      </c>
      <c r="S13" s="206">
        <v>48.693335886376168</v>
      </c>
      <c r="T13" s="206">
        <v>26.761167358313187</v>
      </c>
      <c r="U13" s="206">
        <v>52.041060076880484</v>
      </c>
      <c r="V13" s="206">
        <v>11208621.116949998</v>
      </c>
      <c r="W13" s="206">
        <v>9421420.9636399988</v>
      </c>
      <c r="X13" s="206">
        <v>1787200.15331</v>
      </c>
      <c r="Y13" s="206">
        <v>195672.80299</v>
      </c>
      <c r="Z13" s="206">
        <v>1591527.35032</v>
      </c>
      <c r="AA13" s="206">
        <v>43.052388138479742</v>
      </c>
      <c r="AB13" s="206">
        <v>43.256284870539289</v>
      </c>
      <c r="AC13" s="206">
        <v>42.008529372166215</v>
      </c>
      <c r="AD13" s="206">
        <v>30.967553602174942</v>
      </c>
      <c r="AE13" s="207">
        <v>43.934374533359822</v>
      </c>
    </row>
    <row r="14" spans="1:31" s="264" customFormat="1" ht="26.4" x14ac:dyDescent="0.25">
      <c r="A14" s="266" t="s">
        <v>407</v>
      </c>
      <c r="B14" s="206">
        <v>17536.44757</v>
      </c>
      <c r="C14" s="206">
        <v>443.07161000000002</v>
      </c>
      <c r="D14" s="206">
        <v>17093.375960000001</v>
      </c>
      <c r="E14" s="206">
        <v>16526.584750000002</v>
      </c>
      <c r="F14" s="206">
        <v>566.79120999999998</v>
      </c>
      <c r="G14" s="206">
        <v>17045.3</v>
      </c>
      <c r="H14" s="206">
        <v>-41.400759999999991</v>
      </c>
      <c r="I14" s="206">
        <v>17086.70076</v>
      </c>
      <c r="J14" s="206">
        <v>16519.90955</v>
      </c>
      <c r="K14" s="206">
        <v>566.79120999999998</v>
      </c>
      <c r="L14" s="206">
        <v>20741.894510000002</v>
      </c>
      <c r="M14" s="206">
        <v>281.54451</v>
      </c>
      <c r="N14" s="206">
        <v>20460.350000000002</v>
      </c>
      <c r="O14" s="206">
        <v>18359.400000000001</v>
      </c>
      <c r="P14" s="206">
        <v>2100.9499999999998</v>
      </c>
      <c r="Q14" s="206">
        <v>41.879104625269335</v>
      </c>
      <c r="R14" s="206">
        <v>30.094729537811727</v>
      </c>
      <c r="S14" s="206">
        <v>42.105983433657464</v>
      </c>
      <c r="T14" s="206">
        <v>41.358756133055202</v>
      </c>
      <c r="U14" s="206">
        <v>50</v>
      </c>
      <c r="V14" s="206">
        <v>3696.5945099999999</v>
      </c>
      <c r="W14" s="206">
        <v>322.94526999999999</v>
      </c>
      <c r="X14" s="206">
        <v>3373.6492399999997</v>
      </c>
      <c r="Y14" s="206">
        <v>1839.49045</v>
      </c>
      <c r="Z14" s="206">
        <v>1534.15879</v>
      </c>
      <c r="AA14" s="216">
        <v>7.3903547893768557</v>
      </c>
      <c r="AB14" s="206">
        <v>22.742624647887325</v>
      </c>
      <c r="AC14" s="216">
        <v>6.9417829132211279</v>
      </c>
      <c r="AD14" s="206">
        <v>4.1432507776963758</v>
      </c>
      <c r="AE14" s="207">
        <v>36.511073323972489</v>
      </c>
    </row>
    <row r="15" spans="1:31" s="264" customFormat="1" x14ac:dyDescent="0.25">
      <c r="A15" s="266" t="s">
        <v>408</v>
      </c>
      <c r="B15" s="206">
        <v>126300.78358</v>
      </c>
      <c r="C15" s="206">
        <v>24173.667839999998</v>
      </c>
      <c r="D15" s="206">
        <v>102127.11574000001</v>
      </c>
      <c r="E15" s="206">
        <v>21079.04176</v>
      </c>
      <c r="F15" s="206">
        <v>81048.073980000001</v>
      </c>
      <c r="G15" s="206">
        <v>81435.676390000008</v>
      </c>
      <c r="H15" s="206">
        <v>15193.324179999998</v>
      </c>
      <c r="I15" s="206">
        <v>66242.352210000012</v>
      </c>
      <c r="J15" s="206">
        <v>-13123.808940000003</v>
      </c>
      <c r="K15" s="206">
        <v>79366.161179999996</v>
      </c>
      <c r="L15" s="206">
        <v>698616.26462999999</v>
      </c>
      <c r="M15" s="206">
        <v>105087.63089</v>
      </c>
      <c r="N15" s="206">
        <v>593528.63373999996</v>
      </c>
      <c r="O15" s="206">
        <v>32875.515740000003</v>
      </c>
      <c r="P15" s="206">
        <v>549351.91799999995</v>
      </c>
      <c r="Q15" s="216">
        <v>58.08244256979669</v>
      </c>
      <c r="R15" s="206">
        <v>63.850979330767949</v>
      </c>
      <c r="S15" s="216">
        <v>57.167990485352497</v>
      </c>
      <c r="T15" s="206">
        <v>74.284108215699391</v>
      </c>
      <c r="U15" s="206">
        <v>55.904531257040347</v>
      </c>
      <c r="V15" s="206">
        <v>617060.02523999999</v>
      </c>
      <c r="W15" s="206">
        <v>95661.747950000004</v>
      </c>
      <c r="X15" s="206">
        <v>521398.27729</v>
      </c>
      <c r="Y15" s="206">
        <v>45876.924679999996</v>
      </c>
      <c r="Z15" s="206">
        <v>464220.15257999999</v>
      </c>
      <c r="AA15" s="206">
        <v>49.464272675964743</v>
      </c>
      <c r="AB15" s="206">
        <v>55.134715544129335</v>
      </c>
      <c r="AC15" s="206">
        <v>48.548192207502225</v>
      </c>
      <c r="AD15" s="206">
        <v>58.563613217159599</v>
      </c>
      <c r="AE15" s="207">
        <v>47.160419155060225</v>
      </c>
    </row>
    <row r="16" spans="1:31" s="264" customFormat="1" x14ac:dyDescent="0.25">
      <c r="A16" s="266" t="s">
        <v>409</v>
      </c>
      <c r="B16" s="206">
        <v>130050.21333</v>
      </c>
      <c r="C16" s="206">
        <v>38608.555419999997</v>
      </c>
      <c r="D16" s="206">
        <v>91441.657910000009</v>
      </c>
      <c r="E16" s="206">
        <v>80065.350760000001</v>
      </c>
      <c r="F16" s="206">
        <v>11376.307150000001</v>
      </c>
      <c r="G16" s="206">
        <v>18582.725120000003</v>
      </c>
      <c r="H16" s="206">
        <v>3628.6394499999951</v>
      </c>
      <c r="I16" s="206">
        <v>14954.085670000015</v>
      </c>
      <c r="J16" s="206">
        <v>11830.212220000001</v>
      </c>
      <c r="K16" s="206">
        <v>3123.873450000001</v>
      </c>
      <c r="L16" s="206">
        <v>220305.85556999999</v>
      </c>
      <c r="M16" s="206">
        <v>40091.345569999998</v>
      </c>
      <c r="N16" s="206">
        <v>180214.50999999998</v>
      </c>
      <c r="O16" s="206">
        <v>29703.71</v>
      </c>
      <c r="P16" s="206">
        <v>150510.79999999999</v>
      </c>
      <c r="Q16" s="206">
        <v>39.197102169876601</v>
      </c>
      <c r="R16" s="206">
        <v>53.184536954912986</v>
      </c>
      <c r="S16" s="206">
        <v>37.030528411039462</v>
      </c>
      <c r="T16" s="206">
        <v>31.560978926911989</v>
      </c>
      <c r="U16" s="216">
        <v>38.341874933447862</v>
      </c>
      <c r="V16" s="206">
        <v>201426.22703000001</v>
      </c>
      <c r="W16" s="206">
        <v>36478.306120000001</v>
      </c>
      <c r="X16" s="206">
        <v>164947.92091000002</v>
      </c>
      <c r="Y16" s="206">
        <v>17531.500360000002</v>
      </c>
      <c r="Z16" s="206">
        <v>147416.42055000001</v>
      </c>
      <c r="AA16" s="206">
        <v>30.627485048972812</v>
      </c>
      <c r="AB16" s="206">
        <v>38.455614576013666</v>
      </c>
      <c r="AC16" s="206">
        <v>29.308093689754955</v>
      </c>
      <c r="AD16" s="206">
        <v>10.821349948682231</v>
      </c>
      <c r="AE16" s="207">
        <v>36.780701955892376</v>
      </c>
    </row>
    <row r="17" spans="1:31" s="264" customFormat="1" x14ac:dyDescent="0.25">
      <c r="A17" s="266" t="s">
        <v>410</v>
      </c>
      <c r="B17" s="206">
        <v>292991.51857999997</v>
      </c>
      <c r="C17" s="206">
        <v>26132.640079999997</v>
      </c>
      <c r="D17" s="206">
        <v>266858.87849999999</v>
      </c>
      <c r="E17" s="206">
        <v>98083.111059999996</v>
      </c>
      <c r="F17" s="206">
        <v>168775.76744</v>
      </c>
      <c r="G17" s="206">
        <v>237789.86617999998</v>
      </c>
      <c r="H17" s="206">
        <v>6345.9635599999965</v>
      </c>
      <c r="I17" s="206">
        <v>231443.90262000001</v>
      </c>
      <c r="J17" s="206">
        <v>72675.586230000001</v>
      </c>
      <c r="K17" s="206">
        <v>158768.31638999999</v>
      </c>
      <c r="L17" s="206">
        <v>2628043.5871299999</v>
      </c>
      <c r="M17" s="206">
        <v>144221.05523</v>
      </c>
      <c r="N17" s="206">
        <v>2483822.5318999998</v>
      </c>
      <c r="O17" s="206">
        <v>335924.1629</v>
      </c>
      <c r="P17" s="206">
        <v>2147898.3689999999</v>
      </c>
      <c r="Q17" s="206">
        <v>57.188621433602222</v>
      </c>
      <c r="R17" s="206">
        <v>58.454728419896604</v>
      </c>
      <c r="S17" s="206">
        <v>57.116788658278409</v>
      </c>
      <c r="T17" s="206">
        <v>54.639121204201984</v>
      </c>
      <c r="U17" s="206">
        <v>57.524752416536082</v>
      </c>
      <c r="V17" s="206">
        <v>2389733.0127500002</v>
      </c>
      <c r="W17" s="206">
        <v>137756.65322000001</v>
      </c>
      <c r="X17" s="206">
        <v>2251976.35953</v>
      </c>
      <c r="Y17" s="206">
        <v>262845.00358999998</v>
      </c>
      <c r="Z17" s="206">
        <v>1989131.3559399999</v>
      </c>
      <c r="AA17" s="216">
        <v>51.427496666954475</v>
      </c>
      <c r="AB17" s="206">
        <v>51.877732765010656</v>
      </c>
      <c r="AC17" s="216">
        <v>51.400208588079252</v>
      </c>
      <c r="AD17" s="206">
        <v>40.812281902169886</v>
      </c>
      <c r="AE17" s="218">
        <v>53.224820542417639</v>
      </c>
    </row>
    <row r="18" spans="1:31" s="264" customFormat="1" x14ac:dyDescent="0.25">
      <c r="A18" s="266" t="s">
        <v>411</v>
      </c>
      <c r="B18" s="206">
        <v>252.83777000000003</v>
      </c>
      <c r="C18" s="206">
        <v>32.663269999999997</v>
      </c>
      <c r="D18" s="206">
        <v>220.17450000000002</v>
      </c>
      <c r="E18" s="206">
        <v>75.425910000000002</v>
      </c>
      <c r="F18" s="206">
        <v>144.74859000000001</v>
      </c>
      <c r="G18" s="206">
        <v>-306.09540999999996</v>
      </c>
      <c r="H18" s="206">
        <v>-526.26990999999998</v>
      </c>
      <c r="I18" s="206">
        <v>220.17450000000002</v>
      </c>
      <c r="J18" s="206">
        <v>75.425910000000002</v>
      </c>
      <c r="K18" s="206">
        <v>144.74859000000001</v>
      </c>
      <c r="L18" s="206">
        <v>3595.3486499999999</v>
      </c>
      <c r="M18" s="206">
        <v>2781.0556499999998</v>
      </c>
      <c r="N18" s="206">
        <v>814.29300000000001</v>
      </c>
      <c r="O18" s="206">
        <v>500</v>
      </c>
      <c r="P18" s="206">
        <v>314.29300000000001</v>
      </c>
      <c r="Q18" s="216">
        <v>22.291137109749176</v>
      </c>
      <c r="R18" s="206">
        <v>19.160599609354815</v>
      </c>
      <c r="S18" s="206">
        <v>50.433110367892972</v>
      </c>
      <c r="T18" s="206">
        <v>50</v>
      </c>
      <c r="U18" s="206">
        <v>51.137813211845106</v>
      </c>
      <c r="V18" s="206">
        <v>3901.4440600000003</v>
      </c>
      <c r="W18" s="206">
        <v>3307.3255600000002</v>
      </c>
      <c r="X18" s="206">
        <v>594.11850000000004</v>
      </c>
      <c r="Y18" s="206">
        <v>424.57409000000001</v>
      </c>
      <c r="Z18" s="206">
        <v>169.54441</v>
      </c>
      <c r="AA18" s="206">
        <v>31.763847444710173</v>
      </c>
      <c r="AB18" s="206">
        <v>31.002139590414956</v>
      </c>
      <c r="AC18" s="206">
        <v>36.796636937941287</v>
      </c>
      <c r="AD18" s="206">
        <v>42.457408999999998</v>
      </c>
      <c r="AE18" s="207">
        <v>27.58613895216401</v>
      </c>
    </row>
    <row r="19" spans="1:31" s="264" customFormat="1" x14ac:dyDescent="0.25">
      <c r="A19" s="266" t="s">
        <v>412</v>
      </c>
      <c r="B19" s="206">
        <v>9550.0664099999995</v>
      </c>
      <c r="C19" s="206">
        <v>41.445360000000001</v>
      </c>
      <c r="D19" s="206">
        <v>9508.6210499999997</v>
      </c>
      <c r="E19" s="206">
        <v>1763.50712</v>
      </c>
      <c r="F19" s="206">
        <v>7745.1139300000004</v>
      </c>
      <c r="G19" s="206">
        <v>4250.618739999999</v>
      </c>
      <c r="H19" s="206">
        <v>25.7898</v>
      </c>
      <c r="I19" s="206">
        <v>4224.8289399999994</v>
      </c>
      <c r="J19" s="206">
        <v>1130.3826300000001</v>
      </c>
      <c r="K19" s="206">
        <v>3094.4463100000003</v>
      </c>
      <c r="L19" s="206">
        <v>37189.320210000005</v>
      </c>
      <c r="M19" s="206">
        <v>2852.0202100000001</v>
      </c>
      <c r="N19" s="206">
        <v>34337.300000000003</v>
      </c>
      <c r="O19" s="206">
        <v>6557</v>
      </c>
      <c r="P19" s="206">
        <v>27780.3</v>
      </c>
      <c r="Q19" s="206">
        <v>25.013724802113725</v>
      </c>
      <c r="R19" s="206">
        <v>62.789795805816659</v>
      </c>
      <c r="S19" s="216">
        <v>23.823263126788209</v>
      </c>
      <c r="T19" s="206">
        <v>7.4029425698441251</v>
      </c>
      <c r="U19" s="206">
        <v>50</v>
      </c>
      <c r="V19" s="206">
        <v>32553.64932</v>
      </c>
      <c r="W19" s="206">
        <v>2826.2304100000001</v>
      </c>
      <c r="X19" s="206">
        <v>29727.41891</v>
      </c>
      <c r="Y19" s="206">
        <v>5041.5652200000004</v>
      </c>
      <c r="Z19" s="206">
        <v>24685.85369</v>
      </c>
      <c r="AA19" s="206">
        <v>21.195154468028946</v>
      </c>
      <c r="AB19" s="206">
        <v>62.008285369212764</v>
      </c>
      <c r="AC19" s="206">
        <v>19.946973483987694</v>
      </c>
      <c r="AD19" s="206">
        <v>5.6760985521220215</v>
      </c>
      <c r="AE19" s="207">
        <v>40.998727756065797</v>
      </c>
    </row>
    <row r="20" spans="1:31" s="264" customFormat="1" x14ac:dyDescent="0.25">
      <c r="A20" s="266" t="s">
        <v>413</v>
      </c>
      <c r="B20" s="206">
        <v>74740.453480000011</v>
      </c>
      <c r="C20" s="206">
        <v>53.238619999999997</v>
      </c>
      <c r="D20" s="206">
        <v>74687.214860000007</v>
      </c>
      <c r="E20" s="206">
        <v>64942.385920000001</v>
      </c>
      <c r="F20" s="206">
        <v>9744.8289399999994</v>
      </c>
      <c r="G20" s="206">
        <v>8357.4357200000086</v>
      </c>
      <c r="H20" s="206">
        <v>-57.358370000000008</v>
      </c>
      <c r="I20" s="206">
        <v>8414.7940900000103</v>
      </c>
      <c r="J20" s="206">
        <v>-969.2014199999976</v>
      </c>
      <c r="K20" s="206">
        <v>9383.9955099999988</v>
      </c>
      <c r="L20" s="206">
        <v>19522.719879999997</v>
      </c>
      <c r="M20" s="206">
        <v>529.79902000000004</v>
      </c>
      <c r="N20" s="206">
        <v>18992.920859999998</v>
      </c>
      <c r="O20" s="206">
        <v>1430</v>
      </c>
      <c r="P20" s="206">
        <v>17562.920859999998</v>
      </c>
      <c r="Q20" s="206">
        <v>47.150407055331186</v>
      </c>
      <c r="R20" s="216">
        <v>100</v>
      </c>
      <c r="S20" s="206">
        <v>46.465406723848567</v>
      </c>
      <c r="T20" s="216">
        <v>100</v>
      </c>
      <c r="U20" s="216">
        <v>44.524636231347628</v>
      </c>
      <c r="V20" s="206">
        <v>11126.76901</v>
      </c>
      <c r="W20" s="206">
        <v>587.15738999999996</v>
      </c>
      <c r="X20" s="206">
        <v>10539.61162</v>
      </c>
      <c r="Y20" s="206">
        <v>2360.6862700000001</v>
      </c>
      <c r="Z20" s="206">
        <v>8178.9253500000004</v>
      </c>
      <c r="AA20" s="206">
        <v>10.326496353751434</v>
      </c>
      <c r="AB20" s="216">
        <v>91.686609665166387</v>
      </c>
      <c r="AC20" s="206">
        <v>9.8400522335493399</v>
      </c>
      <c r="AD20" s="216">
        <v>3.5075460795246647</v>
      </c>
      <c r="AE20" s="218">
        <v>20.546845670246075</v>
      </c>
    </row>
    <row r="21" spans="1:31" s="264" customFormat="1" x14ac:dyDescent="0.25">
      <c r="A21" s="266" t="s">
        <v>414</v>
      </c>
      <c r="B21" s="206">
        <v>314573.56290999998</v>
      </c>
      <c r="C21" s="206">
        <v>79901.115340000004</v>
      </c>
      <c r="D21" s="206">
        <v>234672.44756999999</v>
      </c>
      <c r="E21" s="206">
        <v>50942.73517</v>
      </c>
      <c r="F21" s="206">
        <v>183729.71239999999</v>
      </c>
      <c r="G21" s="206">
        <v>213491.02401999998</v>
      </c>
      <c r="H21" s="206">
        <v>54686.73143</v>
      </c>
      <c r="I21" s="206">
        <v>158804.29259</v>
      </c>
      <c r="J21" s="206">
        <v>-16225.001929999999</v>
      </c>
      <c r="K21" s="206">
        <v>175029.29452</v>
      </c>
      <c r="L21" s="206">
        <v>1511397.4301400001</v>
      </c>
      <c r="M21" s="206">
        <v>261684.04323000001</v>
      </c>
      <c r="N21" s="206">
        <v>1249713.3869100001</v>
      </c>
      <c r="O21" s="206">
        <v>60519.180079999998</v>
      </c>
      <c r="P21" s="206">
        <v>1189194.20683</v>
      </c>
      <c r="Q21" s="206">
        <v>55.387430231512077</v>
      </c>
      <c r="R21" s="206">
        <v>54.543367566830653</v>
      </c>
      <c r="S21" s="206">
        <v>55.5674915200253</v>
      </c>
      <c r="T21" s="206">
        <v>47.408439702421433</v>
      </c>
      <c r="U21" s="206">
        <v>56.058473493647583</v>
      </c>
      <c r="V21" s="206">
        <v>1295587.1514999999</v>
      </c>
      <c r="W21" s="206">
        <v>206959.4038</v>
      </c>
      <c r="X21" s="206">
        <v>1088627.7476999999</v>
      </c>
      <c r="Y21" s="206">
        <v>74462.835389999993</v>
      </c>
      <c r="Z21" s="206">
        <v>1014164.91231</v>
      </c>
      <c r="AA21" s="206">
        <v>45.819734775846044</v>
      </c>
      <c r="AB21" s="206">
        <v>40.98312978807607</v>
      </c>
      <c r="AC21" s="206">
        <v>46.871329838622913</v>
      </c>
      <c r="AD21" s="206">
        <v>38.673703926452845</v>
      </c>
      <c r="AE21" s="207">
        <v>47.612337710420555</v>
      </c>
    </row>
    <row r="22" spans="1:31" s="264" customFormat="1" x14ac:dyDescent="0.25">
      <c r="A22" s="266" t="s">
        <v>415</v>
      </c>
      <c r="B22" s="206">
        <v>21695.639589999999</v>
      </c>
      <c r="C22" s="206">
        <v>17975.798309999998</v>
      </c>
      <c r="D22" s="206">
        <v>3719.8412800000001</v>
      </c>
      <c r="E22" s="206">
        <v>240.85248000000001</v>
      </c>
      <c r="F22" s="206">
        <v>3478.9888000000001</v>
      </c>
      <c r="G22" s="206">
        <v>-483.24581000000035</v>
      </c>
      <c r="H22" s="206">
        <v>-4203.0870900000009</v>
      </c>
      <c r="I22" s="206">
        <v>3719.8412800000001</v>
      </c>
      <c r="J22" s="206">
        <v>240.85248000000001</v>
      </c>
      <c r="K22" s="206">
        <v>3478.9888000000001</v>
      </c>
      <c r="L22" s="206">
        <v>33409.58178</v>
      </c>
      <c r="M22" s="206">
        <v>18009.58178</v>
      </c>
      <c r="N22" s="206">
        <v>15400</v>
      </c>
      <c r="O22" s="206">
        <v>400</v>
      </c>
      <c r="P22" s="206">
        <v>15000</v>
      </c>
      <c r="Q22" s="206">
        <v>47.811597411533299</v>
      </c>
      <c r="R22" s="206">
        <v>46.184017770812325</v>
      </c>
      <c r="S22" s="206">
        <v>49.866752152527503</v>
      </c>
      <c r="T22" s="206">
        <v>51.632890151026196</v>
      </c>
      <c r="U22" s="216">
        <v>49.821307576824459</v>
      </c>
      <c r="V22" s="206">
        <v>33869.789580000004</v>
      </c>
      <c r="W22" s="206">
        <v>22189.630860000001</v>
      </c>
      <c r="X22" s="206">
        <v>11680.158720000001</v>
      </c>
      <c r="Y22" s="206">
        <v>159.14751999999999</v>
      </c>
      <c r="Z22" s="206">
        <v>11521.011200000001</v>
      </c>
      <c r="AA22" s="206">
        <v>36.792411730306284</v>
      </c>
      <c r="AB22" s="206">
        <v>36.272885539209909</v>
      </c>
      <c r="AC22" s="206">
        <v>37.821531168339149</v>
      </c>
      <c r="AD22" s="206">
        <v>20.543116044920609</v>
      </c>
      <c r="AE22" s="207">
        <v>38.266122839415971</v>
      </c>
    </row>
    <row r="23" spans="1:31" s="264" customFormat="1" x14ac:dyDescent="0.25">
      <c r="A23" s="266" t="s">
        <v>416</v>
      </c>
      <c r="B23" s="206">
        <v>30959.078160000001</v>
      </c>
      <c r="C23" s="206">
        <v>1651.4586400000001</v>
      </c>
      <c r="D23" s="206">
        <v>29307.61952</v>
      </c>
      <c r="E23" s="206">
        <v>21630.134890000001</v>
      </c>
      <c r="F23" s="206">
        <v>7677.4846299999999</v>
      </c>
      <c r="G23" s="206">
        <v>-2042.6997900000024</v>
      </c>
      <c r="H23" s="206">
        <v>860.34024000000011</v>
      </c>
      <c r="I23" s="206">
        <v>-2903.0400300000001</v>
      </c>
      <c r="J23" s="206">
        <v>-10485.755419999998</v>
      </c>
      <c r="K23" s="206">
        <v>7582.7153900000003</v>
      </c>
      <c r="L23" s="206">
        <v>115137.42844</v>
      </c>
      <c r="M23" s="206">
        <v>4144.4784399999999</v>
      </c>
      <c r="N23" s="206">
        <v>110992.95</v>
      </c>
      <c r="O23" s="206">
        <v>24339.3</v>
      </c>
      <c r="P23" s="206">
        <v>86653.65</v>
      </c>
      <c r="Q23" s="206">
        <v>56.565719170527792</v>
      </c>
      <c r="R23" s="206">
        <v>61.857887164179104</v>
      </c>
      <c r="S23" s="206">
        <v>56.385591194754483</v>
      </c>
      <c r="T23" s="216">
        <v>97.594158617122375</v>
      </c>
      <c r="U23" s="206">
        <v>50.407284171092506</v>
      </c>
      <c r="V23" s="206">
        <v>117180.12822999999</v>
      </c>
      <c r="W23" s="206">
        <v>3284.1381999999999</v>
      </c>
      <c r="X23" s="206">
        <v>113895.99002999999</v>
      </c>
      <c r="Y23" s="206">
        <v>34825.055419999997</v>
      </c>
      <c r="Z23" s="206">
        <v>79070.934609999997</v>
      </c>
      <c r="AA23" s="206">
        <v>49.537552469468281</v>
      </c>
      <c r="AB23" s="206">
        <v>43.84042575004554</v>
      </c>
      <c r="AC23" s="206">
        <v>49.723872286507863</v>
      </c>
      <c r="AD23" s="216">
        <v>61.037488843317817</v>
      </c>
      <c r="AE23" s="207">
        <v>45.971000739922388</v>
      </c>
    </row>
    <row r="24" spans="1:31" s="264" customFormat="1" x14ac:dyDescent="0.25">
      <c r="A24" s="266" t="s">
        <v>417</v>
      </c>
      <c r="B24" s="206">
        <v>63149.277300000002</v>
      </c>
      <c r="C24" s="206">
        <v>23725.884190000001</v>
      </c>
      <c r="D24" s="206">
        <v>39423.393110000005</v>
      </c>
      <c r="E24" s="206">
        <v>35946.108820000001</v>
      </c>
      <c r="F24" s="206">
        <v>3477.2842900000001</v>
      </c>
      <c r="G24" s="206">
        <v>57104.509819999999</v>
      </c>
      <c r="H24" s="206">
        <v>18925.633170000001</v>
      </c>
      <c r="I24" s="206">
        <v>38178.876650000006</v>
      </c>
      <c r="J24" s="206">
        <v>34701.592360000002</v>
      </c>
      <c r="K24" s="206">
        <v>3477.2842900000001</v>
      </c>
      <c r="L24" s="206">
        <v>364423.29603000003</v>
      </c>
      <c r="M24" s="206">
        <v>134891.70714000001</v>
      </c>
      <c r="N24" s="206">
        <v>229531.58889000001</v>
      </c>
      <c r="O24" s="206">
        <v>65862.988889999993</v>
      </c>
      <c r="P24" s="206">
        <v>163668.6</v>
      </c>
      <c r="Q24" s="206">
        <v>57.206973209603682</v>
      </c>
      <c r="R24" s="206">
        <v>64.856114848166811</v>
      </c>
      <c r="S24" s="206">
        <v>53.498891103135165</v>
      </c>
      <c r="T24" s="206">
        <v>64.760315006386264</v>
      </c>
      <c r="U24" s="206">
        <v>50</v>
      </c>
      <c r="V24" s="206">
        <v>307054.93536999996</v>
      </c>
      <c r="W24" s="206">
        <v>115923.84354</v>
      </c>
      <c r="X24" s="206">
        <v>191131.09182999999</v>
      </c>
      <c r="Y24" s="206">
        <v>31089.896069999999</v>
      </c>
      <c r="Z24" s="206">
        <v>160041.19576</v>
      </c>
      <c r="AA24" s="206">
        <v>47.753543234322436</v>
      </c>
      <c r="AB24" s="206">
        <v>54.478983379088646</v>
      </c>
      <c r="AC24" s="206">
        <v>44.427092893231496</v>
      </c>
      <c r="AD24" s="206">
        <v>30.220830803257783</v>
      </c>
      <c r="AE24" s="207">
        <v>48.891844788798828</v>
      </c>
    </row>
    <row r="25" spans="1:31" ht="26.4" x14ac:dyDescent="0.25">
      <c r="A25" s="266" t="s">
        <v>418</v>
      </c>
      <c r="B25" s="350">
        <v>82904.637289999999</v>
      </c>
      <c r="C25" s="350">
        <v>12154.87831</v>
      </c>
      <c r="D25" s="350">
        <v>70749.758979999999</v>
      </c>
      <c r="E25" s="350">
        <v>65631.565390000003</v>
      </c>
      <c r="F25" s="350">
        <v>5118.1935899999999</v>
      </c>
      <c r="G25" s="350">
        <v>26529.738279999998</v>
      </c>
      <c r="H25" s="350">
        <v>978.80349000000024</v>
      </c>
      <c r="I25" s="350">
        <v>25550.934789999999</v>
      </c>
      <c r="J25" s="350">
        <v>20432.930700000004</v>
      </c>
      <c r="K25" s="350">
        <v>5118.0040899999995</v>
      </c>
      <c r="L25" s="350">
        <v>178619.1061</v>
      </c>
      <c r="M25" s="350">
        <v>51839.125209999998</v>
      </c>
      <c r="N25" s="350">
        <v>126779.98089000001</v>
      </c>
      <c r="O25" s="350">
        <v>75828.680890000003</v>
      </c>
      <c r="P25" s="350">
        <v>50951.3</v>
      </c>
      <c r="Q25" s="206">
        <v>51.729794962819973</v>
      </c>
      <c r="R25" s="206">
        <v>43.962195566220046</v>
      </c>
      <c r="S25" s="206">
        <v>55.758100446399126</v>
      </c>
      <c r="T25" s="206">
        <v>61.924621724871223</v>
      </c>
      <c r="U25" s="216">
        <v>48.561214161404017</v>
      </c>
      <c r="V25" s="206">
        <v>152024.10673</v>
      </c>
      <c r="W25" s="206">
        <v>50859.421719999998</v>
      </c>
      <c r="X25" s="206">
        <v>101164.68501</v>
      </c>
      <c r="Y25" s="206">
        <v>55331.3891</v>
      </c>
      <c r="Z25" s="206">
        <v>45833.295910000001</v>
      </c>
      <c r="AA25" s="206">
        <v>38.655858008284056</v>
      </c>
      <c r="AB25" s="206">
        <v>42.110282380282385</v>
      </c>
      <c r="AC25" s="206">
        <v>37.124791546160189</v>
      </c>
      <c r="AD25" s="206">
        <v>33.018484792310588</v>
      </c>
      <c r="AE25" s="207">
        <v>43.68321276447012</v>
      </c>
    </row>
    <row r="26" spans="1:31" x14ac:dyDescent="0.25">
      <c r="A26" s="266" t="s">
        <v>419</v>
      </c>
      <c r="B26" s="350">
        <v>1195.6079</v>
      </c>
      <c r="C26" s="350">
        <v>16.472919999999998</v>
      </c>
      <c r="D26" s="350">
        <v>1179.13498</v>
      </c>
      <c r="E26" s="350">
        <v>173.66242</v>
      </c>
      <c r="F26" s="350">
        <v>1005.47256</v>
      </c>
      <c r="G26" s="350">
        <v>1195.6079</v>
      </c>
      <c r="H26" s="350">
        <v>16.472919999999998</v>
      </c>
      <c r="I26" s="350">
        <v>1179.13498</v>
      </c>
      <c r="J26" s="350">
        <v>173.66242</v>
      </c>
      <c r="K26" s="350">
        <v>1005.47256</v>
      </c>
      <c r="L26" s="350">
        <v>8195.5</v>
      </c>
      <c r="M26" s="350">
        <v>58</v>
      </c>
      <c r="N26" s="350">
        <v>8137.5</v>
      </c>
      <c r="O26" s="350">
        <v>295</v>
      </c>
      <c r="P26" s="350">
        <v>7842.5</v>
      </c>
      <c r="Q26" s="206">
        <v>50.735448883826315</v>
      </c>
      <c r="R26" s="216">
        <v>18.412698412698415</v>
      </c>
      <c r="S26" s="206">
        <v>51.378295787453283</v>
      </c>
      <c r="T26" s="206">
        <v>74.683544303797461</v>
      </c>
      <c r="U26" s="206">
        <v>50.782211171115172</v>
      </c>
      <c r="V26" s="206">
        <v>6999.8921</v>
      </c>
      <c r="W26" s="206">
        <v>41.527079999999998</v>
      </c>
      <c r="X26" s="206">
        <v>6958.3650200000002</v>
      </c>
      <c r="Y26" s="206">
        <v>121.33758</v>
      </c>
      <c r="Z26" s="206">
        <v>6837.0274399999998</v>
      </c>
      <c r="AA26" s="206">
        <v>43.333862220956583</v>
      </c>
      <c r="AB26" s="216">
        <v>13.183199999999999</v>
      </c>
      <c r="AC26" s="206">
        <v>43.933509824224672</v>
      </c>
      <c r="AD26" s="206">
        <v>30.718374683544305</v>
      </c>
      <c r="AE26" s="207">
        <v>44.271516893948224</v>
      </c>
    </row>
    <row r="27" spans="1:31" ht="26.4" x14ac:dyDescent="0.25">
      <c r="A27" s="266" t="s">
        <v>420</v>
      </c>
      <c r="B27" s="350">
        <v>19876.180100000001</v>
      </c>
      <c r="C27" s="350">
        <v>10445.26309</v>
      </c>
      <c r="D27" s="350">
        <v>9430.917010000001</v>
      </c>
      <c r="E27" s="350">
        <v>1820.2542800000001</v>
      </c>
      <c r="F27" s="350">
        <v>7610.66273</v>
      </c>
      <c r="G27" s="350">
        <v>12842.634360000002</v>
      </c>
      <c r="H27" s="350">
        <v>3411.7173500000008</v>
      </c>
      <c r="I27" s="350">
        <v>9430.917010000001</v>
      </c>
      <c r="J27" s="350">
        <v>1820.2542800000001</v>
      </c>
      <c r="K27" s="350">
        <v>7610.66273</v>
      </c>
      <c r="L27" s="350">
        <v>127935.99638000001</v>
      </c>
      <c r="M27" s="350">
        <v>43518.29638</v>
      </c>
      <c r="N27" s="350">
        <v>84417.700000000012</v>
      </c>
      <c r="O27" s="350">
        <v>4005.6</v>
      </c>
      <c r="P27" s="350">
        <v>80412.100000000006</v>
      </c>
      <c r="Q27" s="206">
        <v>48.361203685014125</v>
      </c>
      <c r="R27" s="206">
        <v>50.478456667714539</v>
      </c>
      <c r="S27" s="206">
        <v>47.337647408470772</v>
      </c>
      <c r="T27" s="206">
        <v>33.692781319919916</v>
      </c>
      <c r="U27" s="216">
        <v>48.312268989151804</v>
      </c>
      <c r="V27" s="206">
        <v>115093.36202</v>
      </c>
      <c r="W27" s="206">
        <v>40106.579030000001</v>
      </c>
      <c r="X27" s="206">
        <v>74986.782989999992</v>
      </c>
      <c r="Y27" s="206">
        <v>2185.3457199999998</v>
      </c>
      <c r="Z27" s="206">
        <v>72801.437269999995</v>
      </c>
      <c r="AA27" s="206">
        <v>43.506547656140498</v>
      </c>
      <c r="AB27" s="206">
        <v>46.521081477503458</v>
      </c>
      <c r="AC27" s="206">
        <v>42.049213535504201</v>
      </c>
      <c r="AD27" s="206">
        <v>18.381859260131552</v>
      </c>
      <c r="AE27" s="207">
        <v>43.739718527250268</v>
      </c>
    </row>
    <row r="28" spans="1:31" s="196" customFormat="1" ht="13.8" thickBot="1" x14ac:dyDescent="0.3">
      <c r="A28" s="277" t="s">
        <v>330</v>
      </c>
      <c r="B28" s="278">
        <v>2601408.30877</v>
      </c>
      <c r="C28" s="278">
        <v>1148917.5317400002</v>
      </c>
      <c r="D28" s="278">
        <v>1452490.77703</v>
      </c>
      <c r="E28" s="278">
        <v>519625.56131999998</v>
      </c>
      <c r="F28" s="278">
        <v>932865.2157099999</v>
      </c>
      <c r="G28" s="278">
        <v>24391.050710000054</v>
      </c>
      <c r="H28" s="278">
        <v>-699396.14231999998</v>
      </c>
      <c r="I28" s="278">
        <v>723787.19302999997</v>
      </c>
      <c r="J28" s="278">
        <v>60712.94764000002</v>
      </c>
      <c r="K28" s="278">
        <v>663074.24541999993</v>
      </c>
      <c r="L28" s="278">
        <v>16766484.32965</v>
      </c>
      <c r="M28" s="278">
        <v>9490345.7543100007</v>
      </c>
      <c r="N28" s="278">
        <v>7276138.57534</v>
      </c>
      <c r="O28" s="278">
        <v>796666.47783999995</v>
      </c>
      <c r="P28" s="278">
        <v>6468170.8974999981</v>
      </c>
      <c r="Q28" s="278">
        <v>47.296981185655504</v>
      </c>
      <c r="R28" s="278">
        <v>43.69334927450835</v>
      </c>
      <c r="S28" s="278">
        <v>52.998193689752569</v>
      </c>
      <c r="T28" s="278">
        <v>44.227731033168972</v>
      </c>
      <c r="U28" s="278">
        <v>54.279356239176963</v>
      </c>
      <c r="V28" s="278">
        <v>16728824.971619999</v>
      </c>
      <c r="W28" s="278">
        <v>10200563.57147</v>
      </c>
      <c r="X28" s="278">
        <v>6528261.4001500001</v>
      </c>
      <c r="Y28" s="278">
        <v>731132.67793000001</v>
      </c>
      <c r="Z28" s="278">
        <v>5785827.5221899981</v>
      </c>
      <c r="AA28" s="278">
        <v>44.107163804844483</v>
      </c>
      <c r="AB28" s="278">
        <v>43.440187331508206</v>
      </c>
      <c r="AC28" s="278">
        <v>45.1913420673663</v>
      </c>
      <c r="AD28" s="278">
        <v>32.357620395902671</v>
      </c>
      <c r="AE28" s="279">
        <v>47.522258944919614</v>
      </c>
    </row>
    <row r="29" spans="1:31" ht="13.8" thickTop="1" x14ac:dyDescent="0.25">
      <c r="E29" s="270">
        <f>E28/D28%</f>
        <v>35.774792483192996</v>
      </c>
      <c r="F29" s="270">
        <f>F28/D28%</f>
        <v>64.225207516806989</v>
      </c>
    </row>
  </sheetData>
  <autoFilter ref="A10:AE29"/>
  <mergeCells count="45">
    <mergeCell ref="A5:A9"/>
    <mergeCell ref="B5:K5"/>
    <mergeCell ref="L5:U5"/>
    <mergeCell ref="V5:AE5"/>
    <mergeCell ref="B6:B9"/>
    <mergeCell ref="C6:F6"/>
    <mergeCell ref="G6:K6"/>
    <mergeCell ref="L6:P6"/>
    <mergeCell ref="Q6:U6"/>
    <mergeCell ref="V6:Z6"/>
    <mergeCell ref="AA6:AE6"/>
    <mergeCell ref="C7:C9"/>
    <mergeCell ref="D7:D9"/>
    <mergeCell ref="E7:F7"/>
    <mergeCell ref="G7:G9"/>
    <mergeCell ref="H7:K7"/>
    <mergeCell ref="L7:L9"/>
    <mergeCell ref="M7:P7"/>
    <mergeCell ref="AB8:AB9"/>
    <mergeCell ref="Q7:Q9"/>
    <mergeCell ref="R7:U7"/>
    <mergeCell ref="V7:V9"/>
    <mergeCell ref="W7:Z7"/>
    <mergeCell ref="AA7:AA9"/>
    <mergeCell ref="S8:S9"/>
    <mergeCell ref="T8:U8"/>
    <mergeCell ref="W8:W9"/>
    <mergeCell ref="X8:X9"/>
    <mergeCell ref="Y8:Z8"/>
    <mergeCell ref="AC8:AC9"/>
    <mergeCell ref="AD8:AE8"/>
    <mergeCell ref="B3:K3"/>
    <mergeCell ref="J1:K1"/>
    <mergeCell ref="AD1:AE1"/>
    <mergeCell ref="S1:U1"/>
    <mergeCell ref="AB7:AE7"/>
    <mergeCell ref="E8:E9"/>
    <mergeCell ref="F8:F9"/>
    <mergeCell ref="H8:H9"/>
    <mergeCell ref="I8:I9"/>
    <mergeCell ref="J8:K8"/>
    <mergeCell ref="M8:M9"/>
    <mergeCell ref="N8:N9"/>
    <mergeCell ref="O8:P8"/>
    <mergeCell ref="R8:R9"/>
  </mergeCells>
  <conditionalFormatting sqref="B11:AE28">
    <cfRule type="cellIs" dxfId="2" priority="1" operator="equal">
      <formula>0</formula>
    </cfRule>
  </conditionalFormatting>
  <printOptions horizontalCentered="1"/>
  <pageMargins left="0" right="0" top="0.55118110236220474" bottom="0.35433070866141736" header="0.31496062992125984" footer="0.11811023622047245"/>
  <pageSetup paperSize="9" fitToWidth="100" orientation="landscape" r:id="rId1"/>
  <headerFooter>
    <oddFooter>&amp;C&amp;9Страница  &amp;P из &amp;N</oddFooter>
  </headerFooter>
  <colBreaks count="2" manualBreakCount="2">
    <brk id="11" max="28" man="1"/>
    <brk id="21"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49"/>
  <sheetViews>
    <sheetView zoomScaleNormal="100" workbookViewId="0">
      <pane xSplit="1" ySplit="10" topLeftCell="O11" activePane="bottomRight" state="frozen"/>
      <selection activeCell="A188" sqref="A188"/>
      <selection pane="topRight" activeCell="A188" sqref="A188"/>
      <selection pane="bottomLeft" activeCell="A188" sqref="A188"/>
      <selection pane="bottomRight" activeCell="X2" sqref="X2"/>
    </sheetView>
  </sheetViews>
  <sheetFormatPr defaultColWidth="9.109375" defaultRowHeight="13.2" x14ac:dyDescent="0.25"/>
  <cols>
    <col min="1" max="1" width="21.88671875" style="269" bestFit="1" customWidth="1"/>
    <col min="2" max="2" width="12.33203125" style="256" bestFit="1" customWidth="1"/>
    <col min="3" max="3" width="9.109375" style="256"/>
    <col min="4" max="4" width="11" style="256" customWidth="1"/>
    <col min="5" max="5" width="9.109375" style="256"/>
    <col min="6" max="6" width="12.109375" style="256" customWidth="1"/>
    <col min="7" max="7" width="9.109375" style="256"/>
    <col min="8" max="8" width="11.88671875" style="256" bestFit="1" customWidth="1"/>
    <col min="9" max="9" width="9.109375" style="256"/>
    <col min="10" max="10" width="9.88671875" style="256" customWidth="1"/>
    <col min="11" max="11" width="9.109375" style="256"/>
    <col min="12" max="12" width="11.109375" style="256" customWidth="1"/>
    <col min="13" max="13" width="9.109375" style="256"/>
    <col min="14" max="14" width="11.33203125" style="256" bestFit="1" customWidth="1"/>
    <col min="15" max="15" width="9.6640625" style="256" bestFit="1" customWidth="1"/>
    <col min="16" max="16" width="11.6640625" style="256" customWidth="1"/>
    <col min="17" max="17" width="9.6640625" style="256" customWidth="1"/>
    <col min="18" max="18" width="11.33203125" style="256" customWidth="1"/>
    <col min="19" max="19" width="9.6640625" style="256" bestFit="1" customWidth="1"/>
    <col min="20" max="20" width="11.33203125" style="256" bestFit="1" customWidth="1"/>
    <col min="21" max="21" width="9.6640625" style="256" bestFit="1" customWidth="1"/>
    <col min="22" max="23" width="9.6640625" style="256" customWidth="1"/>
    <col min="24" max="24" width="11" style="256" customWidth="1"/>
    <col min="25" max="25" width="9.6640625" style="256" bestFit="1" customWidth="1"/>
    <col min="26" max="16384" width="9.109375" style="256"/>
  </cols>
  <sheetData>
    <row r="1" spans="1:25" s="255" customFormat="1" ht="12.75" customHeight="1" x14ac:dyDescent="0.25">
      <c r="L1" s="265"/>
      <c r="M1" s="599" t="s">
        <v>1173</v>
      </c>
      <c r="V1" s="265"/>
      <c r="W1" s="265"/>
      <c r="X1" s="589" t="s">
        <v>1173</v>
      </c>
      <c r="Y1" s="589"/>
    </row>
    <row r="2" spans="1:25" s="265" customFormat="1" x14ac:dyDescent="0.25">
      <c r="U2" s="273"/>
      <c r="V2" s="273"/>
      <c r="W2" s="273"/>
      <c r="X2" s="273"/>
      <c r="Y2" s="273"/>
    </row>
    <row r="3" spans="1:25" s="255" customFormat="1" ht="36" customHeight="1" x14ac:dyDescent="0.25">
      <c r="B3" s="521" t="s">
        <v>483</v>
      </c>
      <c r="C3" s="521"/>
      <c r="D3" s="521"/>
      <c r="E3" s="521"/>
      <c r="F3" s="521"/>
      <c r="G3" s="521"/>
      <c r="H3" s="521"/>
      <c r="I3" s="521"/>
      <c r="J3" s="521"/>
      <c r="K3" s="521"/>
      <c r="L3" s="521"/>
      <c r="M3" s="521"/>
      <c r="N3" s="337"/>
      <c r="O3" s="337"/>
      <c r="P3" s="337"/>
      <c r="Q3" s="337"/>
      <c r="R3" s="337"/>
      <c r="S3" s="337"/>
      <c r="T3" s="337"/>
      <c r="U3" s="337"/>
      <c r="V3" s="337"/>
      <c r="W3" s="337"/>
      <c r="X3" s="337"/>
      <c r="Y3" s="337"/>
    </row>
    <row r="4" spans="1:25" s="255" customFormat="1" ht="13.8" thickBot="1" x14ac:dyDescent="0.3">
      <c r="X4" s="344"/>
      <c r="Y4" s="344"/>
    </row>
    <row r="5" spans="1:25" s="263" customFormat="1" ht="13.5" customHeight="1" thickTop="1" x14ac:dyDescent="0.25">
      <c r="A5" s="580" t="s">
        <v>323</v>
      </c>
      <c r="B5" s="522" t="s">
        <v>331</v>
      </c>
      <c r="C5" s="522"/>
      <c r="D5" s="522"/>
      <c r="E5" s="522"/>
      <c r="F5" s="522"/>
      <c r="G5" s="522"/>
      <c r="H5" s="522"/>
      <c r="I5" s="522"/>
      <c r="J5" s="522"/>
      <c r="K5" s="522"/>
      <c r="L5" s="522"/>
      <c r="M5" s="522"/>
      <c r="N5" s="522" t="s">
        <v>332</v>
      </c>
      <c r="O5" s="522"/>
      <c r="P5" s="522"/>
      <c r="Q5" s="522"/>
      <c r="R5" s="522"/>
      <c r="S5" s="522"/>
      <c r="T5" s="522"/>
      <c r="U5" s="522"/>
      <c r="V5" s="522"/>
      <c r="W5" s="522"/>
      <c r="X5" s="522"/>
      <c r="Y5" s="523"/>
    </row>
    <row r="6" spans="1:25" s="263" customFormat="1" ht="12.75" customHeight="1" x14ac:dyDescent="0.25">
      <c r="A6" s="581"/>
      <c r="B6" s="524" t="s">
        <v>444</v>
      </c>
      <c r="C6" s="524"/>
      <c r="D6" s="524"/>
      <c r="E6" s="524"/>
      <c r="F6" s="524"/>
      <c r="G6" s="524"/>
      <c r="H6" s="524" t="s">
        <v>482</v>
      </c>
      <c r="I6" s="524"/>
      <c r="J6" s="524"/>
      <c r="K6" s="524"/>
      <c r="L6" s="524"/>
      <c r="M6" s="524"/>
      <c r="N6" s="524" t="s">
        <v>444</v>
      </c>
      <c r="O6" s="524"/>
      <c r="P6" s="524"/>
      <c r="Q6" s="524"/>
      <c r="R6" s="524"/>
      <c r="S6" s="524"/>
      <c r="T6" s="524" t="s">
        <v>482</v>
      </c>
      <c r="U6" s="524"/>
      <c r="V6" s="524"/>
      <c r="W6" s="524"/>
      <c r="X6" s="524"/>
      <c r="Y6" s="525"/>
    </row>
    <row r="7" spans="1:25" s="263" customFormat="1" ht="12.75" customHeight="1" x14ac:dyDescent="0.25">
      <c r="A7" s="581"/>
      <c r="B7" s="524" t="s">
        <v>333</v>
      </c>
      <c r="C7" s="524" t="s">
        <v>9</v>
      </c>
      <c r="D7" s="524" t="s">
        <v>334</v>
      </c>
      <c r="E7" s="524"/>
      <c r="F7" s="524"/>
      <c r="G7" s="524"/>
      <c r="H7" s="524" t="s">
        <v>333</v>
      </c>
      <c r="I7" s="524" t="s">
        <v>140</v>
      </c>
      <c r="J7" s="524" t="s">
        <v>334</v>
      </c>
      <c r="K7" s="524"/>
      <c r="L7" s="524"/>
      <c r="M7" s="524"/>
      <c r="N7" s="524" t="s">
        <v>333</v>
      </c>
      <c r="O7" s="524" t="s">
        <v>140</v>
      </c>
      <c r="P7" s="524" t="s">
        <v>334</v>
      </c>
      <c r="Q7" s="524"/>
      <c r="R7" s="524"/>
      <c r="S7" s="524"/>
      <c r="T7" s="524" t="s">
        <v>333</v>
      </c>
      <c r="U7" s="524" t="s">
        <v>140</v>
      </c>
      <c r="V7" s="524" t="s">
        <v>334</v>
      </c>
      <c r="W7" s="524"/>
      <c r="X7" s="524"/>
      <c r="Y7" s="525"/>
    </row>
    <row r="8" spans="1:25" s="263" customFormat="1" ht="12.75" customHeight="1" x14ac:dyDescent="0.25">
      <c r="A8" s="581"/>
      <c r="B8" s="524"/>
      <c r="C8" s="524"/>
      <c r="D8" s="524" t="s">
        <v>422</v>
      </c>
      <c r="E8" s="358" t="s">
        <v>140</v>
      </c>
      <c r="F8" s="524" t="s">
        <v>421</v>
      </c>
      <c r="G8" s="358" t="s">
        <v>140</v>
      </c>
      <c r="H8" s="524"/>
      <c r="I8" s="524"/>
      <c r="J8" s="524" t="s">
        <v>422</v>
      </c>
      <c r="K8" s="358" t="s">
        <v>140</v>
      </c>
      <c r="L8" s="524" t="s">
        <v>335</v>
      </c>
      <c r="M8" s="358" t="s">
        <v>140</v>
      </c>
      <c r="N8" s="524"/>
      <c r="O8" s="524"/>
      <c r="P8" s="524" t="s">
        <v>422</v>
      </c>
      <c r="Q8" s="358" t="s">
        <v>140</v>
      </c>
      <c r="R8" s="524" t="s">
        <v>335</v>
      </c>
      <c r="S8" s="358" t="s">
        <v>140</v>
      </c>
      <c r="T8" s="524"/>
      <c r="U8" s="524"/>
      <c r="V8" s="524" t="s">
        <v>422</v>
      </c>
      <c r="W8" s="358" t="s">
        <v>140</v>
      </c>
      <c r="X8" s="524" t="s">
        <v>335</v>
      </c>
      <c r="Y8" s="359" t="s">
        <v>140</v>
      </c>
    </row>
    <row r="9" spans="1:25" s="263" customFormat="1" ht="26.4" x14ac:dyDescent="0.25">
      <c r="A9" s="581"/>
      <c r="B9" s="524"/>
      <c r="C9" s="358" t="s">
        <v>336</v>
      </c>
      <c r="D9" s="524"/>
      <c r="E9" s="358" t="s">
        <v>336</v>
      </c>
      <c r="F9" s="524"/>
      <c r="G9" s="358" t="s">
        <v>336</v>
      </c>
      <c r="H9" s="524"/>
      <c r="I9" s="358" t="s">
        <v>336</v>
      </c>
      <c r="J9" s="524"/>
      <c r="K9" s="358" t="s">
        <v>336</v>
      </c>
      <c r="L9" s="524"/>
      <c r="M9" s="358" t="s">
        <v>336</v>
      </c>
      <c r="N9" s="524"/>
      <c r="O9" s="358" t="s">
        <v>336</v>
      </c>
      <c r="P9" s="524"/>
      <c r="Q9" s="358" t="s">
        <v>336</v>
      </c>
      <c r="R9" s="524"/>
      <c r="S9" s="358" t="s">
        <v>336</v>
      </c>
      <c r="T9" s="524"/>
      <c r="U9" s="358" t="s">
        <v>336</v>
      </c>
      <c r="V9" s="524"/>
      <c r="W9" s="358" t="s">
        <v>336</v>
      </c>
      <c r="X9" s="524"/>
      <c r="Y9" s="359" t="s">
        <v>336</v>
      </c>
    </row>
    <row r="10" spans="1:25" s="225" customFormat="1" ht="10.199999999999999" x14ac:dyDescent="0.25">
      <c r="A10" s="224">
        <v>1</v>
      </c>
      <c r="B10" s="222">
        <v>2</v>
      </c>
      <c r="C10" s="222">
        <v>3</v>
      </c>
      <c r="D10" s="222">
        <v>4</v>
      </c>
      <c r="E10" s="222">
        <v>5</v>
      </c>
      <c r="F10" s="222">
        <v>6</v>
      </c>
      <c r="G10" s="222">
        <v>7</v>
      </c>
      <c r="H10" s="222">
        <v>8</v>
      </c>
      <c r="I10" s="222">
        <v>9</v>
      </c>
      <c r="J10" s="222">
        <v>10</v>
      </c>
      <c r="K10" s="222">
        <v>11</v>
      </c>
      <c r="L10" s="222">
        <v>12</v>
      </c>
      <c r="M10" s="222">
        <v>13</v>
      </c>
      <c r="N10" s="222">
        <v>14</v>
      </c>
      <c r="O10" s="222">
        <v>15</v>
      </c>
      <c r="P10" s="222">
        <v>16</v>
      </c>
      <c r="Q10" s="222">
        <v>17</v>
      </c>
      <c r="R10" s="222">
        <v>18</v>
      </c>
      <c r="S10" s="222">
        <v>19</v>
      </c>
      <c r="T10" s="222">
        <v>20</v>
      </c>
      <c r="U10" s="222">
        <v>21</v>
      </c>
      <c r="V10" s="222">
        <v>22</v>
      </c>
      <c r="W10" s="222">
        <v>23</v>
      </c>
      <c r="X10" s="222">
        <v>24</v>
      </c>
      <c r="Y10" s="223">
        <v>25</v>
      </c>
    </row>
    <row r="11" spans="1:25" x14ac:dyDescent="0.25">
      <c r="A11" s="257" t="s">
        <v>158</v>
      </c>
      <c r="B11" s="258">
        <v>4526.2024799999999</v>
      </c>
      <c r="C11" s="258">
        <v>0</v>
      </c>
      <c r="D11" s="258">
        <v>2164.86922</v>
      </c>
      <c r="E11" s="258">
        <v>0</v>
      </c>
      <c r="F11" s="258">
        <v>2361.3332599999999</v>
      </c>
      <c r="G11" s="258">
        <v>0</v>
      </c>
      <c r="H11" s="258">
        <v>-2875.2639199999999</v>
      </c>
      <c r="I11" s="258">
        <v>0</v>
      </c>
      <c r="J11" s="258">
        <v>918.67128000000002</v>
      </c>
      <c r="K11" s="258">
        <v>0</v>
      </c>
      <c r="L11" s="258">
        <v>-3793.9351999999999</v>
      </c>
      <c r="M11" s="258">
        <v>0</v>
      </c>
      <c r="N11" s="258">
        <v>149785.69232</v>
      </c>
      <c r="O11" s="258">
        <v>74996.768230000001</v>
      </c>
      <c r="P11" s="258">
        <v>17354.73201</v>
      </c>
      <c r="Q11" s="258">
        <v>1407.3440399999999</v>
      </c>
      <c r="R11" s="258">
        <v>132430.96030999999</v>
      </c>
      <c r="S11" s="258">
        <v>73589.424190000005</v>
      </c>
      <c r="T11" s="258">
        <v>57751.080370000003</v>
      </c>
      <c r="U11" s="258">
        <v>23619.541149999997</v>
      </c>
      <c r="V11" s="258">
        <v>6991.9501199999995</v>
      </c>
      <c r="W11" s="258">
        <v>-833.54186000000027</v>
      </c>
      <c r="X11" s="258">
        <v>50759.130250000002</v>
      </c>
      <c r="Y11" s="259">
        <v>24453.083010000002</v>
      </c>
    </row>
    <row r="12" spans="1:25" x14ac:dyDescent="0.25">
      <c r="A12" s="257" t="s">
        <v>159</v>
      </c>
      <c r="B12" s="258">
        <v>2150.1559299999999</v>
      </c>
      <c r="C12" s="258">
        <v>0</v>
      </c>
      <c r="D12" s="258">
        <v>1429.2990500000001</v>
      </c>
      <c r="E12" s="258">
        <v>0</v>
      </c>
      <c r="F12" s="258">
        <v>720.85688000000005</v>
      </c>
      <c r="G12" s="258">
        <v>0</v>
      </c>
      <c r="H12" s="258">
        <v>-560.13247000000047</v>
      </c>
      <c r="I12" s="258">
        <v>0</v>
      </c>
      <c r="J12" s="258">
        <v>-171.85484999999994</v>
      </c>
      <c r="K12" s="258">
        <v>0</v>
      </c>
      <c r="L12" s="258">
        <v>-388.27762000000007</v>
      </c>
      <c r="M12" s="258">
        <v>0</v>
      </c>
      <c r="N12" s="258">
        <v>24538.039089999998</v>
      </c>
      <c r="O12" s="258">
        <v>0</v>
      </c>
      <c r="P12" s="258">
        <v>1903.19319</v>
      </c>
      <c r="Q12" s="258">
        <v>0</v>
      </c>
      <c r="R12" s="258">
        <v>22634.8459</v>
      </c>
      <c r="S12" s="258">
        <v>0</v>
      </c>
      <c r="T12" s="258">
        <v>18459.737119999998</v>
      </c>
      <c r="U12" s="258">
        <v>0</v>
      </c>
      <c r="V12" s="258">
        <v>1048.7954500000001</v>
      </c>
      <c r="W12" s="258">
        <v>0</v>
      </c>
      <c r="X12" s="258">
        <v>17410.94167</v>
      </c>
      <c r="Y12" s="259">
        <v>0</v>
      </c>
    </row>
    <row r="13" spans="1:25" x14ac:dyDescent="0.25">
      <c r="A13" s="257" t="s">
        <v>160</v>
      </c>
      <c r="B13" s="258">
        <v>2579.3284100000001</v>
      </c>
      <c r="C13" s="258">
        <v>0</v>
      </c>
      <c r="D13" s="258">
        <v>1625.47523</v>
      </c>
      <c r="E13" s="258">
        <v>0</v>
      </c>
      <c r="F13" s="258">
        <v>953.85317999999995</v>
      </c>
      <c r="G13" s="258">
        <v>0</v>
      </c>
      <c r="H13" s="258">
        <v>-2749.0299800000003</v>
      </c>
      <c r="I13" s="258">
        <v>0</v>
      </c>
      <c r="J13" s="258">
        <v>-203.86671000000001</v>
      </c>
      <c r="K13" s="258">
        <v>0</v>
      </c>
      <c r="L13" s="258">
        <v>-2545.16327</v>
      </c>
      <c r="M13" s="258">
        <v>0</v>
      </c>
      <c r="N13" s="258">
        <v>25968.656939999997</v>
      </c>
      <c r="O13" s="258">
        <v>1123.8421500000002</v>
      </c>
      <c r="P13" s="258">
        <v>1657.7510199999999</v>
      </c>
      <c r="Q13" s="258">
        <v>0</v>
      </c>
      <c r="R13" s="258">
        <v>24310.905919999997</v>
      </c>
      <c r="S13" s="258">
        <v>1123.8421500000002</v>
      </c>
      <c r="T13" s="258">
        <v>19221.147319999996</v>
      </c>
      <c r="U13" s="258">
        <v>1123.8421500000002</v>
      </c>
      <c r="V13" s="258">
        <v>675.97418999999991</v>
      </c>
      <c r="W13" s="258">
        <v>0</v>
      </c>
      <c r="X13" s="258">
        <v>18545.173129999996</v>
      </c>
      <c r="Y13" s="259">
        <v>1123.8421500000002</v>
      </c>
    </row>
    <row r="14" spans="1:25" x14ac:dyDescent="0.25">
      <c r="A14" s="257" t="s">
        <v>161</v>
      </c>
      <c r="B14" s="258">
        <v>2922.2538199999999</v>
      </c>
      <c r="C14" s="258">
        <v>0</v>
      </c>
      <c r="D14" s="258">
        <v>696.06011999999998</v>
      </c>
      <c r="E14" s="258">
        <v>0</v>
      </c>
      <c r="F14" s="258">
        <v>2226.1936999999998</v>
      </c>
      <c r="G14" s="258">
        <v>0</v>
      </c>
      <c r="H14" s="258">
        <v>-1387.3932299999997</v>
      </c>
      <c r="I14" s="258">
        <v>0</v>
      </c>
      <c r="J14" s="258">
        <v>104.49302</v>
      </c>
      <c r="K14" s="258">
        <v>0</v>
      </c>
      <c r="L14" s="258">
        <v>-1491.88625</v>
      </c>
      <c r="M14" s="258">
        <v>0</v>
      </c>
      <c r="N14" s="258">
        <v>32440.246619999998</v>
      </c>
      <c r="O14" s="258">
        <v>3489.8222599999999</v>
      </c>
      <c r="P14" s="258">
        <v>1438.5984100000001</v>
      </c>
      <c r="Q14" s="258">
        <v>0</v>
      </c>
      <c r="R14" s="258">
        <v>31001.648209999999</v>
      </c>
      <c r="S14" s="258">
        <v>3489.8222599999999</v>
      </c>
      <c r="T14" s="258">
        <v>13009.219419999998</v>
      </c>
      <c r="U14" s="258">
        <v>-346.69424000000026</v>
      </c>
      <c r="V14" s="258">
        <v>156.32757000000015</v>
      </c>
      <c r="W14" s="258">
        <v>0</v>
      </c>
      <c r="X14" s="258">
        <v>12852.89185</v>
      </c>
      <c r="Y14" s="259">
        <v>-346.69424000000026</v>
      </c>
    </row>
    <row r="15" spans="1:25" x14ac:dyDescent="0.25">
      <c r="A15" s="257" t="s">
        <v>162</v>
      </c>
      <c r="B15" s="258">
        <v>4364.25677</v>
      </c>
      <c r="C15" s="258">
        <v>359.03823999999997</v>
      </c>
      <c r="D15" s="258">
        <v>1649.08086</v>
      </c>
      <c r="E15" s="258">
        <v>0</v>
      </c>
      <c r="F15" s="258">
        <v>2715.1759099999999</v>
      </c>
      <c r="G15" s="258">
        <v>359.03823999999997</v>
      </c>
      <c r="H15" s="258">
        <v>-199.14260000000013</v>
      </c>
      <c r="I15" s="258">
        <v>0</v>
      </c>
      <c r="J15" s="258">
        <v>-505.76391000000012</v>
      </c>
      <c r="K15" s="258">
        <v>0</v>
      </c>
      <c r="L15" s="258">
        <v>306.62130999999999</v>
      </c>
      <c r="M15" s="258">
        <v>0</v>
      </c>
      <c r="N15" s="258">
        <v>30461.92871</v>
      </c>
      <c r="O15" s="258">
        <v>14139.367179999999</v>
      </c>
      <c r="P15" s="258">
        <v>1720.8906899999999</v>
      </c>
      <c r="Q15" s="258">
        <v>67.614999999999995</v>
      </c>
      <c r="R15" s="258">
        <v>28741.03802</v>
      </c>
      <c r="S15" s="258">
        <v>14071.752179999999</v>
      </c>
      <c r="T15" s="258">
        <v>7324.1285900000003</v>
      </c>
      <c r="U15" s="258">
        <v>3169.6869000000006</v>
      </c>
      <c r="V15" s="258">
        <v>352.7998</v>
      </c>
      <c r="W15" s="258">
        <v>2.2109499999999969</v>
      </c>
      <c r="X15" s="258">
        <v>6971.3287899999996</v>
      </c>
      <c r="Y15" s="259">
        <v>3167.47595</v>
      </c>
    </row>
    <row r="16" spans="1:25" x14ac:dyDescent="0.25">
      <c r="A16" s="257" t="s">
        <v>163</v>
      </c>
      <c r="B16" s="258">
        <v>3235.8850600000001</v>
      </c>
      <c r="C16" s="258">
        <v>8.4</v>
      </c>
      <c r="D16" s="258">
        <v>2345.5180300000002</v>
      </c>
      <c r="E16" s="258">
        <v>0</v>
      </c>
      <c r="F16" s="258">
        <v>890.36703</v>
      </c>
      <c r="G16" s="258">
        <v>8.4</v>
      </c>
      <c r="H16" s="258">
        <v>-232.18225000000029</v>
      </c>
      <c r="I16" s="258">
        <v>0</v>
      </c>
      <c r="J16" s="258">
        <v>214.5022100000001</v>
      </c>
      <c r="K16" s="258">
        <v>0</v>
      </c>
      <c r="L16" s="258">
        <v>-446.68446000000006</v>
      </c>
      <c r="M16" s="258">
        <v>0</v>
      </c>
      <c r="N16" s="258">
        <v>49348.275200000004</v>
      </c>
      <c r="O16" s="258">
        <v>7001.3406699999996</v>
      </c>
      <c r="P16" s="258">
        <v>1916.67128</v>
      </c>
      <c r="Q16" s="258">
        <v>0</v>
      </c>
      <c r="R16" s="258">
        <v>47431.603920000001</v>
      </c>
      <c r="S16" s="258">
        <v>7001.3406699999996</v>
      </c>
      <c r="T16" s="258">
        <v>41731.762070000004</v>
      </c>
      <c r="U16" s="258">
        <v>4223.9141499999996</v>
      </c>
      <c r="V16" s="258">
        <v>-152.89013999999997</v>
      </c>
      <c r="W16" s="258">
        <v>-74.900000000000006</v>
      </c>
      <c r="X16" s="258">
        <v>41884.65221</v>
      </c>
      <c r="Y16" s="259">
        <v>4298.8141500000002</v>
      </c>
    </row>
    <row r="17" spans="1:25" x14ac:dyDescent="0.25">
      <c r="A17" s="257" t="s">
        <v>164</v>
      </c>
      <c r="B17" s="258">
        <v>12663.62349</v>
      </c>
      <c r="C17" s="258">
        <v>134.04992999999999</v>
      </c>
      <c r="D17" s="258">
        <v>11442.967259999999</v>
      </c>
      <c r="E17" s="258">
        <v>134.04825</v>
      </c>
      <c r="F17" s="258">
        <v>1220.6562300000001</v>
      </c>
      <c r="G17" s="258">
        <v>1.6800000000000001E-3</v>
      </c>
      <c r="H17" s="258">
        <v>-2467.9597200000007</v>
      </c>
      <c r="I17" s="258">
        <v>0</v>
      </c>
      <c r="J17" s="258">
        <v>-3155.3673400000007</v>
      </c>
      <c r="K17" s="258">
        <v>0</v>
      </c>
      <c r="L17" s="258">
        <v>687.40762000000007</v>
      </c>
      <c r="M17" s="258">
        <v>0</v>
      </c>
      <c r="N17" s="258">
        <v>38555.510569999999</v>
      </c>
      <c r="O17" s="258">
        <v>13882.165800000001</v>
      </c>
      <c r="P17" s="258">
        <v>16221.94227</v>
      </c>
      <c r="Q17" s="258">
        <v>13760.46091</v>
      </c>
      <c r="R17" s="258">
        <v>22333.568299999999</v>
      </c>
      <c r="S17" s="258">
        <v>121.70489000000001</v>
      </c>
      <c r="T17" s="258">
        <v>6111.6376899999959</v>
      </c>
      <c r="U17" s="258">
        <v>-5018.061169999999</v>
      </c>
      <c r="V17" s="258">
        <v>-3698.4526900000019</v>
      </c>
      <c r="W17" s="258">
        <v>-5139.7660599999999</v>
      </c>
      <c r="X17" s="258">
        <v>9810.0903799999996</v>
      </c>
      <c r="Y17" s="259">
        <v>121.70489000000001</v>
      </c>
    </row>
    <row r="18" spans="1:25" x14ac:dyDescent="0.25">
      <c r="A18" s="257" t="s">
        <v>165</v>
      </c>
      <c r="B18" s="258">
        <v>1472.86598</v>
      </c>
      <c r="C18" s="258">
        <v>0</v>
      </c>
      <c r="D18" s="258">
        <v>284.41386</v>
      </c>
      <c r="E18" s="258">
        <v>0</v>
      </c>
      <c r="F18" s="258">
        <v>1188.4521199999999</v>
      </c>
      <c r="G18" s="258">
        <v>0</v>
      </c>
      <c r="H18" s="258">
        <v>-54.035229999999956</v>
      </c>
      <c r="I18" s="258">
        <v>0</v>
      </c>
      <c r="J18" s="258">
        <v>-206.39213999999998</v>
      </c>
      <c r="K18" s="258">
        <v>0</v>
      </c>
      <c r="L18" s="258">
        <v>152.35690999999997</v>
      </c>
      <c r="M18" s="258">
        <v>0</v>
      </c>
      <c r="N18" s="258">
        <v>33950.174959999997</v>
      </c>
      <c r="O18" s="258">
        <v>7225.35005</v>
      </c>
      <c r="P18" s="258">
        <v>3234.0934200000002</v>
      </c>
      <c r="Q18" s="258">
        <v>0</v>
      </c>
      <c r="R18" s="258">
        <v>30716.081539999999</v>
      </c>
      <c r="S18" s="258">
        <v>7225.35005</v>
      </c>
      <c r="T18" s="258">
        <v>27688.049059999998</v>
      </c>
      <c r="U18" s="258">
        <v>5482.09771</v>
      </c>
      <c r="V18" s="258">
        <v>2795.1987300000001</v>
      </c>
      <c r="W18" s="258">
        <v>0</v>
      </c>
      <c r="X18" s="258">
        <v>24892.850330000001</v>
      </c>
      <c r="Y18" s="259">
        <v>5482.09771</v>
      </c>
    </row>
    <row r="19" spans="1:25" x14ac:dyDescent="0.25">
      <c r="A19" s="257" t="s">
        <v>166</v>
      </c>
      <c r="B19" s="258">
        <v>1383.8140600000002</v>
      </c>
      <c r="C19" s="258">
        <v>0.12548999999999999</v>
      </c>
      <c r="D19" s="258">
        <v>545.59082999999998</v>
      </c>
      <c r="E19" s="258">
        <v>0.12548999999999999</v>
      </c>
      <c r="F19" s="258">
        <v>838.22323000000006</v>
      </c>
      <c r="G19" s="258">
        <v>0</v>
      </c>
      <c r="H19" s="258">
        <v>-100.82105000000001</v>
      </c>
      <c r="I19" s="258">
        <v>0</v>
      </c>
      <c r="J19" s="258">
        <v>-64.272510000000011</v>
      </c>
      <c r="K19" s="258">
        <v>0</v>
      </c>
      <c r="L19" s="258">
        <v>-36.548540000000003</v>
      </c>
      <c r="M19" s="258">
        <v>0</v>
      </c>
      <c r="N19" s="258">
        <v>25509.157439999999</v>
      </c>
      <c r="O19" s="258">
        <v>11602.730969999999</v>
      </c>
      <c r="P19" s="258">
        <v>1062.2501400000001</v>
      </c>
      <c r="Q19" s="258">
        <v>0</v>
      </c>
      <c r="R19" s="258">
        <v>24446.907299999999</v>
      </c>
      <c r="S19" s="258">
        <v>11602.730969999999</v>
      </c>
      <c r="T19" s="258">
        <v>12430.328989999998</v>
      </c>
      <c r="U19" s="258">
        <v>5680.5330299999987</v>
      </c>
      <c r="V19" s="258">
        <v>209.67378000000008</v>
      </c>
      <c r="W19" s="258">
        <v>0</v>
      </c>
      <c r="X19" s="258">
        <v>12220.655209999999</v>
      </c>
      <c r="Y19" s="259">
        <v>5680.5330299999987</v>
      </c>
    </row>
    <row r="20" spans="1:25" x14ac:dyDescent="0.25">
      <c r="A20" s="257" t="s">
        <v>167</v>
      </c>
      <c r="B20" s="258">
        <v>1529.0899300000001</v>
      </c>
      <c r="C20" s="258">
        <v>0</v>
      </c>
      <c r="D20" s="258">
        <v>680.44331</v>
      </c>
      <c r="E20" s="258">
        <v>0</v>
      </c>
      <c r="F20" s="258">
        <v>848.64661999999998</v>
      </c>
      <c r="G20" s="258">
        <v>0</v>
      </c>
      <c r="H20" s="258">
        <v>-754.46022999999968</v>
      </c>
      <c r="I20" s="258">
        <v>0</v>
      </c>
      <c r="J20" s="258">
        <v>-63.374500000000012</v>
      </c>
      <c r="K20" s="258">
        <v>0</v>
      </c>
      <c r="L20" s="258">
        <v>-691.08573000000001</v>
      </c>
      <c r="M20" s="258">
        <v>0</v>
      </c>
      <c r="N20" s="258">
        <v>19486.478929999997</v>
      </c>
      <c r="O20" s="258">
        <v>9208.3396900000007</v>
      </c>
      <c r="P20" s="258">
        <v>1173.75622</v>
      </c>
      <c r="Q20" s="258">
        <v>0</v>
      </c>
      <c r="R20" s="258">
        <v>18312.722709999998</v>
      </c>
      <c r="S20" s="258">
        <v>9208.3396900000007</v>
      </c>
      <c r="T20" s="258">
        <v>982.96934999999939</v>
      </c>
      <c r="U20" s="258">
        <v>2489.5189400000008</v>
      </c>
      <c r="V20" s="258">
        <v>253.08608000000004</v>
      </c>
      <c r="W20" s="258">
        <v>0</v>
      </c>
      <c r="X20" s="258">
        <v>729.88326999999845</v>
      </c>
      <c r="Y20" s="259">
        <v>2489.5189400000008</v>
      </c>
    </row>
    <row r="21" spans="1:25" x14ac:dyDescent="0.25">
      <c r="A21" s="257" t="s">
        <v>168</v>
      </c>
      <c r="B21" s="258">
        <v>9657.3115999999991</v>
      </c>
      <c r="C21" s="258">
        <v>0</v>
      </c>
      <c r="D21" s="258">
        <v>1494.89878</v>
      </c>
      <c r="E21" s="258">
        <v>0</v>
      </c>
      <c r="F21" s="258">
        <v>8162.4128199999996</v>
      </c>
      <c r="G21" s="258">
        <v>0</v>
      </c>
      <c r="H21" s="258">
        <v>7851.8284199999989</v>
      </c>
      <c r="I21" s="258">
        <v>0</v>
      </c>
      <c r="J21" s="258">
        <v>718.25132999999994</v>
      </c>
      <c r="K21" s="258">
        <v>0</v>
      </c>
      <c r="L21" s="258">
        <v>7133.5770899999998</v>
      </c>
      <c r="M21" s="258">
        <v>0</v>
      </c>
      <c r="N21" s="258">
        <v>36981.539669999998</v>
      </c>
      <c r="O21" s="258">
        <v>19374.554620000003</v>
      </c>
      <c r="P21" s="258">
        <v>2194.1185700000001</v>
      </c>
      <c r="Q21" s="258">
        <v>132.93292</v>
      </c>
      <c r="R21" s="258">
        <v>34787.4211</v>
      </c>
      <c r="S21" s="258">
        <v>19241.621700000003</v>
      </c>
      <c r="T21" s="258">
        <v>11516.490459999997</v>
      </c>
      <c r="U21" s="258">
        <v>7335.6144300000014</v>
      </c>
      <c r="V21" s="258">
        <v>1004.6869300000001</v>
      </c>
      <c r="W21" s="258">
        <v>125.50091999999999</v>
      </c>
      <c r="X21" s="258">
        <v>10511.803529999997</v>
      </c>
      <c r="Y21" s="259">
        <v>7210.1135100000029</v>
      </c>
    </row>
    <row r="22" spans="1:25" x14ac:dyDescent="0.25">
      <c r="A22" s="257" t="s">
        <v>169</v>
      </c>
      <c r="B22" s="258">
        <v>131626.54525</v>
      </c>
      <c r="C22" s="258">
        <v>0</v>
      </c>
      <c r="D22" s="258">
        <v>1039.4791399999999</v>
      </c>
      <c r="E22" s="258">
        <v>0</v>
      </c>
      <c r="F22" s="258">
        <v>130587.06611</v>
      </c>
      <c r="G22" s="258">
        <v>0</v>
      </c>
      <c r="H22" s="258">
        <v>129502.51514999999</v>
      </c>
      <c r="I22" s="258">
        <v>0</v>
      </c>
      <c r="J22" s="258">
        <v>-86.447600000000193</v>
      </c>
      <c r="K22" s="258">
        <v>0</v>
      </c>
      <c r="L22" s="258">
        <v>129588.96275000001</v>
      </c>
      <c r="M22" s="258">
        <v>0</v>
      </c>
      <c r="N22" s="258">
        <v>35237.430339999999</v>
      </c>
      <c r="O22" s="258">
        <v>2529.84292</v>
      </c>
      <c r="P22" s="258">
        <v>2718.1635000000001</v>
      </c>
      <c r="Q22" s="258">
        <v>43.173000000000002</v>
      </c>
      <c r="R22" s="258">
        <v>32519.266839999997</v>
      </c>
      <c r="S22" s="258">
        <v>2486.6699199999998</v>
      </c>
      <c r="T22" s="258">
        <v>18556.273439999997</v>
      </c>
      <c r="U22" s="258">
        <v>2529.84292</v>
      </c>
      <c r="V22" s="258">
        <v>20.944050000000061</v>
      </c>
      <c r="W22" s="258">
        <v>43.173000000000002</v>
      </c>
      <c r="X22" s="258">
        <v>18535.329389999995</v>
      </c>
      <c r="Y22" s="259">
        <v>2486.6699199999998</v>
      </c>
    </row>
    <row r="23" spans="1:25" x14ac:dyDescent="0.25">
      <c r="A23" s="257" t="s">
        <v>170</v>
      </c>
      <c r="B23" s="258">
        <v>6018.5379700000003</v>
      </c>
      <c r="C23" s="258">
        <v>15.03227</v>
      </c>
      <c r="D23" s="258">
        <v>4066.4313099999999</v>
      </c>
      <c r="E23" s="258">
        <v>0</v>
      </c>
      <c r="F23" s="258">
        <v>1952.1066600000001</v>
      </c>
      <c r="G23" s="258">
        <v>15.03227</v>
      </c>
      <c r="H23" s="258">
        <v>-206.10790999999972</v>
      </c>
      <c r="I23" s="258">
        <v>0</v>
      </c>
      <c r="J23" s="258">
        <v>568.86393999999973</v>
      </c>
      <c r="K23" s="258">
        <v>0</v>
      </c>
      <c r="L23" s="258">
        <v>-774.97185000000013</v>
      </c>
      <c r="M23" s="258">
        <v>0</v>
      </c>
      <c r="N23" s="258">
        <v>64332.817320000002</v>
      </c>
      <c r="O23" s="258">
        <v>11750.303030000001</v>
      </c>
      <c r="P23" s="258">
        <v>9408.1697499999991</v>
      </c>
      <c r="Q23" s="258">
        <v>0</v>
      </c>
      <c r="R23" s="258">
        <v>54924.647570000001</v>
      </c>
      <c r="S23" s="258">
        <v>11750.303030000001</v>
      </c>
      <c r="T23" s="258">
        <v>-7997.8635999999969</v>
      </c>
      <c r="U23" s="258">
        <v>-7501.5964299999996</v>
      </c>
      <c r="V23" s="258">
        <v>1552.0099899999996</v>
      </c>
      <c r="W23" s="258">
        <v>0</v>
      </c>
      <c r="X23" s="258">
        <v>-9549.8735900000029</v>
      </c>
      <c r="Y23" s="259">
        <v>-7501.5964299999996</v>
      </c>
    </row>
    <row r="24" spans="1:25" x14ac:dyDescent="0.25">
      <c r="A24" s="257" t="s">
        <v>171</v>
      </c>
      <c r="B24" s="258">
        <v>330369.19595000002</v>
      </c>
      <c r="C24" s="258">
        <v>684.88481999999999</v>
      </c>
      <c r="D24" s="258">
        <v>3160.8741300000002</v>
      </c>
      <c r="E24" s="258">
        <v>141.72726</v>
      </c>
      <c r="F24" s="258">
        <v>327208.32182000001</v>
      </c>
      <c r="G24" s="258">
        <v>543.15755999999999</v>
      </c>
      <c r="H24" s="258">
        <v>323439.12552</v>
      </c>
      <c r="I24" s="258">
        <v>150.26412000000005</v>
      </c>
      <c r="J24" s="258">
        <v>1090.8213600000004</v>
      </c>
      <c r="K24" s="258">
        <v>110.23613</v>
      </c>
      <c r="L24" s="258">
        <v>322348.30416</v>
      </c>
      <c r="M24" s="258">
        <v>40.027989999999988</v>
      </c>
      <c r="N24" s="258">
        <v>83404.718330000003</v>
      </c>
      <c r="O24" s="258">
        <v>346.02541000000002</v>
      </c>
      <c r="P24" s="258">
        <v>1623.96513</v>
      </c>
      <c r="Q24" s="258">
        <v>115.07338</v>
      </c>
      <c r="R24" s="258">
        <v>81780.753200000006</v>
      </c>
      <c r="S24" s="258">
        <v>230.95203000000001</v>
      </c>
      <c r="T24" s="258">
        <v>76685.369340000005</v>
      </c>
      <c r="U24" s="258">
        <v>346.02541000000002</v>
      </c>
      <c r="V24" s="258">
        <v>-311.18390999999997</v>
      </c>
      <c r="W24" s="258">
        <v>115.07338</v>
      </c>
      <c r="X24" s="258">
        <v>76996.553250000012</v>
      </c>
      <c r="Y24" s="259">
        <v>230.95203000000001</v>
      </c>
    </row>
    <row r="25" spans="1:25" x14ac:dyDescent="0.25">
      <c r="A25" s="257" t="s">
        <v>172</v>
      </c>
      <c r="B25" s="258">
        <v>11814.454229999999</v>
      </c>
      <c r="C25" s="258">
        <v>0</v>
      </c>
      <c r="D25" s="258">
        <v>2344.1484599999999</v>
      </c>
      <c r="E25" s="258">
        <v>0</v>
      </c>
      <c r="F25" s="258">
        <v>9470.305769999999</v>
      </c>
      <c r="G25" s="258">
        <v>0</v>
      </c>
      <c r="H25" s="258">
        <v>-135.72582999999941</v>
      </c>
      <c r="I25" s="258">
        <v>-1843.7460000000001</v>
      </c>
      <c r="J25" s="258">
        <v>284.71216000000004</v>
      </c>
      <c r="K25" s="258">
        <v>0</v>
      </c>
      <c r="L25" s="258">
        <v>-420.43799000000035</v>
      </c>
      <c r="M25" s="258">
        <v>-1843.7460000000001</v>
      </c>
      <c r="N25" s="258">
        <v>59845.472560000002</v>
      </c>
      <c r="O25" s="258">
        <v>23383.555840000001</v>
      </c>
      <c r="P25" s="258">
        <v>7291.4775</v>
      </c>
      <c r="Q25" s="258">
        <v>0</v>
      </c>
      <c r="R25" s="258">
        <v>52553.995060000001</v>
      </c>
      <c r="S25" s="258">
        <v>23383.555840000001</v>
      </c>
      <c r="T25" s="258">
        <v>32868.168620000004</v>
      </c>
      <c r="U25" s="258">
        <v>13687.32833</v>
      </c>
      <c r="V25" s="258">
        <v>2097.3597799999998</v>
      </c>
      <c r="W25" s="258">
        <v>0</v>
      </c>
      <c r="X25" s="258">
        <v>30770.808840000002</v>
      </c>
      <c r="Y25" s="259">
        <v>13687.32833</v>
      </c>
    </row>
    <row r="26" spans="1:25" x14ac:dyDescent="0.25">
      <c r="A26" s="257" t="s">
        <v>173</v>
      </c>
      <c r="B26" s="258">
        <v>11728.65762</v>
      </c>
      <c r="C26" s="258">
        <v>0</v>
      </c>
      <c r="D26" s="258">
        <v>5022.2208499999997</v>
      </c>
      <c r="E26" s="258">
        <v>0</v>
      </c>
      <c r="F26" s="258">
        <v>6706.4367700000003</v>
      </c>
      <c r="G26" s="258">
        <v>0</v>
      </c>
      <c r="H26" s="258">
        <v>234.94521999999961</v>
      </c>
      <c r="I26" s="258">
        <v>-5.2527200000000001</v>
      </c>
      <c r="J26" s="258">
        <v>-886.67599000000064</v>
      </c>
      <c r="K26" s="258">
        <v>0</v>
      </c>
      <c r="L26" s="258">
        <v>1121.6212100000002</v>
      </c>
      <c r="M26" s="258">
        <v>-5.2527200000000001</v>
      </c>
      <c r="N26" s="258">
        <v>50967.856969999993</v>
      </c>
      <c r="O26" s="258">
        <v>512.93012999999996</v>
      </c>
      <c r="P26" s="258">
        <v>8723.3646499999995</v>
      </c>
      <c r="Q26" s="258">
        <v>0</v>
      </c>
      <c r="R26" s="258">
        <v>42244.492319999998</v>
      </c>
      <c r="S26" s="258">
        <v>512.93012999999996</v>
      </c>
      <c r="T26" s="258">
        <v>27743.119829999996</v>
      </c>
      <c r="U26" s="258">
        <v>-504.93757000000005</v>
      </c>
      <c r="V26" s="258">
        <v>-1414.7976799999997</v>
      </c>
      <c r="W26" s="258">
        <v>0</v>
      </c>
      <c r="X26" s="258">
        <v>29157.917509999999</v>
      </c>
      <c r="Y26" s="259">
        <v>-504.93757000000005</v>
      </c>
    </row>
    <row r="27" spans="1:25" x14ac:dyDescent="0.25">
      <c r="A27" s="257" t="s">
        <v>174</v>
      </c>
      <c r="B27" s="258">
        <v>7008.6040000000003</v>
      </c>
      <c r="C27" s="258">
        <v>132.6</v>
      </c>
      <c r="D27" s="258">
        <v>5190.3858200000004</v>
      </c>
      <c r="E27" s="258">
        <v>132.6</v>
      </c>
      <c r="F27" s="258">
        <v>1818.2181800000001</v>
      </c>
      <c r="G27" s="258">
        <v>0</v>
      </c>
      <c r="H27" s="258">
        <v>-634.16480999999931</v>
      </c>
      <c r="I27" s="258">
        <v>0</v>
      </c>
      <c r="J27" s="258">
        <v>28.163710000000719</v>
      </c>
      <c r="K27" s="258">
        <v>0</v>
      </c>
      <c r="L27" s="258">
        <v>-662.32852000000025</v>
      </c>
      <c r="M27" s="258">
        <v>0</v>
      </c>
      <c r="N27" s="258">
        <v>90797.446809999994</v>
      </c>
      <c r="O27" s="258">
        <v>39221.844989999991</v>
      </c>
      <c r="P27" s="258">
        <v>4082.8998700000002</v>
      </c>
      <c r="Q27" s="258">
        <v>109.81537</v>
      </c>
      <c r="R27" s="258">
        <v>86714.54694</v>
      </c>
      <c r="S27" s="258">
        <v>39112.029619999994</v>
      </c>
      <c r="T27" s="258">
        <v>23508.17585</v>
      </c>
      <c r="U27" s="258">
        <v>131.08863999999448</v>
      </c>
      <c r="V27" s="258">
        <v>-896.63578999999936</v>
      </c>
      <c r="W27" s="258">
        <v>-107.07311999999999</v>
      </c>
      <c r="X27" s="258">
        <v>24404.81164</v>
      </c>
      <c r="Y27" s="259">
        <v>238.16175999999541</v>
      </c>
    </row>
    <row r="28" spans="1:25" x14ac:dyDescent="0.25">
      <c r="A28" s="257" t="s">
        <v>175</v>
      </c>
      <c r="B28" s="258">
        <v>5616.2517699999999</v>
      </c>
      <c r="C28" s="258">
        <v>0</v>
      </c>
      <c r="D28" s="258">
        <v>4425.2941099999998</v>
      </c>
      <c r="E28" s="258">
        <v>0</v>
      </c>
      <c r="F28" s="258">
        <v>1190.95766</v>
      </c>
      <c r="G28" s="258">
        <v>0</v>
      </c>
      <c r="H28" s="258">
        <v>-3592.7482399999999</v>
      </c>
      <c r="I28" s="258">
        <v>0</v>
      </c>
      <c r="J28" s="258">
        <v>-2012.2908699999998</v>
      </c>
      <c r="K28" s="258">
        <v>0</v>
      </c>
      <c r="L28" s="258">
        <v>-1580.4573700000001</v>
      </c>
      <c r="M28" s="258">
        <v>0</v>
      </c>
      <c r="N28" s="258">
        <v>53576.496230000004</v>
      </c>
      <c r="O28" s="258">
        <v>0</v>
      </c>
      <c r="P28" s="258">
        <v>8661.7799900000009</v>
      </c>
      <c r="Q28" s="258">
        <v>0</v>
      </c>
      <c r="R28" s="258">
        <v>44914.716240000002</v>
      </c>
      <c r="S28" s="258">
        <v>0</v>
      </c>
      <c r="T28" s="258">
        <v>42010.905440000002</v>
      </c>
      <c r="U28" s="258">
        <v>0</v>
      </c>
      <c r="V28" s="258">
        <v>-601.33583999999973</v>
      </c>
      <c r="W28" s="258">
        <v>0</v>
      </c>
      <c r="X28" s="258">
        <v>42612.241280000002</v>
      </c>
      <c r="Y28" s="259">
        <v>0</v>
      </c>
    </row>
    <row r="29" spans="1:25" x14ac:dyDescent="0.25">
      <c r="A29" s="257" t="s">
        <v>176</v>
      </c>
      <c r="B29" s="258">
        <v>1785.42598</v>
      </c>
      <c r="C29" s="258">
        <v>0</v>
      </c>
      <c r="D29" s="258">
        <v>750.24609999999996</v>
      </c>
      <c r="E29" s="258">
        <v>0</v>
      </c>
      <c r="F29" s="258">
        <v>1035.1798799999999</v>
      </c>
      <c r="G29" s="258">
        <v>0</v>
      </c>
      <c r="H29" s="258">
        <v>458.33262999999988</v>
      </c>
      <c r="I29" s="258">
        <v>0</v>
      </c>
      <c r="J29" s="258">
        <v>17.808389999999918</v>
      </c>
      <c r="K29" s="258">
        <v>0</v>
      </c>
      <c r="L29" s="258">
        <v>440.52423999999996</v>
      </c>
      <c r="M29" s="258">
        <v>0</v>
      </c>
      <c r="N29" s="258">
        <v>24649.639429999999</v>
      </c>
      <c r="O29" s="258">
        <v>1204.4646499999999</v>
      </c>
      <c r="P29" s="258">
        <v>534.39557000000002</v>
      </c>
      <c r="Q29" s="258">
        <v>0</v>
      </c>
      <c r="R29" s="258">
        <v>24115.243859999999</v>
      </c>
      <c r="S29" s="258">
        <v>1204.4646499999999</v>
      </c>
      <c r="T29" s="258">
        <v>19132.97005</v>
      </c>
      <c r="U29" s="258">
        <v>1010.2900499999998</v>
      </c>
      <c r="V29" s="258">
        <v>-195.87799999999993</v>
      </c>
      <c r="W29" s="258">
        <v>0</v>
      </c>
      <c r="X29" s="258">
        <v>19328.848050000001</v>
      </c>
      <c r="Y29" s="259">
        <v>1010.2900499999998</v>
      </c>
    </row>
    <row r="30" spans="1:25" x14ac:dyDescent="0.25">
      <c r="A30" s="257" t="s">
        <v>177</v>
      </c>
      <c r="B30" s="258">
        <v>246205.96424</v>
      </c>
      <c r="C30" s="258">
        <v>1054.57653</v>
      </c>
      <c r="D30" s="258">
        <v>50198.713109999997</v>
      </c>
      <c r="E30" s="258">
        <v>0</v>
      </c>
      <c r="F30" s="258">
        <v>196007.25112999999</v>
      </c>
      <c r="G30" s="258">
        <v>1054.57653</v>
      </c>
      <c r="H30" s="258">
        <v>181764.18865</v>
      </c>
      <c r="I30" s="258">
        <v>0</v>
      </c>
      <c r="J30" s="258">
        <v>14476.406989999996</v>
      </c>
      <c r="K30" s="258">
        <v>0</v>
      </c>
      <c r="L30" s="258">
        <v>167287.78165999998</v>
      </c>
      <c r="M30" s="258">
        <v>0</v>
      </c>
      <c r="N30" s="258">
        <v>488256.88540999999</v>
      </c>
      <c r="O30" s="258">
        <v>14876.151600000001</v>
      </c>
      <c r="P30" s="258">
        <v>143454.92615000001</v>
      </c>
      <c r="Q30" s="258">
        <v>12005.22026</v>
      </c>
      <c r="R30" s="258">
        <v>344801.95925999997</v>
      </c>
      <c r="S30" s="258">
        <v>2870.9313400000001</v>
      </c>
      <c r="T30" s="258">
        <v>211783.59406999999</v>
      </c>
      <c r="U30" s="258">
        <v>2697.7698400000008</v>
      </c>
      <c r="V30" s="258">
        <v>30320.143420000008</v>
      </c>
      <c r="W30" s="258">
        <v>4682.4548299999997</v>
      </c>
      <c r="X30" s="258">
        <v>181463.45064999998</v>
      </c>
      <c r="Y30" s="259">
        <v>-1984.6849899999997</v>
      </c>
    </row>
    <row r="31" spans="1:25" x14ac:dyDescent="0.25">
      <c r="A31" s="257" t="s">
        <v>178</v>
      </c>
      <c r="B31" s="258">
        <v>98517.053269999989</v>
      </c>
      <c r="C31" s="258">
        <v>2575.6691500000002</v>
      </c>
      <c r="D31" s="258">
        <v>19925.959500000001</v>
      </c>
      <c r="E31" s="258">
        <v>2157.7422900000001</v>
      </c>
      <c r="F31" s="258">
        <v>78591.093769999992</v>
      </c>
      <c r="G31" s="258">
        <v>417.92685999999998</v>
      </c>
      <c r="H31" s="258">
        <v>76931.848239999992</v>
      </c>
      <c r="I31" s="258">
        <v>958.86869000000024</v>
      </c>
      <c r="J31" s="258">
        <v>6822.5202600000011</v>
      </c>
      <c r="K31" s="258">
        <v>540.94183000000021</v>
      </c>
      <c r="L31" s="258">
        <v>70109.327979999987</v>
      </c>
      <c r="M31" s="258">
        <v>417.92685999999998</v>
      </c>
      <c r="N31" s="258">
        <v>195068.99909</v>
      </c>
      <c r="O31" s="258">
        <v>213.10662000000002</v>
      </c>
      <c r="P31" s="258">
        <v>30053.428520000001</v>
      </c>
      <c r="Q31" s="258">
        <v>213.02322000000001</v>
      </c>
      <c r="R31" s="258">
        <v>165015.57057000001</v>
      </c>
      <c r="S31" s="258">
        <v>8.3400000000000002E-2</v>
      </c>
      <c r="T31" s="258">
        <v>170355.91042999999</v>
      </c>
      <c r="U31" s="258">
        <v>213.10662000000002</v>
      </c>
      <c r="V31" s="258">
        <v>7815.2045600000019</v>
      </c>
      <c r="W31" s="258">
        <v>213.02322000000001</v>
      </c>
      <c r="X31" s="258">
        <v>162540.70587000001</v>
      </c>
      <c r="Y31" s="259">
        <v>8.3400000000000002E-2</v>
      </c>
    </row>
    <row r="32" spans="1:25" x14ac:dyDescent="0.25">
      <c r="A32" s="257" t="s">
        <v>179</v>
      </c>
      <c r="B32" s="258">
        <v>22152.066989999999</v>
      </c>
      <c r="C32" s="258">
        <v>144.41413999999997</v>
      </c>
      <c r="D32" s="258">
        <v>12904.02687</v>
      </c>
      <c r="E32" s="258">
        <v>6.1355300000000002</v>
      </c>
      <c r="F32" s="258">
        <v>9248.0401199999997</v>
      </c>
      <c r="G32" s="258">
        <v>138.27860999999999</v>
      </c>
      <c r="H32" s="258">
        <v>3136.6499599999988</v>
      </c>
      <c r="I32" s="258">
        <v>144.41413999999997</v>
      </c>
      <c r="J32" s="258">
        <v>2746.9663</v>
      </c>
      <c r="K32" s="258">
        <v>6.1355300000000002</v>
      </c>
      <c r="L32" s="258">
        <v>389.68365999999878</v>
      </c>
      <c r="M32" s="258">
        <v>138.27860999999999</v>
      </c>
      <c r="N32" s="258">
        <v>104937.11451000001</v>
      </c>
      <c r="O32" s="258">
        <v>809.79012999999998</v>
      </c>
      <c r="P32" s="258">
        <v>14748.048580000001</v>
      </c>
      <c r="Q32" s="258">
        <v>471.66289999999998</v>
      </c>
      <c r="R32" s="258">
        <v>90189.065930000012</v>
      </c>
      <c r="S32" s="258">
        <v>338.12723</v>
      </c>
      <c r="T32" s="258">
        <v>51686.302240000012</v>
      </c>
      <c r="U32" s="258">
        <v>-890.65451000000019</v>
      </c>
      <c r="V32" s="258">
        <v>974.75978000000032</v>
      </c>
      <c r="W32" s="258">
        <v>-628.40013999999996</v>
      </c>
      <c r="X32" s="258">
        <v>50711.542460000011</v>
      </c>
      <c r="Y32" s="259">
        <v>-262.25437000000005</v>
      </c>
    </row>
    <row r="33" spans="1:25" x14ac:dyDescent="0.25">
      <c r="A33" s="257" t="s">
        <v>180</v>
      </c>
      <c r="B33" s="258">
        <v>12599.93102</v>
      </c>
      <c r="C33" s="258">
        <v>0</v>
      </c>
      <c r="D33" s="258">
        <v>5331.0933599999998</v>
      </c>
      <c r="E33" s="258">
        <v>0</v>
      </c>
      <c r="F33" s="258">
        <v>7268.8376599999992</v>
      </c>
      <c r="G33" s="258">
        <v>0</v>
      </c>
      <c r="H33" s="258">
        <v>5182.4123799999998</v>
      </c>
      <c r="I33" s="258">
        <v>0</v>
      </c>
      <c r="J33" s="258">
        <v>784.83395000000019</v>
      </c>
      <c r="K33" s="258">
        <v>0</v>
      </c>
      <c r="L33" s="258">
        <v>4397.5784299999996</v>
      </c>
      <c r="M33" s="258">
        <v>0</v>
      </c>
      <c r="N33" s="258">
        <v>39695.348330000001</v>
      </c>
      <c r="O33" s="258">
        <v>0</v>
      </c>
      <c r="P33" s="258">
        <v>6197.8586299999997</v>
      </c>
      <c r="Q33" s="258">
        <v>0</v>
      </c>
      <c r="R33" s="258">
        <v>33497.489699999998</v>
      </c>
      <c r="S33" s="258">
        <v>0</v>
      </c>
      <c r="T33" s="258">
        <v>27804.6669</v>
      </c>
      <c r="U33" s="258">
        <v>0</v>
      </c>
      <c r="V33" s="258">
        <v>1931.7806499999997</v>
      </c>
      <c r="W33" s="258">
        <v>0</v>
      </c>
      <c r="X33" s="258">
        <v>25872.88625</v>
      </c>
      <c r="Y33" s="259">
        <v>0</v>
      </c>
    </row>
    <row r="34" spans="1:25" x14ac:dyDescent="0.25">
      <c r="A34" s="257" t="s">
        <v>181</v>
      </c>
      <c r="B34" s="258">
        <v>3761.0225700000001</v>
      </c>
      <c r="C34" s="258">
        <v>47.820279999999997</v>
      </c>
      <c r="D34" s="258">
        <v>2357.4726000000001</v>
      </c>
      <c r="E34" s="258">
        <v>0</v>
      </c>
      <c r="F34" s="258">
        <v>1403.54997</v>
      </c>
      <c r="G34" s="258">
        <v>47.820279999999997</v>
      </c>
      <c r="H34" s="258">
        <v>-784.31378999999924</v>
      </c>
      <c r="I34" s="258">
        <v>47.820279999999997</v>
      </c>
      <c r="J34" s="258">
        <v>92.905189999999948</v>
      </c>
      <c r="K34" s="258">
        <v>0</v>
      </c>
      <c r="L34" s="258">
        <v>-877.21897999999965</v>
      </c>
      <c r="M34" s="258">
        <v>47.820279999999997</v>
      </c>
      <c r="N34" s="258">
        <v>56645.101419999999</v>
      </c>
      <c r="O34" s="258">
        <v>251.38426000000001</v>
      </c>
      <c r="P34" s="258">
        <v>8216.8243199999997</v>
      </c>
      <c r="Q34" s="258">
        <v>251.38426000000001</v>
      </c>
      <c r="R34" s="258">
        <v>48428.277099999999</v>
      </c>
      <c r="S34" s="258">
        <v>0</v>
      </c>
      <c r="T34" s="258">
        <v>48468.779909999997</v>
      </c>
      <c r="U34" s="258">
        <v>28.657260000000008</v>
      </c>
      <c r="V34" s="258">
        <v>3363.3873599999997</v>
      </c>
      <c r="W34" s="258">
        <v>28.657260000000008</v>
      </c>
      <c r="X34" s="258">
        <v>45105.392549999997</v>
      </c>
      <c r="Y34" s="259">
        <v>0</v>
      </c>
    </row>
    <row r="35" spans="1:25" x14ac:dyDescent="0.25">
      <c r="A35" s="257" t="s">
        <v>182</v>
      </c>
      <c r="B35" s="258">
        <v>656.18515000000002</v>
      </c>
      <c r="C35" s="258">
        <v>80.891310000000004</v>
      </c>
      <c r="D35" s="258">
        <v>215.46985000000001</v>
      </c>
      <c r="E35" s="258">
        <v>47.369199999999999</v>
      </c>
      <c r="F35" s="258">
        <v>440.71530000000001</v>
      </c>
      <c r="G35" s="258">
        <v>33.522109999999998</v>
      </c>
      <c r="H35" s="258">
        <v>72.359180000000038</v>
      </c>
      <c r="I35" s="258">
        <v>0</v>
      </c>
      <c r="J35" s="258">
        <v>41.425000000000011</v>
      </c>
      <c r="K35" s="258">
        <v>0</v>
      </c>
      <c r="L35" s="258">
        <v>30.934180000000026</v>
      </c>
      <c r="M35" s="258">
        <v>0</v>
      </c>
      <c r="N35" s="258">
        <v>1560.4950699999999</v>
      </c>
      <c r="O35" s="258">
        <v>0</v>
      </c>
      <c r="P35" s="258">
        <v>555.88094999999998</v>
      </c>
      <c r="Q35" s="258">
        <v>0</v>
      </c>
      <c r="R35" s="258">
        <v>1004.61412</v>
      </c>
      <c r="S35" s="258">
        <v>0</v>
      </c>
      <c r="T35" s="258">
        <v>719.84001999999987</v>
      </c>
      <c r="U35" s="258">
        <v>0</v>
      </c>
      <c r="V35" s="258">
        <v>4.2749999999955435E-2</v>
      </c>
      <c r="W35" s="258">
        <v>0</v>
      </c>
      <c r="X35" s="258">
        <v>719.79727000000003</v>
      </c>
      <c r="Y35" s="259">
        <v>0</v>
      </c>
    </row>
    <row r="36" spans="1:25" x14ac:dyDescent="0.25">
      <c r="A36" s="257" t="s">
        <v>183</v>
      </c>
      <c r="B36" s="258">
        <v>4838.4233100000001</v>
      </c>
      <c r="C36" s="258">
        <v>1.3740000000000001</v>
      </c>
      <c r="D36" s="258">
        <v>994.34361999999999</v>
      </c>
      <c r="E36" s="258">
        <v>0</v>
      </c>
      <c r="F36" s="258">
        <v>3844.07969</v>
      </c>
      <c r="G36" s="258">
        <v>1.3740000000000001</v>
      </c>
      <c r="H36" s="258">
        <v>1656.44704</v>
      </c>
      <c r="I36" s="258">
        <v>0</v>
      </c>
      <c r="J36" s="258">
        <v>308.82062999999994</v>
      </c>
      <c r="K36" s="258">
        <v>0</v>
      </c>
      <c r="L36" s="258">
        <v>1347.6264099999999</v>
      </c>
      <c r="M36" s="258">
        <v>0</v>
      </c>
      <c r="N36" s="258">
        <v>3013.3097600000001</v>
      </c>
      <c r="O36" s="258">
        <v>0</v>
      </c>
      <c r="P36" s="258">
        <v>622.85733000000005</v>
      </c>
      <c r="Q36" s="258">
        <v>0</v>
      </c>
      <c r="R36" s="258">
        <v>2390.4524299999998</v>
      </c>
      <c r="S36" s="258">
        <v>0</v>
      </c>
      <c r="T36" s="258">
        <v>2725.0649400000002</v>
      </c>
      <c r="U36" s="258">
        <v>0</v>
      </c>
      <c r="V36" s="258">
        <v>505.83729000000005</v>
      </c>
      <c r="W36" s="258">
        <v>0</v>
      </c>
      <c r="X36" s="258">
        <v>2219.2276499999998</v>
      </c>
      <c r="Y36" s="259">
        <v>0</v>
      </c>
    </row>
    <row r="37" spans="1:25" x14ac:dyDescent="0.25">
      <c r="A37" s="274" t="s">
        <v>184</v>
      </c>
      <c r="B37" s="275">
        <v>941183.10684999998</v>
      </c>
      <c r="C37" s="275">
        <v>5238.8761599999998</v>
      </c>
      <c r="D37" s="275">
        <v>142284.77537999998</v>
      </c>
      <c r="E37" s="275">
        <v>2619.7480200000005</v>
      </c>
      <c r="F37" s="275">
        <v>798898.33147000021</v>
      </c>
      <c r="G37" s="275">
        <v>2619.1281399999993</v>
      </c>
      <c r="H37" s="275">
        <v>713497.17112999992</v>
      </c>
      <c r="I37" s="275">
        <v>-547.63148999999976</v>
      </c>
      <c r="J37" s="275">
        <v>21863.859299999996</v>
      </c>
      <c r="K37" s="275">
        <v>657.31349000000023</v>
      </c>
      <c r="L37" s="275">
        <v>691633.3118299999</v>
      </c>
      <c r="M37" s="275">
        <v>-1204.94498</v>
      </c>
      <c r="N37" s="275">
        <v>1819014.8320299999</v>
      </c>
      <c r="O37" s="275">
        <v>257143.68119999999</v>
      </c>
      <c r="P37" s="275">
        <v>296772.03766000003</v>
      </c>
      <c r="Q37" s="275">
        <v>28577.705259999995</v>
      </c>
      <c r="R37" s="275">
        <v>1522242.7943700003</v>
      </c>
      <c r="S37" s="275">
        <v>228565.97594000003</v>
      </c>
      <c r="T37" s="275">
        <v>962277.82791999984</v>
      </c>
      <c r="U37" s="275">
        <v>59506.913610000011</v>
      </c>
      <c r="V37" s="275">
        <v>54798.788230000006</v>
      </c>
      <c r="W37" s="275">
        <v>-1573.5876200000005</v>
      </c>
      <c r="X37" s="275">
        <v>907479.03969000012</v>
      </c>
      <c r="Y37" s="276">
        <v>61080.501230000002</v>
      </c>
    </row>
    <row r="38" spans="1:25" x14ac:dyDescent="0.25">
      <c r="A38" s="257" t="s">
        <v>327</v>
      </c>
      <c r="B38" s="258">
        <v>14388587.440950003</v>
      </c>
      <c r="C38" s="258">
        <v>52875.677479999998</v>
      </c>
      <c r="D38" s="258">
        <v>1468770.5345899998</v>
      </c>
      <c r="E38" s="258">
        <v>44548.602640000005</v>
      </c>
      <c r="F38" s="258">
        <v>12919816.90636</v>
      </c>
      <c r="G38" s="258">
        <v>8327.0748399999993</v>
      </c>
      <c r="H38" s="258">
        <v>3752280.5893800003</v>
      </c>
      <c r="I38" s="258">
        <v>-3925.4454899999978</v>
      </c>
      <c r="J38" s="258">
        <v>943706.17965999991</v>
      </c>
      <c r="K38" s="258">
        <v>-10906.719359999997</v>
      </c>
      <c r="L38" s="258">
        <v>2808574.4097200008</v>
      </c>
      <c r="M38" s="258">
        <v>6981.2738699999991</v>
      </c>
      <c r="N38" s="258">
        <v>3315684.2322200001</v>
      </c>
      <c r="O38" s="258">
        <v>355654.94652000006</v>
      </c>
      <c r="P38" s="258">
        <v>2061400.25789</v>
      </c>
      <c r="Q38" s="258">
        <v>352963.36696000001</v>
      </c>
      <c r="R38" s="258">
        <v>1254283.9743299999</v>
      </c>
      <c r="S38" s="258">
        <v>2691.5795600000001</v>
      </c>
      <c r="T38" s="258">
        <v>646142.21981000004</v>
      </c>
      <c r="U38" s="258">
        <v>38242.272090000042</v>
      </c>
      <c r="V38" s="258">
        <v>58207.415199999981</v>
      </c>
      <c r="W38" s="258">
        <v>37600.138599999991</v>
      </c>
      <c r="X38" s="258">
        <v>587934.80460999999</v>
      </c>
      <c r="Y38" s="259">
        <v>642.13348999999982</v>
      </c>
    </row>
    <row r="39" spans="1:25" ht="13.8" thickBot="1" x14ac:dyDescent="0.3">
      <c r="A39" s="277" t="s">
        <v>328</v>
      </c>
      <c r="B39" s="278">
        <v>15329770.547800003</v>
      </c>
      <c r="C39" s="278">
        <v>58114.553639999998</v>
      </c>
      <c r="D39" s="278">
        <v>1611055.3099699998</v>
      </c>
      <c r="E39" s="278">
        <v>47168.350660000004</v>
      </c>
      <c r="F39" s="278">
        <v>13718715.23783</v>
      </c>
      <c r="G39" s="278">
        <v>10946.202979999998</v>
      </c>
      <c r="H39" s="278">
        <v>4465777.7605100004</v>
      </c>
      <c r="I39" s="278">
        <v>-4473.076979999998</v>
      </c>
      <c r="J39" s="278">
        <v>965570.03895999992</v>
      </c>
      <c r="K39" s="278">
        <v>-10249.405869999997</v>
      </c>
      <c r="L39" s="278">
        <v>3500207.7215500008</v>
      </c>
      <c r="M39" s="278">
        <v>5776.3288899999989</v>
      </c>
      <c r="N39" s="278">
        <v>5134699.0642499998</v>
      </c>
      <c r="O39" s="278">
        <v>612798.62771999999</v>
      </c>
      <c r="P39" s="278">
        <v>2358172.2955499999</v>
      </c>
      <c r="Q39" s="278">
        <v>381541.07222000003</v>
      </c>
      <c r="R39" s="278">
        <v>2776526.7686999999</v>
      </c>
      <c r="S39" s="278">
        <v>231257.55550000005</v>
      </c>
      <c r="T39" s="278">
        <v>1608420.0477299998</v>
      </c>
      <c r="U39" s="278">
        <v>97749.18570000006</v>
      </c>
      <c r="V39" s="278">
        <v>113006.20342999999</v>
      </c>
      <c r="W39" s="278">
        <v>36026.550979999993</v>
      </c>
      <c r="X39" s="278">
        <v>1495413.8443</v>
      </c>
      <c r="Y39" s="279">
        <v>61722.634720000002</v>
      </c>
    </row>
    <row r="40" spans="1:25" ht="13.8" thickTop="1" x14ac:dyDescent="0.25"/>
    <row r="41" spans="1:25" hidden="1" x14ac:dyDescent="0.25">
      <c r="B41" s="256">
        <f t="shared" ref="B41:C41" si="0">B37/1000</f>
        <v>941.18310684999994</v>
      </c>
      <c r="C41" s="256">
        <f t="shared" si="0"/>
        <v>5.2388761600000002</v>
      </c>
      <c r="D41" s="256">
        <f t="shared" ref="D41:Y41" si="1">D37/1000</f>
        <v>142.28477537999999</v>
      </c>
      <c r="E41" s="256">
        <f t="shared" si="1"/>
        <v>2.6197480200000003</v>
      </c>
      <c r="F41" s="256">
        <f t="shared" si="1"/>
        <v>798.89833147000024</v>
      </c>
      <c r="G41" s="256">
        <f t="shared" si="1"/>
        <v>2.6191281399999995</v>
      </c>
      <c r="H41" s="256">
        <f t="shared" si="1"/>
        <v>713.49717112999997</v>
      </c>
      <c r="I41" s="256">
        <f t="shared" si="1"/>
        <v>-0.54763148999999978</v>
      </c>
      <c r="J41" s="256">
        <f t="shared" si="1"/>
        <v>21.863859299999998</v>
      </c>
      <c r="K41" s="256">
        <f t="shared" si="1"/>
        <v>0.65731349000000028</v>
      </c>
      <c r="L41" s="256">
        <f t="shared" si="1"/>
        <v>691.63331182999991</v>
      </c>
      <c r="M41" s="256">
        <f t="shared" si="1"/>
        <v>-1.2049449800000001</v>
      </c>
      <c r="N41" s="256">
        <f t="shared" si="1"/>
        <v>1819.01483203</v>
      </c>
      <c r="O41" s="256">
        <f t="shared" si="1"/>
        <v>257.1436812</v>
      </c>
      <c r="P41" s="256">
        <f t="shared" si="1"/>
        <v>296.77203766000002</v>
      </c>
      <c r="Q41" s="256">
        <f t="shared" si="1"/>
        <v>28.577705259999995</v>
      </c>
      <c r="R41" s="256">
        <f t="shared" si="1"/>
        <v>1522.2427943700002</v>
      </c>
      <c r="S41" s="256">
        <f t="shared" si="1"/>
        <v>228.56597594000004</v>
      </c>
      <c r="T41" s="256">
        <f t="shared" si="1"/>
        <v>962.27782791999982</v>
      </c>
      <c r="U41" s="256">
        <f t="shared" si="1"/>
        <v>59.506913610000012</v>
      </c>
      <c r="V41" s="256">
        <f t="shared" si="1"/>
        <v>54.798788230000007</v>
      </c>
      <c r="W41" s="256">
        <f t="shared" si="1"/>
        <v>-1.5735876200000005</v>
      </c>
      <c r="X41" s="256">
        <f t="shared" si="1"/>
        <v>907.47903969000015</v>
      </c>
      <c r="Y41" s="256">
        <f t="shared" si="1"/>
        <v>61.080501230000003</v>
      </c>
    </row>
    <row r="42" spans="1:25" hidden="1" x14ac:dyDescent="0.25">
      <c r="B42" s="256">
        <f t="shared" ref="B42:C42" si="2">B38/1000</f>
        <v>14388.587440950003</v>
      </c>
      <c r="C42" s="256">
        <f t="shared" si="2"/>
        <v>52.87567748</v>
      </c>
      <c r="D42" s="256">
        <f t="shared" ref="D42:Y42" si="3">D38/1000</f>
        <v>1468.7705345899999</v>
      </c>
      <c r="E42" s="256">
        <f t="shared" si="3"/>
        <v>44.548602640000006</v>
      </c>
      <c r="F42" s="256">
        <f t="shared" si="3"/>
        <v>12919.81690636</v>
      </c>
      <c r="G42" s="256">
        <f t="shared" si="3"/>
        <v>8.3270748399999999</v>
      </c>
      <c r="H42" s="256">
        <f t="shared" si="3"/>
        <v>3752.28058938</v>
      </c>
      <c r="I42" s="256">
        <f t="shared" si="3"/>
        <v>-3.9254454899999978</v>
      </c>
      <c r="J42" s="256">
        <f t="shared" si="3"/>
        <v>943.70617965999986</v>
      </c>
      <c r="K42" s="256">
        <f t="shared" si="3"/>
        <v>-10.906719359999997</v>
      </c>
      <c r="L42" s="256">
        <f t="shared" si="3"/>
        <v>2808.5744097200009</v>
      </c>
      <c r="M42" s="256">
        <f t="shared" si="3"/>
        <v>6.981273869999999</v>
      </c>
      <c r="N42" s="256">
        <f t="shared" si="3"/>
        <v>3315.68423222</v>
      </c>
      <c r="O42" s="256">
        <f t="shared" si="3"/>
        <v>355.65494652000007</v>
      </c>
      <c r="P42" s="256">
        <f t="shared" si="3"/>
        <v>2061.4002578899999</v>
      </c>
      <c r="Q42" s="256">
        <f t="shared" si="3"/>
        <v>352.96336696000003</v>
      </c>
      <c r="R42" s="256">
        <f t="shared" si="3"/>
        <v>1254.2839743299999</v>
      </c>
      <c r="S42" s="256">
        <f t="shared" si="3"/>
        <v>2.6915795600000001</v>
      </c>
      <c r="T42" s="256">
        <f t="shared" si="3"/>
        <v>646.14221981000003</v>
      </c>
      <c r="U42" s="256">
        <f t="shared" si="3"/>
        <v>38.242272090000043</v>
      </c>
      <c r="V42" s="256">
        <f t="shared" si="3"/>
        <v>58.207415199999978</v>
      </c>
      <c r="W42" s="256">
        <f t="shared" si="3"/>
        <v>37.600138599999994</v>
      </c>
      <c r="X42" s="256">
        <f t="shared" si="3"/>
        <v>587.93480461000001</v>
      </c>
      <c r="Y42" s="256">
        <f t="shared" si="3"/>
        <v>0.64213348999999986</v>
      </c>
    </row>
    <row r="43" spans="1:25" hidden="1" x14ac:dyDescent="0.25">
      <c r="B43" s="256">
        <f t="shared" ref="B43:C43" si="4">B39/1000</f>
        <v>15329.770547800003</v>
      </c>
      <c r="C43" s="256">
        <f t="shared" si="4"/>
        <v>58.114553639999997</v>
      </c>
      <c r="D43" s="256">
        <f t="shared" ref="D43:Y43" si="5">D39/1000</f>
        <v>1611.0553099699998</v>
      </c>
      <c r="E43" s="256">
        <f t="shared" si="5"/>
        <v>47.168350660000002</v>
      </c>
      <c r="F43" s="256">
        <f t="shared" si="5"/>
        <v>13718.71523783</v>
      </c>
      <c r="G43" s="256">
        <f t="shared" si="5"/>
        <v>10.946202979999999</v>
      </c>
      <c r="H43" s="256">
        <f t="shared" si="5"/>
        <v>4465.77776051</v>
      </c>
      <c r="I43" s="256">
        <f t="shared" si="5"/>
        <v>-4.4730769799999983</v>
      </c>
      <c r="J43" s="256">
        <f t="shared" si="5"/>
        <v>965.57003895999992</v>
      </c>
      <c r="K43" s="256">
        <f t="shared" si="5"/>
        <v>-10.249405869999997</v>
      </c>
      <c r="L43" s="256">
        <f t="shared" si="5"/>
        <v>3500.2077215500008</v>
      </c>
      <c r="M43" s="256">
        <f t="shared" si="5"/>
        <v>5.7763288899999985</v>
      </c>
      <c r="N43" s="256">
        <f t="shared" si="5"/>
        <v>5134.6990642499995</v>
      </c>
      <c r="O43" s="256">
        <f t="shared" si="5"/>
        <v>612.79862772000001</v>
      </c>
      <c r="P43" s="256">
        <f t="shared" si="5"/>
        <v>2358.1722955499999</v>
      </c>
      <c r="Q43" s="256">
        <f t="shared" si="5"/>
        <v>381.54107222000005</v>
      </c>
      <c r="R43" s="256">
        <f t="shared" si="5"/>
        <v>2776.5267687</v>
      </c>
      <c r="S43" s="256">
        <f t="shared" si="5"/>
        <v>231.25755550000005</v>
      </c>
      <c r="T43" s="256">
        <f t="shared" si="5"/>
        <v>1608.4200477299999</v>
      </c>
      <c r="U43" s="256">
        <f t="shared" si="5"/>
        <v>97.749185700000055</v>
      </c>
      <c r="V43" s="256">
        <f t="shared" si="5"/>
        <v>113.00620343</v>
      </c>
      <c r="W43" s="256">
        <f t="shared" si="5"/>
        <v>36.026550979999996</v>
      </c>
      <c r="X43" s="256">
        <f t="shared" si="5"/>
        <v>1495.4138442999999</v>
      </c>
      <c r="Y43" s="256">
        <f t="shared" si="5"/>
        <v>61.722634720000002</v>
      </c>
    </row>
    <row r="46" spans="1:25" s="264" customFormat="1" x14ac:dyDescent="0.25">
      <c r="A46" s="351"/>
      <c r="B46" s="591"/>
      <c r="C46" s="591"/>
      <c r="D46" s="591"/>
      <c r="E46" s="591"/>
      <c r="F46" s="591"/>
      <c r="G46" s="591"/>
      <c r="H46" s="590"/>
      <c r="I46" s="590"/>
      <c r="J46" s="590"/>
      <c r="K46" s="590"/>
      <c r="L46" s="590"/>
      <c r="M46" s="590"/>
      <c r="N46" s="591"/>
      <c r="O46" s="591"/>
      <c r="P46" s="591"/>
      <c r="Q46" s="591"/>
      <c r="R46" s="591"/>
      <c r="S46" s="591"/>
      <c r="T46" s="590"/>
      <c r="U46" s="590"/>
      <c r="V46" s="590"/>
      <c r="W46" s="590"/>
      <c r="X46" s="590"/>
      <c r="Y46" s="590"/>
    </row>
    <row r="47" spans="1:25" s="264" customFormat="1" x14ac:dyDescent="0.25">
      <c r="A47" s="351"/>
    </row>
    <row r="48" spans="1:25" s="264" customFormat="1" x14ac:dyDescent="0.25">
      <c r="A48" s="351"/>
    </row>
    <row r="49" spans="1:1" s="264" customFormat="1" x14ac:dyDescent="0.25">
      <c r="A49" s="351"/>
    </row>
  </sheetData>
  <mergeCells count="33">
    <mergeCell ref="A5:A9"/>
    <mergeCell ref="B5:M5"/>
    <mergeCell ref="N5:Y5"/>
    <mergeCell ref="B6:G6"/>
    <mergeCell ref="H6:M6"/>
    <mergeCell ref="N6:S6"/>
    <mergeCell ref="T6:Y6"/>
    <mergeCell ref="T7:T9"/>
    <mergeCell ref="H7:H9"/>
    <mergeCell ref="B7:B9"/>
    <mergeCell ref="N7:N9"/>
    <mergeCell ref="H46:M46"/>
    <mergeCell ref="T46:Y46"/>
    <mergeCell ref="B46:G46"/>
    <mergeCell ref="N46:S46"/>
    <mergeCell ref="X8:X9"/>
    <mergeCell ref="F8:F9"/>
    <mergeCell ref="L8:L9"/>
    <mergeCell ref="R8:R9"/>
    <mergeCell ref="D8:D9"/>
    <mergeCell ref="J8:J9"/>
    <mergeCell ref="B3:M3"/>
    <mergeCell ref="P8:P9"/>
    <mergeCell ref="V8:V9"/>
    <mergeCell ref="X1:Y1"/>
    <mergeCell ref="C7:C8"/>
    <mergeCell ref="D7:G7"/>
    <mergeCell ref="I7:I8"/>
    <mergeCell ref="J7:M7"/>
    <mergeCell ref="O7:O8"/>
    <mergeCell ref="P7:S7"/>
    <mergeCell ref="V7:Y7"/>
    <mergeCell ref="U7:U8"/>
  </mergeCells>
  <conditionalFormatting sqref="B11:XFD39">
    <cfRule type="cellIs" dxfId="1" priority="1" operator="equal">
      <formula>0</formula>
    </cfRule>
  </conditionalFormatting>
  <printOptions horizontalCentered="1"/>
  <pageMargins left="0" right="0" top="0.55118110236220474" bottom="0.35433070866141736" header="0.31496062992125984" footer="0.11811023622047245"/>
  <pageSetup paperSize="9" fitToWidth="100" orientation="landscape" r:id="rId1"/>
  <headerFooter>
    <oddFooter>&amp;C&amp;9Страница  &amp;P из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8"/>
  <sheetViews>
    <sheetView zoomScaleNormal="100" workbookViewId="0">
      <pane xSplit="1" ySplit="9" topLeftCell="B25" activePane="bottomRight" state="frozen"/>
      <selection activeCell="A188" sqref="A188"/>
      <selection pane="topRight" activeCell="A188" sqref="A188"/>
      <selection pane="bottomLeft" activeCell="A188" sqref="A188"/>
      <selection pane="bottomRight" activeCell="J32" sqref="J32"/>
    </sheetView>
  </sheetViews>
  <sheetFormatPr defaultColWidth="9.109375" defaultRowHeight="13.2" x14ac:dyDescent="0.25"/>
  <cols>
    <col min="1" max="1" width="20.5546875" style="269" bestFit="1" customWidth="1"/>
    <col min="2" max="2" width="12.33203125" style="256" bestFit="1" customWidth="1"/>
    <col min="3" max="3" width="9.109375" style="256"/>
    <col min="4" max="4" width="11.109375" style="256" customWidth="1"/>
    <col min="5" max="5" width="9.109375" style="256"/>
    <col min="6" max="6" width="12.33203125" style="256" bestFit="1" customWidth="1"/>
    <col min="7" max="7" width="9.109375" style="256"/>
    <col min="8" max="8" width="12" style="256" customWidth="1"/>
    <col min="9" max="9" width="9.109375" style="256"/>
    <col min="10" max="10" width="11.33203125" style="256" bestFit="1" customWidth="1"/>
    <col min="11" max="11" width="9.6640625" style="256" bestFit="1" customWidth="1"/>
    <col min="12" max="12" width="12.44140625" style="256" customWidth="1"/>
    <col min="13" max="13" width="9.109375" style="256"/>
    <col min="14" max="14" width="11.33203125" style="256" bestFit="1" customWidth="1"/>
    <col min="15" max="15" width="9.6640625" style="256" bestFit="1" customWidth="1"/>
    <col min="16" max="16" width="12.5546875" style="256" customWidth="1"/>
    <col min="17" max="17" width="10.33203125" style="256" customWidth="1"/>
    <col min="18" max="18" width="11.6640625" style="256" customWidth="1"/>
    <col min="19" max="19" width="9.109375" style="256"/>
    <col min="20" max="20" width="10.33203125" style="256" bestFit="1" customWidth="1"/>
    <col min="21" max="21" width="9.109375" style="256"/>
    <col min="22" max="22" width="10.109375" style="256" customWidth="1"/>
    <col min="23" max="23" width="9.109375" style="256"/>
    <col min="24" max="24" width="10.88671875" style="256" customWidth="1"/>
    <col min="25" max="16384" width="9.109375" style="256"/>
  </cols>
  <sheetData>
    <row r="1" spans="1:25" s="346" customFormat="1" ht="21.75" customHeight="1" x14ac:dyDescent="0.25">
      <c r="L1" s="592" t="s">
        <v>1174</v>
      </c>
      <c r="M1" s="592"/>
      <c r="P1" s="353"/>
      <c r="Q1" s="353"/>
      <c r="X1" s="592" t="s">
        <v>1174</v>
      </c>
      <c r="Y1" s="592"/>
    </row>
    <row r="2" spans="1:25" s="255" customFormat="1" ht="33.75" customHeight="1" x14ac:dyDescent="0.25">
      <c r="A2" s="337"/>
      <c r="B2" s="521" t="s">
        <v>484</v>
      </c>
      <c r="C2" s="521"/>
      <c r="D2" s="521"/>
      <c r="E2" s="521"/>
      <c r="F2" s="521"/>
      <c r="G2" s="521"/>
      <c r="H2" s="521"/>
      <c r="I2" s="521"/>
      <c r="J2" s="521"/>
      <c r="K2" s="521"/>
      <c r="L2" s="521"/>
      <c r="M2" s="521"/>
      <c r="N2" s="337"/>
      <c r="O2" s="337"/>
      <c r="P2" s="337"/>
      <c r="Q2" s="337"/>
    </row>
    <row r="3" spans="1:25" s="255" customFormat="1" ht="13.8" thickBot="1" x14ac:dyDescent="0.3">
      <c r="P3" s="352"/>
      <c r="Q3" s="352"/>
    </row>
    <row r="4" spans="1:25" s="333" customFormat="1" ht="13.5" customHeight="1" thickTop="1" x14ac:dyDescent="0.25">
      <c r="A4" s="580" t="s">
        <v>323</v>
      </c>
      <c r="B4" s="522" t="s">
        <v>331</v>
      </c>
      <c r="C4" s="522"/>
      <c r="D4" s="522"/>
      <c r="E4" s="522"/>
      <c r="F4" s="522"/>
      <c r="G4" s="522"/>
      <c r="H4" s="522"/>
      <c r="I4" s="522"/>
      <c r="J4" s="522"/>
      <c r="K4" s="522"/>
      <c r="L4" s="522"/>
      <c r="M4" s="522"/>
      <c r="N4" s="522" t="s">
        <v>332</v>
      </c>
      <c r="O4" s="522"/>
      <c r="P4" s="522"/>
      <c r="Q4" s="522"/>
      <c r="R4" s="522"/>
      <c r="S4" s="522"/>
      <c r="T4" s="522"/>
      <c r="U4" s="522"/>
      <c r="V4" s="522"/>
      <c r="W4" s="522"/>
      <c r="X4" s="522"/>
      <c r="Y4" s="523"/>
    </row>
    <row r="5" spans="1:25" s="333" customFormat="1" ht="12.75" customHeight="1" x14ac:dyDescent="0.25">
      <c r="A5" s="581"/>
      <c r="B5" s="524" t="s">
        <v>444</v>
      </c>
      <c r="C5" s="524"/>
      <c r="D5" s="524"/>
      <c r="E5" s="524"/>
      <c r="F5" s="524"/>
      <c r="G5" s="524"/>
      <c r="H5" s="524" t="s">
        <v>482</v>
      </c>
      <c r="I5" s="524"/>
      <c r="J5" s="524"/>
      <c r="K5" s="524"/>
      <c r="L5" s="524"/>
      <c r="M5" s="524"/>
      <c r="N5" s="524" t="s">
        <v>444</v>
      </c>
      <c r="O5" s="524"/>
      <c r="P5" s="524"/>
      <c r="Q5" s="524"/>
      <c r="R5" s="524"/>
      <c r="S5" s="524"/>
      <c r="T5" s="524" t="s">
        <v>482</v>
      </c>
      <c r="U5" s="524"/>
      <c r="V5" s="524"/>
      <c r="W5" s="524"/>
      <c r="X5" s="524"/>
      <c r="Y5" s="525"/>
    </row>
    <row r="6" spans="1:25" s="333" customFormat="1" ht="12.75" customHeight="1" x14ac:dyDescent="0.25">
      <c r="A6" s="581"/>
      <c r="B6" s="524" t="s">
        <v>333</v>
      </c>
      <c r="C6" s="582" t="s">
        <v>140</v>
      </c>
      <c r="D6" s="574" t="s">
        <v>334</v>
      </c>
      <c r="E6" s="586"/>
      <c r="F6" s="586"/>
      <c r="G6" s="576"/>
      <c r="H6" s="524" t="s">
        <v>333</v>
      </c>
      <c r="I6" s="582" t="s">
        <v>140</v>
      </c>
      <c r="J6" s="574" t="s">
        <v>334</v>
      </c>
      <c r="K6" s="586"/>
      <c r="L6" s="586"/>
      <c r="M6" s="576"/>
      <c r="N6" s="524" t="s">
        <v>333</v>
      </c>
      <c r="O6" s="582" t="s">
        <v>140</v>
      </c>
      <c r="P6" s="574" t="s">
        <v>334</v>
      </c>
      <c r="Q6" s="586"/>
      <c r="R6" s="586"/>
      <c r="S6" s="576"/>
      <c r="T6" s="524" t="s">
        <v>333</v>
      </c>
      <c r="U6" s="582" t="s">
        <v>140</v>
      </c>
      <c r="V6" s="574" t="s">
        <v>334</v>
      </c>
      <c r="W6" s="586"/>
      <c r="X6" s="586"/>
      <c r="Y6" s="593"/>
    </row>
    <row r="7" spans="1:25" s="333" customFormat="1" ht="12.75" customHeight="1" x14ac:dyDescent="0.25">
      <c r="A7" s="581"/>
      <c r="B7" s="524"/>
      <c r="C7" s="583"/>
      <c r="D7" s="524" t="s">
        <v>422</v>
      </c>
      <c r="E7" s="330" t="s">
        <v>140</v>
      </c>
      <c r="F7" s="524" t="s">
        <v>421</v>
      </c>
      <c r="G7" s="330" t="s">
        <v>140</v>
      </c>
      <c r="H7" s="524"/>
      <c r="I7" s="583"/>
      <c r="J7" s="524" t="s">
        <v>422</v>
      </c>
      <c r="K7" s="330" t="s">
        <v>140</v>
      </c>
      <c r="L7" s="524" t="s">
        <v>421</v>
      </c>
      <c r="M7" s="330" t="s">
        <v>140</v>
      </c>
      <c r="N7" s="524"/>
      <c r="O7" s="583"/>
      <c r="P7" s="524" t="s">
        <v>422</v>
      </c>
      <c r="Q7" s="330" t="s">
        <v>140</v>
      </c>
      <c r="R7" s="524" t="s">
        <v>335</v>
      </c>
      <c r="S7" s="330" t="s">
        <v>140</v>
      </c>
      <c r="T7" s="524"/>
      <c r="U7" s="583"/>
      <c r="V7" s="524" t="s">
        <v>422</v>
      </c>
      <c r="W7" s="330" t="s">
        <v>140</v>
      </c>
      <c r="X7" s="524" t="s">
        <v>335</v>
      </c>
      <c r="Y7" s="331" t="s">
        <v>140</v>
      </c>
    </row>
    <row r="8" spans="1:25" s="333" customFormat="1" ht="26.4" x14ac:dyDescent="0.25">
      <c r="A8" s="581"/>
      <c r="B8" s="524"/>
      <c r="C8" s="330" t="s">
        <v>336</v>
      </c>
      <c r="D8" s="524"/>
      <c r="E8" s="330" t="s">
        <v>336</v>
      </c>
      <c r="F8" s="524"/>
      <c r="G8" s="330" t="s">
        <v>336</v>
      </c>
      <c r="H8" s="524"/>
      <c r="I8" s="330" t="s">
        <v>336</v>
      </c>
      <c r="J8" s="524"/>
      <c r="K8" s="330" t="s">
        <v>336</v>
      </c>
      <c r="L8" s="524"/>
      <c r="M8" s="330" t="s">
        <v>336</v>
      </c>
      <c r="N8" s="524"/>
      <c r="O8" s="330" t="s">
        <v>336</v>
      </c>
      <c r="P8" s="524"/>
      <c r="Q8" s="330" t="s">
        <v>336</v>
      </c>
      <c r="R8" s="524"/>
      <c r="S8" s="330" t="s">
        <v>336</v>
      </c>
      <c r="T8" s="524"/>
      <c r="U8" s="330" t="s">
        <v>336</v>
      </c>
      <c r="V8" s="524"/>
      <c r="W8" s="330" t="s">
        <v>336</v>
      </c>
      <c r="X8" s="524"/>
      <c r="Y8" s="331" t="s">
        <v>336</v>
      </c>
    </row>
    <row r="9" spans="1:25" s="225" customFormat="1" ht="10.199999999999999" x14ac:dyDescent="0.25">
      <c r="A9" s="224">
        <v>1</v>
      </c>
      <c r="B9" s="222">
        <v>2</v>
      </c>
      <c r="C9" s="222">
        <v>3</v>
      </c>
      <c r="D9" s="222">
        <v>4</v>
      </c>
      <c r="E9" s="222">
        <v>5</v>
      </c>
      <c r="F9" s="222">
        <v>6</v>
      </c>
      <c r="G9" s="222">
        <v>7</v>
      </c>
      <c r="H9" s="222">
        <v>8</v>
      </c>
      <c r="I9" s="222">
        <v>9</v>
      </c>
      <c r="J9" s="222">
        <v>10</v>
      </c>
      <c r="K9" s="222">
        <v>11</v>
      </c>
      <c r="L9" s="222">
        <v>12</v>
      </c>
      <c r="M9" s="222">
        <v>13</v>
      </c>
      <c r="N9" s="222">
        <v>14</v>
      </c>
      <c r="O9" s="222">
        <v>15</v>
      </c>
      <c r="P9" s="222">
        <v>16</v>
      </c>
      <c r="Q9" s="222">
        <v>17</v>
      </c>
      <c r="R9" s="222">
        <v>18</v>
      </c>
      <c r="S9" s="222">
        <v>19</v>
      </c>
      <c r="T9" s="222">
        <v>20</v>
      </c>
      <c r="U9" s="222">
        <v>21</v>
      </c>
      <c r="V9" s="222">
        <v>22</v>
      </c>
      <c r="W9" s="222">
        <v>23</v>
      </c>
      <c r="X9" s="222">
        <v>24</v>
      </c>
      <c r="Y9" s="223">
        <v>25</v>
      </c>
    </row>
    <row r="10" spans="1:25" s="272" customFormat="1" x14ac:dyDescent="0.25">
      <c r="A10" s="257" t="s">
        <v>404</v>
      </c>
      <c r="B10" s="258">
        <v>7778.9578300000003</v>
      </c>
      <c r="C10" s="258">
        <v>0</v>
      </c>
      <c r="D10" s="258">
        <v>7631.2042600000004</v>
      </c>
      <c r="E10" s="258">
        <v>0</v>
      </c>
      <c r="F10" s="258">
        <v>147.75357</v>
      </c>
      <c r="G10" s="258">
        <v>0</v>
      </c>
      <c r="H10" s="258">
        <v>874.09410000000003</v>
      </c>
      <c r="I10" s="258">
        <v>0</v>
      </c>
      <c r="J10" s="258">
        <v>773.27026999999998</v>
      </c>
      <c r="K10" s="258">
        <v>0</v>
      </c>
      <c r="L10" s="258">
        <v>100.82383</v>
      </c>
      <c r="M10" s="258">
        <v>0</v>
      </c>
      <c r="N10" s="258">
        <v>9606.2908299999999</v>
      </c>
      <c r="O10" s="258">
        <v>0</v>
      </c>
      <c r="P10" s="258">
        <v>9344.9004999999997</v>
      </c>
      <c r="Q10" s="258">
        <v>0</v>
      </c>
      <c r="R10" s="258">
        <v>261.39033000000001</v>
      </c>
      <c r="S10" s="258">
        <v>0</v>
      </c>
      <c r="T10" s="258">
        <v>-4530.7118699999992</v>
      </c>
      <c r="U10" s="258">
        <v>0</v>
      </c>
      <c r="V10" s="258">
        <v>-4792.1021999999994</v>
      </c>
      <c r="W10" s="258">
        <v>0</v>
      </c>
      <c r="X10" s="258">
        <v>261.39033000000001</v>
      </c>
      <c r="Y10" s="259">
        <v>0</v>
      </c>
    </row>
    <row r="11" spans="1:25" s="272" customFormat="1" x14ac:dyDescent="0.25">
      <c r="A11" s="266" t="s">
        <v>405</v>
      </c>
      <c r="B11" s="258">
        <v>843271.45104000007</v>
      </c>
      <c r="C11" s="258">
        <v>0</v>
      </c>
      <c r="D11" s="258">
        <v>33887.284659999998</v>
      </c>
      <c r="E11" s="258">
        <v>0</v>
      </c>
      <c r="F11" s="258">
        <v>809384.16638000007</v>
      </c>
      <c r="G11" s="258">
        <v>0</v>
      </c>
      <c r="H11" s="258">
        <v>814342.74536000006</v>
      </c>
      <c r="I11" s="258">
        <v>-15995.58035</v>
      </c>
      <c r="J11" s="258">
        <v>7832.1788299999971</v>
      </c>
      <c r="K11" s="258">
        <v>-15995.58035</v>
      </c>
      <c r="L11" s="258">
        <v>806510.56653000007</v>
      </c>
      <c r="M11" s="258">
        <v>0</v>
      </c>
      <c r="N11" s="258">
        <v>53246.750659999998</v>
      </c>
      <c r="O11" s="258">
        <v>0</v>
      </c>
      <c r="P11" s="258">
        <v>16817.01066</v>
      </c>
      <c r="Q11" s="258">
        <v>0</v>
      </c>
      <c r="R11" s="258">
        <v>36429.74</v>
      </c>
      <c r="S11" s="258">
        <v>0</v>
      </c>
      <c r="T11" s="258">
        <v>25157.662599999996</v>
      </c>
      <c r="U11" s="258">
        <v>-4109.54421</v>
      </c>
      <c r="V11" s="258">
        <v>2224.0038999999997</v>
      </c>
      <c r="W11" s="258">
        <v>-3700.02853</v>
      </c>
      <c r="X11" s="258">
        <v>22933.658699999996</v>
      </c>
      <c r="Y11" s="259">
        <v>-409.51567999999997</v>
      </c>
    </row>
    <row r="12" spans="1:25" s="272" customFormat="1" x14ac:dyDescent="0.25">
      <c r="A12" s="266" t="s">
        <v>406</v>
      </c>
      <c r="B12" s="258">
        <v>9630356.4324299991</v>
      </c>
      <c r="C12" s="258">
        <v>44302.485990000001</v>
      </c>
      <c r="D12" s="258">
        <v>1315494.7480899999</v>
      </c>
      <c r="E12" s="258">
        <v>38940.398780000003</v>
      </c>
      <c r="F12" s="258">
        <v>8314861.6843400002</v>
      </c>
      <c r="G12" s="258">
        <v>5362.0872099999997</v>
      </c>
      <c r="H12" s="258">
        <v>-382875.35257999972</v>
      </c>
      <c r="I12" s="258">
        <v>12058.555740000003</v>
      </c>
      <c r="J12" s="258">
        <v>915048.14041999995</v>
      </c>
      <c r="K12" s="258">
        <v>6696.4685300000037</v>
      </c>
      <c r="L12" s="258">
        <v>-1297923.4929999989</v>
      </c>
      <c r="M12" s="258">
        <v>5362.0872099999997</v>
      </c>
      <c r="N12" s="258">
        <v>2151045.5590300001</v>
      </c>
      <c r="O12" s="258">
        <v>343400.47535000002</v>
      </c>
      <c r="P12" s="258">
        <v>1890386.4912700001</v>
      </c>
      <c r="Q12" s="258">
        <v>341600.51856</v>
      </c>
      <c r="R12" s="258">
        <v>260659.06776000001</v>
      </c>
      <c r="S12" s="258">
        <v>1799.95679</v>
      </c>
      <c r="T12" s="258">
        <v>56057.25427000015</v>
      </c>
      <c r="U12" s="258">
        <v>40182.473480000044</v>
      </c>
      <c r="V12" s="258">
        <v>34458.633999999991</v>
      </c>
      <c r="W12" s="258">
        <v>39642.426689999993</v>
      </c>
      <c r="X12" s="258">
        <v>21598.620270000014</v>
      </c>
      <c r="Y12" s="259">
        <v>540.04678999999987</v>
      </c>
    </row>
    <row r="13" spans="1:25" s="272" customFormat="1" ht="26.4" x14ac:dyDescent="0.25">
      <c r="A13" s="266" t="s">
        <v>407</v>
      </c>
      <c r="B13" s="258">
        <v>5.4976000000000003</v>
      </c>
      <c r="C13" s="258">
        <v>0</v>
      </c>
      <c r="D13" s="258">
        <v>1.9390000000000001</v>
      </c>
      <c r="E13" s="258">
        <v>0</v>
      </c>
      <c r="F13" s="258">
        <v>3.5586000000000002</v>
      </c>
      <c r="G13" s="258">
        <v>0</v>
      </c>
      <c r="H13" s="258">
        <v>-30.502400000000002</v>
      </c>
      <c r="I13" s="258">
        <v>0</v>
      </c>
      <c r="J13" s="258">
        <v>-34.061</v>
      </c>
      <c r="K13" s="258">
        <v>0</v>
      </c>
      <c r="L13" s="258">
        <v>3.5586000000000002</v>
      </c>
      <c r="M13" s="258">
        <v>0</v>
      </c>
      <c r="N13" s="258">
        <v>20362.08322</v>
      </c>
      <c r="O13" s="258">
        <v>0</v>
      </c>
      <c r="P13" s="258">
        <v>27.934000000000001</v>
      </c>
      <c r="Q13" s="258">
        <v>0</v>
      </c>
      <c r="R13" s="258">
        <v>20334.149219999999</v>
      </c>
      <c r="S13" s="258">
        <v>0</v>
      </c>
      <c r="T13" s="258">
        <v>20303.87039</v>
      </c>
      <c r="U13" s="258">
        <v>0</v>
      </c>
      <c r="V13" s="258">
        <v>-19.359999999999996</v>
      </c>
      <c r="W13" s="258">
        <v>0</v>
      </c>
      <c r="X13" s="258">
        <v>20323.230390000001</v>
      </c>
      <c r="Y13" s="259">
        <v>0</v>
      </c>
    </row>
    <row r="14" spans="1:25" s="272" customFormat="1" x14ac:dyDescent="0.25">
      <c r="A14" s="266" t="s">
        <v>408</v>
      </c>
      <c r="B14" s="258">
        <v>2437937.1268899995</v>
      </c>
      <c r="C14" s="258">
        <v>29.160679999999999</v>
      </c>
      <c r="D14" s="258">
        <v>9794.3730799999994</v>
      </c>
      <c r="E14" s="258">
        <v>17.47</v>
      </c>
      <c r="F14" s="258">
        <v>2428142.7538099997</v>
      </c>
      <c r="G14" s="258">
        <v>11.69068</v>
      </c>
      <c r="H14" s="258">
        <v>2428902.2631599996</v>
      </c>
      <c r="I14" s="258">
        <v>-31.306319999999999</v>
      </c>
      <c r="J14" s="258">
        <v>5203.6597299999994</v>
      </c>
      <c r="K14" s="258">
        <v>-41.896999999999998</v>
      </c>
      <c r="L14" s="258">
        <v>2423698.6034299997</v>
      </c>
      <c r="M14" s="258">
        <v>10.590680000000001</v>
      </c>
      <c r="N14" s="258">
        <v>137308.59388999999</v>
      </c>
      <c r="O14" s="258">
        <v>9913.0598699999991</v>
      </c>
      <c r="P14" s="258">
        <v>37768.973449999998</v>
      </c>
      <c r="Q14" s="258">
        <v>9913.0598699999991</v>
      </c>
      <c r="R14" s="258">
        <v>99539.620439999999</v>
      </c>
      <c r="S14" s="258">
        <v>0</v>
      </c>
      <c r="T14" s="258">
        <v>62213.726359999986</v>
      </c>
      <c r="U14" s="258">
        <v>847.18657999999959</v>
      </c>
      <c r="V14" s="258">
        <v>16930.742089999996</v>
      </c>
      <c r="W14" s="258">
        <v>847.18657999999959</v>
      </c>
      <c r="X14" s="258">
        <v>45282.984270000001</v>
      </c>
      <c r="Y14" s="259">
        <v>0</v>
      </c>
    </row>
    <row r="15" spans="1:25" s="272" customFormat="1" x14ac:dyDescent="0.25">
      <c r="A15" s="266" t="s">
        <v>409</v>
      </c>
      <c r="B15" s="258">
        <v>901221.23329999996</v>
      </c>
      <c r="C15" s="258">
        <v>0</v>
      </c>
      <c r="D15" s="258">
        <v>8575.7099799999996</v>
      </c>
      <c r="E15" s="258">
        <v>0</v>
      </c>
      <c r="F15" s="258">
        <v>892645.52331999992</v>
      </c>
      <c r="G15" s="258">
        <v>0</v>
      </c>
      <c r="H15" s="258">
        <v>480282.04405999999</v>
      </c>
      <c r="I15" s="258">
        <v>0</v>
      </c>
      <c r="J15" s="258">
        <v>-697.9992600000005</v>
      </c>
      <c r="K15" s="258">
        <v>0</v>
      </c>
      <c r="L15" s="258">
        <v>480980.04331999994</v>
      </c>
      <c r="M15" s="258">
        <v>0</v>
      </c>
      <c r="N15" s="258">
        <v>113233.24413000001</v>
      </c>
      <c r="O15" s="258">
        <v>0</v>
      </c>
      <c r="P15" s="258">
        <v>5330.2059799999997</v>
      </c>
      <c r="Q15" s="258">
        <v>0</v>
      </c>
      <c r="R15" s="258">
        <v>107903.03815000001</v>
      </c>
      <c r="S15" s="258">
        <v>0</v>
      </c>
      <c r="T15" s="258">
        <v>34671.266600000017</v>
      </c>
      <c r="U15" s="258">
        <v>0</v>
      </c>
      <c r="V15" s="258">
        <v>697.85089999999946</v>
      </c>
      <c r="W15" s="258">
        <v>0</v>
      </c>
      <c r="X15" s="258">
        <v>33973.415700000012</v>
      </c>
      <c r="Y15" s="259">
        <v>0</v>
      </c>
    </row>
    <row r="16" spans="1:25" s="272" customFormat="1" x14ac:dyDescent="0.25">
      <c r="A16" s="266" t="s">
        <v>410</v>
      </c>
      <c r="B16" s="258">
        <v>220012.99155000004</v>
      </c>
      <c r="C16" s="258">
        <v>5701.5817900000002</v>
      </c>
      <c r="D16" s="258">
        <v>34058.997799999997</v>
      </c>
      <c r="E16" s="258">
        <v>4277.2991700000002</v>
      </c>
      <c r="F16" s="258">
        <v>185953.99375000002</v>
      </c>
      <c r="G16" s="258">
        <v>1424.28262</v>
      </c>
      <c r="H16" s="258">
        <v>149461.48537000004</v>
      </c>
      <c r="I16" s="258">
        <v>-1608.0147800000004</v>
      </c>
      <c r="J16" s="258">
        <v>-63.80457000000024</v>
      </c>
      <c r="K16" s="258">
        <v>-2539.1664000000001</v>
      </c>
      <c r="L16" s="258">
        <v>149525.28994000002</v>
      </c>
      <c r="M16" s="258">
        <v>931.15161999999998</v>
      </c>
      <c r="N16" s="258">
        <v>373956.87494999997</v>
      </c>
      <c r="O16" s="258">
        <v>186.84554</v>
      </c>
      <c r="P16" s="258">
        <v>25951.36564</v>
      </c>
      <c r="Q16" s="258">
        <v>186.84554</v>
      </c>
      <c r="R16" s="258">
        <v>348005.50930999999</v>
      </c>
      <c r="S16" s="258">
        <v>0</v>
      </c>
      <c r="T16" s="258">
        <v>251011.75240999996</v>
      </c>
      <c r="U16" s="258">
        <v>-142.99492999999998</v>
      </c>
      <c r="V16" s="258">
        <v>-2666.3145799999984</v>
      </c>
      <c r="W16" s="258">
        <v>186.84554</v>
      </c>
      <c r="X16" s="258">
        <v>253678.06698999999</v>
      </c>
      <c r="Y16" s="259">
        <v>-329.84046999999998</v>
      </c>
    </row>
    <row r="17" spans="1:25" s="272" customFormat="1" x14ac:dyDescent="0.25">
      <c r="A17" s="266" t="s">
        <v>411</v>
      </c>
      <c r="B17" s="258">
        <v>693.11122</v>
      </c>
      <c r="C17" s="258">
        <v>0</v>
      </c>
      <c r="D17" s="258">
        <v>693.11122</v>
      </c>
      <c r="E17" s="258">
        <v>0</v>
      </c>
      <c r="F17" s="258">
        <v>0</v>
      </c>
      <c r="G17" s="258">
        <v>0</v>
      </c>
      <c r="H17" s="258">
        <v>-1946.9882100000002</v>
      </c>
      <c r="I17" s="258">
        <v>0</v>
      </c>
      <c r="J17" s="258">
        <v>-1946.9882100000002</v>
      </c>
      <c r="K17" s="258">
        <v>0</v>
      </c>
      <c r="L17" s="258">
        <v>0</v>
      </c>
      <c r="M17" s="258">
        <v>0</v>
      </c>
      <c r="N17" s="258">
        <v>1911.92551</v>
      </c>
      <c r="O17" s="258">
        <v>0</v>
      </c>
      <c r="P17" s="258">
        <v>1911.92551</v>
      </c>
      <c r="Q17" s="258">
        <v>0</v>
      </c>
      <c r="R17" s="258">
        <v>0</v>
      </c>
      <c r="S17" s="258">
        <v>0</v>
      </c>
      <c r="T17" s="258">
        <v>680.97123000000011</v>
      </c>
      <c r="U17" s="258">
        <v>0</v>
      </c>
      <c r="V17" s="258">
        <v>680.97123000000011</v>
      </c>
      <c r="W17" s="258">
        <v>0</v>
      </c>
      <c r="X17" s="258">
        <v>0</v>
      </c>
      <c r="Y17" s="259">
        <v>0</v>
      </c>
    </row>
    <row r="18" spans="1:25" s="272" customFormat="1" x14ac:dyDescent="0.25">
      <c r="A18" s="266" t="s">
        <v>412</v>
      </c>
      <c r="B18" s="258">
        <v>1101.88624</v>
      </c>
      <c r="C18" s="258">
        <v>0</v>
      </c>
      <c r="D18" s="258">
        <v>804.95383000000004</v>
      </c>
      <c r="E18" s="258">
        <v>0</v>
      </c>
      <c r="F18" s="258">
        <v>296.93241</v>
      </c>
      <c r="G18" s="258">
        <v>0</v>
      </c>
      <c r="H18" s="258">
        <v>269.0698000000001</v>
      </c>
      <c r="I18" s="258">
        <v>0</v>
      </c>
      <c r="J18" s="258">
        <v>109.51092000000006</v>
      </c>
      <c r="K18" s="258">
        <v>0</v>
      </c>
      <c r="L18" s="258">
        <v>159.55888000000002</v>
      </c>
      <c r="M18" s="258">
        <v>0</v>
      </c>
      <c r="N18" s="258">
        <v>5845.7734</v>
      </c>
      <c r="O18" s="258">
        <v>0</v>
      </c>
      <c r="P18" s="258">
        <v>575.36189999999999</v>
      </c>
      <c r="Q18" s="258">
        <v>0</v>
      </c>
      <c r="R18" s="258">
        <v>5270.4115000000002</v>
      </c>
      <c r="S18" s="258">
        <v>0</v>
      </c>
      <c r="T18" s="258">
        <v>4487.5237099999995</v>
      </c>
      <c r="U18" s="258">
        <v>0</v>
      </c>
      <c r="V18" s="258">
        <v>204.10793000000001</v>
      </c>
      <c r="W18" s="258">
        <v>0</v>
      </c>
      <c r="X18" s="258">
        <v>4283.4157800000003</v>
      </c>
      <c r="Y18" s="259">
        <v>0</v>
      </c>
    </row>
    <row r="19" spans="1:25" s="272" customFormat="1" x14ac:dyDescent="0.25">
      <c r="A19" s="266" t="s">
        <v>413</v>
      </c>
      <c r="B19" s="258">
        <v>601.80735000000004</v>
      </c>
      <c r="C19" s="258">
        <v>0</v>
      </c>
      <c r="D19" s="258">
        <v>369.07245</v>
      </c>
      <c r="E19" s="258">
        <v>0</v>
      </c>
      <c r="F19" s="258">
        <v>232.73490000000001</v>
      </c>
      <c r="G19" s="258">
        <v>0</v>
      </c>
      <c r="H19" s="258">
        <v>246.45622000000003</v>
      </c>
      <c r="I19" s="258">
        <v>0</v>
      </c>
      <c r="J19" s="258">
        <v>96.099570000000028</v>
      </c>
      <c r="K19" s="258">
        <v>0</v>
      </c>
      <c r="L19" s="258">
        <v>150.35665</v>
      </c>
      <c r="M19" s="258">
        <v>0</v>
      </c>
      <c r="N19" s="258">
        <v>66219.847840000002</v>
      </c>
      <c r="O19" s="258">
        <v>0</v>
      </c>
      <c r="P19" s="258">
        <v>64.000680000000003</v>
      </c>
      <c r="Q19" s="258">
        <v>0</v>
      </c>
      <c r="R19" s="258">
        <v>66155.847160000005</v>
      </c>
      <c r="S19" s="258">
        <v>0</v>
      </c>
      <c r="T19" s="258">
        <v>197.33156000000599</v>
      </c>
      <c r="U19" s="258">
        <v>0</v>
      </c>
      <c r="V19" s="258">
        <v>-46.928259999999995</v>
      </c>
      <c r="W19" s="258">
        <v>0</v>
      </c>
      <c r="X19" s="258">
        <v>244.25982000000658</v>
      </c>
      <c r="Y19" s="259">
        <v>0</v>
      </c>
    </row>
    <row r="20" spans="1:25" s="272" customFormat="1" x14ac:dyDescent="0.25">
      <c r="A20" s="266" t="s">
        <v>414</v>
      </c>
      <c r="B20" s="258">
        <v>38533.281019999995</v>
      </c>
      <c r="C20" s="258">
        <v>2299.3229900000001</v>
      </c>
      <c r="D20" s="258">
        <v>23472.402979999999</v>
      </c>
      <c r="E20" s="258">
        <v>777.80866000000003</v>
      </c>
      <c r="F20" s="258">
        <v>15060.87804</v>
      </c>
      <c r="G20" s="258">
        <v>1521.51433</v>
      </c>
      <c r="H20" s="258">
        <v>25320.751119999994</v>
      </c>
      <c r="I20" s="258">
        <v>1107.7741900000001</v>
      </c>
      <c r="J20" s="258">
        <v>18810.341349999999</v>
      </c>
      <c r="K20" s="258">
        <v>437.82983000000002</v>
      </c>
      <c r="L20" s="258">
        <v>6510.4097700000002</v>
      </c>
      <c r="M20" s="258">
        <v>669.94435999999996</v>
      </c>
      <c r="N20" s="258">
        <v>180281.84893000001</v>
      </c>
      <c r="O20" s="258">
        <v>891.62276999999995</v>
      </c>
      <c r="P20" s="258">
        <v>24090.654470000001</v>
      </c>
      <c r="Q20" s="258">
        <v>0</v>
      </c>
      <c r="R20" s="258">
        <v>156191.19446</v>
      </c>
      <c r="S20" s="258">
        <v>891.62276999999995</v>
      </c>
      <c r="T20" s="258">
        <v>101970.50253</v>
      </c>
      <c r="U20" s="258">
        <v>841.44284999999991</v>
      </c>
      <c r="V20" s="258">
        <v>19520.26656</v>
      </c>
      <c r="W20" s="258">
        <v>0</v>
      </c>
      <c r="X20" s="258">
        <v>82450.235969999994</v>
      </c>
      <c r="Y20" s="259">
        <v>841.44284999999991</v>
      </c>
    </row>
    <row r="21" spans="1:25" s="272" customFormat="1" x14ac:dyDescent="0.25">
      <c r="A21" s="266" t="s">
        <v>415</v>
      </c>
      <c r="B21" s="258">
        <v>70024.968439999997</v>
      </c>
      <c r="C21" s="258">
        <v>535.62603000000001</v>
      </c>
      <c r="D21" s="258">
        <v>3104.1197499999998</v>
      </c>
      <c r="E21" s="258">
        <v>535.62603000000001</v>
      </c>
      <c r="F21" s="258">
        <v>66920.848689999999</v>
      </c>
      <c r="G21" s="258">
        <v>0</v>
      </c>
      <c r="H21" s="258">
        <v>35568.281239999997</v>
      </c>
      <c r="I21" s="258">
        <v>535.62603000000001</v>
      </c>
      <c r="J21" s="258">
        <v>-311.05633000000034</v>
      </c>
      <c r="K21" s="258">
        <v>535.62603000000001</v>
      </c>
      <c r="L21" s="258">
        <v>35879.337570000003</v>
      </c>
      <c r="M21" s="258">
        <v>0</v>
      </c>
      <c r="N21" s="258">
        <v>9109.4697699999997</v>
      </c>
      <c r="O21" s="258">
        <v>0</v>
      </c>
      <c r="P21" s="258">
        <v>7601.8028800000002</v>
      </c>
      <c r="Q21" s="258">
        <v>0</v>
      </c>
      <c r="R21" s="258">
        <v>1507.66689</v>
      </c>
      <c r="S21" s="258">
        <v>0</v>
      </c>
      <c r="T21" s="258">
        <v>470.19311000000016</v>
      </c>
      <c r="U21" s="258">
        <v>0</v>
      </c>
      <c r="V21" s="258">
        <v>-1037.4737799999994</v>
      </c>
      <c r="W21" s="258">
        <v>0</v>
      </c>
      <c r="X21" s="258">
        <v>1507.66689</v>
      </c>
      <c r="Y21" s="259">
        <v>0</v>
      </c>
    </row>
    <row r="22" spans="1:25" s="272" customFormat="1" x14ac:dyDescent="0.25">
      <c r="A22" s="266" t="s">
        <v>416</v>
      </c>
      <c r="B22" s="258">
        <v>1937.9329400000001</v>
      </c>
      <c r="C22" s="258">
        <v>0</v>
      </c>
      <c r="D22" s="258">
        <v>1230.14642</v>
      </c>
      <c r="E22" s="258">
        <v>0</v>
      </c>
      <c r="F22" s="258">
        <v>707.78652</v>
      </c>
      <c r="G22" s="258">
        <v>0</v>
      </c>
      <c r="H22" s="258">
        <v>-564.01416000000017</v>
      </c>
      <c r="I22" s="258">
        <v>0</v>
      </c>
      <c r="J22" s="258">
        <v>-665.51537000000008</v>
      </c>
      <c r="K22" s="258">
        <v>0</v>
      </c>
      <c r="L22" s="258">
        <v>101.5012099999999</v>
      </c>
      <c r="M22" s="258">
        <v>0</v>
      </c>
      <c r="N22" s="258">
        <v>28319.340800000002</v>
      </c>
      <c r="O22" s="258">
        <v>0</v>
      </c>
      <c r="P22" s="258">
        <v>424.17268999999999</v>
      </c>
      <c r="Q22" s="258">
        <v>0</v>
      </c>
      <c r="R22" s="258">
        <v>27895.168110000002</v>
      </c>
      <c r="S22" s="258">
        <v>0</v>
      </c>
      <c r="T22" s="258">
        <v>27805.855780000002</v>
      </c>
      <c r="U22" s="258">
        <v>0</v>
      </c>
      <c r="V22" s="258">
        <v>110.97890999999998</v>
      </c>
      <c r="W22" s="258">
        <v>0</v>
      </c>
      <c r="X22" s="258">
        <v>27694.876870000004</v>
      </c>
      <c r="Y22" s="259">
        <v>0</v>
      </c>
    </row>
    <row r="23" spans="1:25" s="272" customFormat="1" x14ac:dyDescent="0.25">
      <c r="A23" s="266" t="s">
        <v>417</v>
      </c>
      <c r="B23" s="258">
        <v>18744.507600000001</v>
      </c>
      <c r="C23" s="258">
        <v>0</v>
      </c>
      <c r="D23" s="258">
        <v>13183.317590000001</v>
      </c>
      <c r="E23" s="258">
        <v>0</v>
      </c>
      <c r="F23" s="258">
        <v>5561.1900100000003</v>
      </c>
      <c r="G23" s="258">
        <v>0</v>
      </c>
      <c r="H23" s="258">
        <v>5180.3367500000004</v>
      </c>
      <c r="I23" s="258">
        <v>0</v>
      </c>
      <c r="J23" s="258">
        <v>859.10791000000063</v>
      </c>
      <c r="K23" s="258">
        <v>0</v>
      </c>
      <c r="L23" s="258">
        <v>4321.2288399999998</v>
      </c>
      <c r="M23" s="258">
        <v>0</v>
      </c>
      <c r="N23" s="258">
        <v>59408.002770000006</v>
      </c>
      <c r="O23" s="258">
        <v>0</v>
      </c>
      <c r="P23" s="258">
        <v>14343.62765</v>
      </c>
      <c r="Q23" s="258">
        <v>0</v>
      </c>
      <c r="R23" s="258">
        <v>45064.375120000004</v>
      </c>
      <c r="S23" s="258">
        <v>0</v>
      </c>
      <c r="T23" s="258">
        <v>24800.285880000003</v>
      </c>
      <c r="U23" s="258">
        <v>0</v>
      </c>
      <c r="V23" s="258">
        <v>-15655.982470000001</v>
      </c>
      <c r="W23" s="258">
        <v>0</v>
      </c>
      <c r="X23" s="258">
        <v>40456.268350000006</v>
      </c>
      <c r="Y23" s="259">
        <v>0</v>
      </c>
    </row>
    <row r="24" spans="1:25" s="272" customFormat="1" ht="26.4" x14ac:dyDescent="0.25">
      <c r="A24" s="266" t="s">
        <v>418</v>
      </c>
      <c r="B24" s="258">
        <v>207563.32117000001</v>
      </c>
      <c r="C24" s="258">
        <v>7.5</v>
      </c>
      <c r="D24" s="258">
        <v>9582.2015800000008</v>
      </c>
      <c r="E24" s="258">
        <v>0</v>
      </c>
      <c r="F24" s="258">
        <v>197981.11959000002</v>
      </c>
      <c r="G24" s="258">
        <v>7.5</v>
      </c>
      <c r="H24" s="258">
        <v>195700.33591000002</v>
      </c>
      <c r="I24" s="258">
        <v>7.5</v>
      </c>
      <c r="J24" s="258">
        <v>-1802.0745299999999</v>
      </c>
      <c r="K24" s="258">
        <v>0</v>
      </c>
      <c r="L24" s="258">
        <v>197502.41044000001</v>
      </c>
      <c r="M24" s="258">
        <v>7.5</v>
      </c>
      <c r="N24" s="258">
        <v>95759.844569999987</v>
      </c>
      <c r="O24" s="258">
        <v>1262.94299</v>
      </c>
      <c r="P24" s="258">
        <v>22350.374</v>
      </c>
      <c r="Q24" s="258">
        <v>1262.94299</v>
      </c>
      <c r="R24" s="258">
        <v>73409.47056999999</v>
      </c>
      <c r="S24" s="258">
        <v>0</v>
      </c>
      <c r="T24" s="258">
        <v>31616.642439999981</v>
      </c>
      <c r="U24" s="258">
        <v>623.70831999999996</v>
      </c>
      <c r="V24" s="258">
        <v>3989.8919600000008</v>
      </c>
      <c r="W24" s="258">
        <v>623.70831999999996</v>
      </c>
      <c r="X24" s="258">
        <v>27626.750479999988</v>
      </c>
      <c r="Y24" s="259">
        <v>0</v>
      </c>
    </row>
    <row r="25" spans="1:25" ht="26.4" x14ac:dyDescent="0.25">
      <c r="A25" s="266" t="s">
        <v>419</v>
      </c>
      <c r="B25" s="258">
        <v>145.27743999999998</v>
      </c>
      <c r="C25" s="258">
        <v>0</v>
      </c>
      <c r="D25" s="258">
        <v>22.45</v>
      </c>
      <c r="E25" s="258">
        <v>0</v>
      </c>
      <c r="F25" s="258">
        <v>122.82744</v>
      </c>
      <c r="G25" s="258">
        <v>0</v>
      </c>
      <c r="H25" s="258">
        <v>117.56533999999999</v>
      </c>
      <c r="I25" s="258">
        <v>0</v>
      </c>
      <c r="J25" s="258">
        <v>22.45</v>
      </c>
      <c r="K25" s="258">
        <v>0</v>
      </c>
      <c r="L25" s="258">
        <v>95.115340000000003</v>
      </c>
      <c r="M25" s="258">
        <v>0</v>
      </c>
      <c r="N25" s="258">
        <v>900.20702000000006</v>
      </c>
      <c r="O25" s="258">
        <v>0</v>
      </c>
      <c r="P25" s="258">
        <v>22.972919999999998</v>
      </c>
      <c r="Q25" s="258">
        <v>0</v>
      </c>
      <c r="R25" s="258">
        <v>877.23410000000001</v>
      </c>
      <c r="S25" s="258">
        <v>0</v>
      </c>
      <c r="T25" s="258">
        <v>899.75166000000002</v>
      </c>
      <c r="U25" s="258">
        <v>0</v>
      </c>
      <c r="V25" s="258">
        <v>22.972919999999998</v>
      </c>
      <c r="W25" s="258">
        <v>0</v>
      </c>
      <c r="X25" s="258">
        <v>876.77873999999997</v>
      </c>
      <c r="Y25" s="259">
        <v>0</v>
      </c>
    </row>
    <row r="26" spans="1:25" ht="26.4" x14ac:dyDescent="0.25">
      <c r="A26" s="266" t="s">
        <v>420</v>
      </c>
      <c r="B26" s="258">
        <v>8657.6568900000002</v>
      </c>
      <c r="C26" s="258">
        <v>0</v>
      </c>
      <c r="D26" s="258">
        <v>6864.5019000000002</v>
      </c>
      <c r="E26" s="258">
        <v>0</v>
      </c>
      <c r="F26" s="258">
        <v>1793.15499</v>
      </c>
      <c r="G26" s="258">
        <v>0</v>
      </c>
      <c r="H26" s="258">
        <v>1432.0182999999997</v>
      </c>
      <c r="I26" s="258">
        <v>0</v>
      </c>
      <c r="J26" s="258">
        <v>472.91993000000002</v>
      </c>
      <c r="K26" s="258">
        <v>0</v>
      </c>
      <c r="L26" s="258">
        <v>959.09837000000005</v>
      </c>
      <c r="M26" s="258">
        <v>0</v>
      </c>
      <c r="N26" s="258">
        <v>9168.5748999999996</v>
      </c>
      <c r="O26" s="258">
        <v>0</v>
      </c>
      <c r="P26" s="258">
        <v>4388.48369</v>
      </c>
      <c r="Q26" s="258">
        <v>0</v>
      </c>
      <c r="R26" s="258">
        <v>4780.0912100000005</v>
      </c>
      <c r="S26" s="258">
        <v>0</v>
      </c>
      <c r="T26" s="258">
        <v>8328.3411500000002</v>
      </c>
      <c r="U26" s="258">
        <v>0</v>
      </c>
      <c r="V26" s="258">
        <v>3585.1560899999999</v>
      </c>
      <c r="W26" s="258">
        <v>0</v>
      </c>
      <c r="X26" s="258">
        <v>4743.1850600000007</v>
      </c>
      <c r="Y26" s="259">
        <v>0</v>
      </c>
    </row>
    <row r="27" spans="1:25" s="221" customFormat="1" ht="13.8" thickBot="1" x14ac:dyDescent="0.3">
      <c r="A27" s="217" t="s">
        <v>330</v>
      </c>
      <c r="B27" s="211">
        <v>14388587.440950001</v>
      </c>
      <c r="C27" s="211">
        <v>52875.677479999998</v>
      </c>
      <c r="D27" s="211">
        <v>1468770.5345900003</v>
      </c>
      <c r="E27" s="211">
        <v>44548.602640000005</v>
      </c>
      <c r="F27" s="211">
        <v>12919816.90636</v>
      </c>
      <c r="G27" s="211">
        <v>8327.0748399999993</v>
      </c>
      <c r="H27" s="211">
        <v>3752280.5893800003</v>
      </c>
      <c r="I27" s="211">
        <v>-3925.4454899999978</v>
      </c>
      <c r="J27" s="211">
        <v>943706.17965999979</v>
      </c>
      <c r="K27" s="211">
        <v>-10906.719359999997</v>
      </c>
      <c r="L27" s="211">
        <v>2808574.4097200008</v>
      </c>
      <c r="M27" s="211">
        <v>6981.2738699999991</v>
      </c>
      <c r="N27" s="211">
        <v>3315684.2322200001</v>
      </c>
      <c r="O27" s="211">
        <v>355654.94652000006</v>
      </c>
      <c r="P27" s="211">
        <v>2061400.2578899998</v>
      </c>
      <c r="Q27" s="211">
        <v>352963.36696000001</v>
      </c>
      <c r="R27" s="211">
        <v>1254283.9743299999</v>
      </c>
      <c r="S27" s="211">
        <v>2691.5795600000001</v>
      </c>
      <c r="T27" s="211">
        <v>646142.21981000004</v>
      </c>
      <c r="U27" s="211">
        <v>38242.272090000042</v>
      </c>
      <c r="V27" s="211">
        <v>58207.415199999989</v>
      </c>
      <c r="W27" s="211">
        <v>37600.138599999991</v>
      </c>
      <c r="X27" s="211">
        <v>587934.80460999999</v>
      </c>
      <c r="Y27" s="212">
        <v>642.13348999999982</v>
      </c>
    </row>
    <row r="28" spans="1:25" ht="13.8" thickTop="1" x14ac:dyDescent="0.25"/>
  </sheetData>
  <mergeCells count="30">
    <mergeCell ref="V6:Y6"/>
    <mergeCell ref="U6:U7"/>
    <mergeCell ref="A4:A8"/>
    <mergeCell ref="B6:B8"/>
    <mergeCell ref="P7:P8"/>
    <mergeCell ref="D7:D8"/>
    <mergeCell ref="N6:N8"/>
    <mergeCell ref="L7:L8"/>
    <mergeCell ref="D6:G6"/>
    <mergeCell ref="C6:C7"/>
    <mergeCell ref="I6:I7"/>
    <mergeCell ref="J6:M6"/>
    <mergeCell ref="P6:S6"/>
    <mergeCell ref="O6:O7"/>
    <mergeCell ref="L1:M1"/>
    <mergeCell ref="X1:Y1"/>
    <mergeCell ref="B2:M2"/>
    <mergeCell ref="T6:T8"/>
    <mergeCell ref="F7:F8"/>
    <mergeCell ref="J7:J8"/>
    <mergeCell ref="R7:R8"/>
    <mergeCell ref="V7:V8"/>
    <mergeCell ref="X7:X8"/>
    <mergeCell ref="B4:M4"/>
    <mergeCell ref="N4:Y4"/>
    <mergeCell ref="B5:G5"/>
    <mergeCell ref="H5:M5"/>
    <mergeCell ref="N5:S5"/>
    <mergeCell ref="T5:Y5"/>
    <mergeCell ref="H6:H8"/>
  </mergeCells>
  <conditionalFormatting sqref="B10:Y27">
    <cfRule type="cellIs" dxfId="0" priority="1" operator="equal">
      <formula>0</formula>
    </cfRule>
  </conditionalFormatting>
  <printOptions horizontalCentered="1"/>
  <pageMargins left="0.11811023622047245" right="0.11811023622047245" top="0.55118110236220474" bottom="0.35433070866141736" header="0.31496062992125984" footer="0.11811023622047245"/>
  <pageSetup paperSize="9" scale="87" fitToWidth="100" orientation="landscape" r:id="rId1"/>
  <headerFooter>
    <oddFooter>&amp;C&amp;9Страница  &amp;P из &amp;N</oddFooter>
  </headerFooter>
  <colBreaks count="1" manualBreakCount="1">
    <brk id="13" max="2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topLeftCell="AA1" workbookViewId="0">
      <selection activeCell="AI12" sqref="AI12"/>
    </sheetView>
  </sheetViews>
  <sheetFormatPr defaultColWidth="9.109375" defaultRowHeight="13.2" x14ac:dyDescent="0.25"/>
  <cols>
    <col min="1" max="1" width="21" style="190" bestFit="1" customWidth="1"/>
    <col min="2" max="4" width="15" style="197" customWidth="1"/>
    <col min="5" max="6" width="9.109375" style="197" customWidth="1"/>
    <col min="7" max="7" width="11.44140625" style="197" bestFit="1" customWidth="1"/>
    <col min="8" max="9" width="9.109375" style="197" customWidth="1"/>
    <col min="10" max="10" width="12.44140625" style="197" bestFit="1" customWidth="1"/>
    <col min="11" max="12" width="9.109375" style="197" customWidth="1"/>
    <col min="13" max="13" width="11.44140625" style="197" bestFit="1" customWidth="1"/>
    <col min="14" max="14" width="10" style="197" customWidth="1"/>
    <col min="15" max="15" width="9.109375" style="197" customWidth="1"/>
    <col min="16" max="16" width="11.109375" style="197" customWidth="1"/>
    <col min="17" max="18" width="9.109375" style="197" customWidth="1"/>
    <col min="19" max="19" width="13.6640625" style="197" customWidth="1"/>
    <col min="20" max="21" width="9.109375" style="197" customWidth="1"/>
    <col min="22" max="22" width="11.44140625" style="197" bestFit="1" customWidth="1"/>
    <col min="23" max="24" width="9.109375" style="197" customWidth="1"/>
    <col min="25" max="25" width="12.44140625" style="197" bestFit="1" customWidth="1"/>
    <col min="26" max="27" width="9.109375" style="197" customWidth="1"/>
    <col min="28" max="28" width="11.33203125" style="197" bestFit="1" customWidth="1"/>
    <col min="29" max="30" width="9.109375" style="197" customWidth="1"/>
    <col min="31" max="31" width="9.5546875" style="197" bestFit="1" customWidth="1"/>
    <col min="32" max="16384" width="9.109375" style="197"/>
  </cols>
  <sheetData>
    <row r="1" spans="1:31" s="190" customFormat="1" ht="38.25" customHeight="1" x14ac:dyDescent="0.25">
      <c r="A1" s="594" t="s">
        <v>463</v>
      </c>
      <c r="B1" s="594"/>
      <c r="C1" s="594"/>
      <c r="D1" s="594"/>
      <c r="E1" s="594"/>
      <c r="F1" s="594"/>
      <c r="G1" s="594"/>
      <c r="H1" s="594"/>
      <c r="I1" s="594"/>
      <c r="J1" s="594"/>
      <c r="K1" s="594"/>
      <c r="L1" s="594"/>
      <c r="M1" s="594"/>
      <c r="N1" s="594"/>
      <c r="O1" s="594"/>
      <c r="P1" s="594"/>
      <c r="Q1" s="594"/>
      <c r="R1" s="594"/>
      <c r="S1" s="594"/>
      <c r="T1" s="594"/>
      <c r="U1" s="594"/>
      <c r="V1" s="594"/>
      <c r="W1" s="594"/>
      <c r="X1" s="594"/>
      <c r="Y1" s="594"/>
      <c r="Z1" s="594"/>
      <c r="AA1" s="594"/>
      <c r="AB1" s="594"/>
      <c r="AC1" s="594"/>
      <c r="AD1" s="594"/>
      <c r="AE1" s="594"/>
    </row>
    <row r="2" spans="1:31" s="190" customFormat="1" x14ac:dyDescent="0.25"/>
    <row r="3" spans="1:31" s="190" customFormat="1" ht="13.8" thickBot="1" x14ac:dyDescent="0.3"/>
    <row r="4" spans="1:31" s="169" customFormat="1" ht="13.5" customHeight="1" thickTop="1" x14ac:dyDescent="0.25">
      <c r="A4" s="580" t="s">
        <v>1</v>
      </c>
      <c r="B4" s="595" t="s">
        <v>192</v>
      </c>
      <c r="C4" s="595"/>
      <c r="D4" s="522" t="s">
        <v>465</v>
      </c>
      <c r="E4" s="522" t="s">
        <v>140</v>
      </c>
      <c r="F4" s="522"/>
      <c r="G4" s="522"/>
      <c r="H4" s="522"/>
      <c r="I4" s="522"/>
      <c r="J4" s="522"/>
      <c r="K4" s="522"/>
      <c r="L4" s="522"/>
      <c r="M4" s="522"/>
      <c r="N4" s="522"/>
      <c r="O4" s="522"/>
      <c r="P4" s="522"/>
      <c r="Q4" s="595" t="s">
        <v>192</v>
      </c>
      <c r="R4" s="595"/>
      <c r="S4" s="522" t="s">
        <v>464</v>
      </c>
      <c r="T4" s="522" t="s">
        <v>140</v>
      </c>
      <c r="U4" s="522"/>
      <c r="V4" s="522"/>
      <c r="W4" s="522"/>
      <c r="X4" s="522"/>
      <c r="Y4" s="522"/>
      <c r="Z4" s="522"/>
      <c r="AA4" s="522"/>
      <c r="AB4" s="522"/>
      <c r="AC4" s="522"/>
      <c r="AD4" s="522"/>
      <c r="AE4" s="523"/>
    </row>
    <row r="5" spans="1:31" s="169" customFormat="1" ht="55.5" customHeight="1" x14ac:dyDescent="0.25">
      <c r="A5" s="581"/>
      <c r="B5" s="596"/>
      <c r="C5" s="596"/>
      <c r="D5" s="524"/>
      <c r="E5" s="524" t="s">
        <v>216</v>
      </c>
      <c r="F5" s="524"/>
      <c r="G5" s="524"/>
      <c r="H5" s="524" t="s">
        <v>217</v>
      </c>
      <c r="I5" s="524"/>
      <c r="J5" s="524"/>
      <c r="K5" s="524" t="s">
        <v>218</v>
      </c>
      <c r="L5" s="524"/>
      <c r="M5" s="524"/>
      <c r="N5" s="524" t="s">
        <v>219</v>
      </c>
      <c r="O5" s="524"/>
      <c r="P5" s="524"/>
      <c r="Q5" s="596"/>
      <c r="R5" s="596"/>
      <c r="S5" s="524"/>
      <c r="T5" s="524" t="s">
        <v>365</v>
      </c>
      <c r="U5" s="524"/>
      <c r="V5" s="524"/>
      <c r="W5" s="524" t="s">
        <v>366</v>
      </c>
      <c r="X5" s="524"/>
      <c r="Y5" s="524"/>
      <c r="Z5" s="524" t="s">
        <v>367</v>
      </c>
      <c r="AA5" s="524"/>
      <c r="AB5" s="524"/>
      <c r="AC5" s="524" t="s">
        <v>368</v>
      </c>
      <c r="AD5" s="524"/>
      <c r="AE5" s="525"/>
    </row>
    <row r="6" spans="1:31" s="169" customFormat="1" ht="12.75" customHeight="1" x14ac:dyDescent="0.25">
      <c r="A6" s="581"/>
      <c r="B6" s="290" t="s">
        <v>150</v>
      </c>
      <c r="C6" s="290" t="s">
        <v>151</v>
      </c>
      <c r="D6" s="524"/>
      <c r="E6" s="311" t="s">
        <v>150</v>
      </c>
      <c r="F6" s="311" t="s">
        <v>151</v>
      </c>
      <c r="G6" s="312"/>
      <c r="H6" s="311" t="s">
        <v>150</v>
      </c>
      <c r="I6" s="311" t="s">
        <v>151</v>
      </c>
      <c r="J6" s="312"/>
      <c r="K6" s="311" t="s">
        <v>150</v>
      </c>
      <c r="L6" s="311" t="s">
        <v>151</v>
      </c>
      <c r="M6" s="312"/>
      <c r="N6" s="311" t="s">
        <v>150</v>
      </c>
      <c r="O6" s="311" t="s">
        <v>151</v>
      </c>
      <c r="P6" s="312"/>
      <c r="Q6" s="290" t="s">
        <v>150</v>
      </c>
      <c r="R6" s="290" t="s">
        <v>151</v>
      </c>
      <c r="S6" s="524"/>
      <c r="T6" s="311" t="s">
        <v>150</v>
      </c>
      <c r="U6" s="311" t="s">
        <v>151</v>
      </c>
      <c r="V6" s="312"/>
      <c r="W6" s="311" t="s">
        <v>150</v>
      </c>
      <c r="X6" s="311" t="s">
        <v>151</v>
      </c>
      <c r="Y6" s="312"/>
      <c r="Z6" s="311" t="s">
        <v>150</v>
      </c>
      <c r="AA6" s="311" t="s">
        <v>151</v>
      </c>
      <c r="AB6" s="312"/>
      <c r="AC6" s="311" t="s">
        <v>150</v>
      </c>
      <c r="AD6" s="311" t="s">
        <v>151</v>
      </c>
      <c r="AE6" s="313"/>
    </row>
    <row r="7" spans="1:31" s="169" customFormat="1" x14ac:dyDescent="0.25">
      <c r="A7" s="99"/>
      <c r="B7" s="314"/>
      <c r="C7" s="314"/>
      <c r="D7" s="315"/>
      <c r="E7" s="314"/>
      <c r="F7" s="314"/>
      <c r="G7" s="315"/>
      <c r="H7" s="314"/>
      <c r="I7" s="314"/>
      <c r="J7" s="315"/>
      <c r="K7" s="314"/>
      <c r="L7" s="314"/>
      <c r="M7" s="315"/>
      <c r="N7" s="314"/>
      <c r="O7" s="314"/>
      <c r="P7" s="315"/>
      <c r="Q7" s="314"/>
      <c r="R7" s="314"/>
      <c r="S7" s="315"/>
      <c r="T7" s="314"/>
      <c r="U7" s="314"/>
      <c r="V7" s="315"/>
      <c r="W7" s="314"/>
      <c r="X7" s="314"/>
      <c r="Y7" s="315"/>
      <c r="Z7" s="314"/>
      <c r="AA7" s="314"/>
      <c r="AB7" s="315"/>
      <c r="AC7" s="314"/>
      <c r="AD7" s="314"/>
      <c r="AE7" s="316"/>
    </row>
    <row r="8" spans="1:31" s="194" customFormat="1" x14ac:dyDescent="0.25">
      <c r="A8" s="112" t="s">
        <v>158</v>
      </c>
      <c r="B8" s="220">
        <v>0</v>
      </c>
      <c r="C8" s="220">
        <v>459074810.05000001</v>
      </c>
      <c r="D8" s="32">
        <f>(B8+C8)/1000</f>
        <v>459074.81005000003</v>
      </c>
      <c r="E8" s="220">
        <v>0</v>
      </c>
      <c r="F8" s="220">
        <v>66065861.130000003</v>
      </c>
      <c r="G8" s="32">
        <f>(E8+F8)/1000</f>
        <v>66065.861130000005</v>
      </c>
      <c r="H8" s="220">
        <v>0</v>
      </c>
      <c r="I8" s="220">
        <v>342748335.92000002</v>
      </c>
      <c r="J8" s="32">
        <f>(H8+I8)/1000</f>
        <v>342748.33592000004</v>
      </c>
      <c r="K8" s="220">
        <v>0</v>
      </c>
      <c r="L8" s="220">
        <v>50196100</v>
      </c>
      <c r="M8" s="32">
        <f>(K8+L8)/1000</f>
        <v>50196.1</v>
      </c>
      <c r="N8" s="220">
        <v>0</v>
      </c>
      <c r="O8" s="220">
        <v>64513</v>
      </c>
      <c r="P8" s="32">
        <f>(N8+O8)/1000</f>
        <v>64.513000000000005</v>
      </c>
      <c r="Q8" s="220">
        <v>0</v>
      </c>
      <c r="R8" s="220">
        <v>571529.17694999999</v>
      </c>
      <c r="S8" s="32">
        <f>(Q8+R8)</f>
        <v>571529.17694999999</v>
      </c>
      <c r="T8" s="220">
        <v>0</v>
      </c>
      <c r="U8" s="220">
        <v>116213.88030999999</v>
      </c>
      <c r="V8" s="32">
        <f>(T8+U8)</f>
        <v>116213.88030999999</v>
      </c>
      <c r="W8" s="220">
        <v>0</v>
      </c>
      <c r="X8" s="220">
        <v>392089.52664</v>
      </c>
      <c r="Y8" s="32">
        <f>(W8+X8)</f>
        <v>392089.52664</v>
      </c>
      <c r="Z8" s="220">
        <v>0</v>
      </c>
      <c r="AA8" s="220">
        <v>45944.9</v>
      </c>
      <c r="AB8" s="32">
        <f>(Z8+AA8)</f>
        <v>45944.9</v>
      </c>
      <c r="AC8" s="220">
        <v>0</v>
      </c>
      <c r="AD8" s="220">
        <v>17280.87</v>
      </c>
      <c r="AE8" s="43">
        <f>(AC8+AD8)</f>
        <v>17280.87</v>
      </c>
    </row>
    <row r="9" spans="1:31" s="194" customFormat="1" x14ac:dyDescent="0.25">
      <c r="A9" s="112" t="s">
        <v>159</v>
      </c>
      <c r="B9" s="220">
        <v>0</v>
      </c>
      <c r="C9" s="220">
        <v>278952057.81999999</v>
      </c>
      <c r="D9" s="32">
        <f t="shared" ref="D9:D33" si="0">(B9+C9)/1000</f>
        <v>278952.05781999999</v>
      </c>
      <c r="E9" s="220">
        <v>0</v>
      </c>
      <c r="F9" s="220">
        <v>103899940.40000001</v>
      </c>
      <c r="G9" s="32">
        <f t="shared" ref="G9:G33" si="1">(E9+F9)/1000</f>
        <v>103899.94040000001</v>
      </c>
      <c r="H9" s="220">
        <v>0</v>
      </c>
      <c r="I9" s="220">
        <v>148050265.41999999</v>
      </c>
      <c r="J9" s="32">
        <f t="shared" ref="J9:J33" si="2">(H9+I9)/1000</f>
        <v>148050.26541999998</v>
      </c>
      <c r="K9" s="220">
        <v>0</v>
      </c>
      <c r="L9" s="220">
        <v>22875600</v>
      </c>
      <c r="M9" s="32">
        <f t="shared" ref="M9:M33" si="3">(K9+L9)/1000</f>
        <v>22875.599999999999</v>
      </c>
      <c r="N9" s="220">
        <v>0</v>
      </c>
      <c r="O9" s="220">
        <v>4126252</v>
      </c>
      <c r="P9" s="32">
        <f t="shared" ref="P9:P33" si="4">(N9+O9)/1000</f>
        <v>4126.2520000000004</v>
      </c>
      <c r="Q9" s="220">
        <v>0</v>
      </c>
      <c r="R9" s="220">
        <v>282372.35022999998</v>
      </c>
      <c r="S9" s="32">
        <f t="shared" ref="S9:S33" si="5">(Q9+R9)</f>
        <v>282372.35022999998</v>
      </c>
      <c r="T9" s="220">
        <v>0</v>
      </c>
      <c r="U9" s="220">
        <v>80323.480020000003</v>
      </c>
      <c r="V9" s="32">
        <f t="shared" ref="V9:V33" si="6">(T9+U9)</f>
        <v>80323.480020000003</v>
      </c>
      <c r="W9" s="220">
        <v>0</v>
      </c>
      <c r="X9" s="220">
        <v>155598.76021000001</v>
      </c>
      <c r="Y9" s="32">
        <f t="shared" ref="Y9:Y33" si="7">(W9+X9)</f>
        <v>155598.76021000001</v>
      </c>
      <c r="Z9" s="220">
        <v>0</v>
      </c>
      <c r="AA9" s="220">
        <v>30503.5</v>
      </c>
      <c r="AB9" s="32">
        <f t="shared" ref="AB9:AB33" si="8">(Z9+AA9)</f>
        <v>30503.5</v>
      </c>
      <c r="AC9" s="220">
        <v>0</v>
      </c>
      <c r="AD9" s="220">
        <v>15946.61</v>
      </c>
      <c r="AE9" s="43">
        <f t="shared" ref="AE9:AE33" si="9">(AC9+AD9)</f>
        <v>15946.61</v>
      </c>
    </row>
    <row r="10" spans="1:31" s="194" customFormat="1" x14ac:dyDescent="0.25">
      <c r="A10" s="112" t="s">
        <v>160</v>
      </c>
      <c r="B10" s="220">
        <v>0</v>
      </c>
      <c r="C10" s="220">
        <v>175065367.97999999</v>
      </c>
      <c r="D10" s="32">
        <f t="shared" si="0"/>
        <v>175065.36797999998</v>
      </c>
      <c r="E10" s="220">
        <v>0</v>
      </c>
      <c r="F10" s="220">
        <v>54118832</v>
      </c>
      <c r="G10" s="32">
        <f t="shared" si="1"/>
        <v>54118.832000000002</v>
      </c>
      <c r="H10" s="220">
        <v>0</v>
      </c>
      <c r="I10" s="220">
        <v>107114949.98</v>
      </c>
      <c r="J10" s="32">
        <f t="shared" si="2"/>
        <v>107114.94998</v>
      </c>
      <c r="K10" s="220">
        <v>0</v>
      </c>
      <c r="L10" s="220">
        <v>13827400</v>
      </c>
      <c r="M10" s="32">
        <f t="shared" si="3"/>
        <v>13827.4</v>
      </c>
      <c r="N10" s="220">
        <v>0</v>
      </c>
      <c r="O10" s="220">
        <v>4186</v>
      </c>
      <c r="P10" s="32">
        <f t="shared" si="4"/>
        <v>4.1859999999999999</v>
      </c>
      <c r="Q10" s="220">
        <v>0</v>
      </c>
      <c r="R10" s="220">
        <v>194265.46523999999</v>
      </c>
      <c r="S10" s="32">
        <f t="shared" si="5"/>
        <v>194265.46523999999</v>
      </c>
      <c r="T10" s="220">
        <v>0</v>
      </c>
      <c r="U10" s="220">
        <v>56762.187449999998</v>
      </c>
      <c r="V10" s="32">
        <f t="shared" si="6"/>
        <v>56762.187449999998</v>
      </c>
      <c r="W10" s="220">
        <v>0</v>
      </c>
      <c r="X10" s="220">
        <v>107961.05747</v>
      </c>
      <c r="Y10" s="32">
        <f t="shared" si="7"/>
        <v>107961.05747</v>
      </c>
      <c r="Z10" s="220">
        <v>0</v>
      </c>
      <c r="AA10" s="220">
        <v>16547.599999999999</v>
      </c>
      <c r="AB10" s="32">
        <f t="shared" si="8"/>
        <v>16547.599999999999</v>
      </c>
      <c r="AC10" s="220">
        <v>0</v>
      </c>
      <c r="AD10" s="220">
        <v>12994.62032</v>
      </c>
      <c r="AE10" s="43">
        <f t="shared" si="9"/>
        <v>12994.62032</v>
      </c>
    </row>
    <row r="11" spans="1:31" s="194" customFormat="1" x14ac:dyDescent="0.25">
      <c r="A11" s="112" t="s">
        <v>161</v>
      </c>
      <c r="B11" s="220">
        <v>0</v>
      </c>
      <c r="C11" s="220">
        <v>236436921.59</v>
      </c>
      <c r="D11" s="32">
        <f t="shared" si="0"/>
        <v>236436.92159000001</v>
      </c>
      <c r="E11" s="220">
        <v>0</v>
      </c>
      <c r="F11" s="220">
        <v>54734001</v>
      </c>
      <c r="G11" s="32">
        <f t="shared" si="1"/>
        <v>54734.000999999997</v>
      </c>
      <c r="H11" s="220">
        <v>0</v>
      </c>
      <c r="I11" s="220">
        <v>151523965.59</v>
      </c>
      <c r="J11" s="32">
        <f t="shared" si="2"/>
        <v>151523.96559000001</v>
      </c>
      <c r="K11" s="220">
        <v>0</v>
      </c>
      <c r="L11" s="220">
        <v>30170500</v>
      </c>
      <c r="M11" s="32">
        <f t="shared" si="3"/>
        <v>30170.5</v>
      </c>
      <c r="N11" s="220">
        <v>0</v>
      </c>
      <c r="O11" s="220">
        <v>8455</v>
      </c>
      <c r="P11" s="32">
        <f t="shared" si="4"/>
        <v>8.4550000000000001</v>
      </c>
      <c r="Q11" s="220">
        <v>0</v>
      </c>
      <c r="R11" s="220">
        <v>269459.41608</v>
      </c>
      <c r="S11" s="32">
        <f t="shared" si="5"/>
        <v>269459.41608</v>
      </c>
      <c r="T11" s="220">
        <v>0</v>
      </c>
      <c r="U11" s="220">
        <v>58886.224349999997</v>
      </c>
      <c r="V11" s="32">
        <f t="shared" si="6"/>
        <v>58886.224349999997</v>
      </c>
      <c r="W11" s="220">
        <v>0</v>
      </c>
      <c r="X11" s="220">
        <v>166731.06073</v>
      </c>
      <c r="Y11" s="32">
        <f t="shared" si="7"/>
        <v>166731.06073</v>
      </c>
      <c r="Z11" s="220">
        <v>0</v>
      </c>
      <c r="AA11" s="220">
        <v>28781.7</v>
      </c>
      <c r="AB11" s="32">
        <f t="shared" si="8"/>
        <v>28781.7</v>
      </c>
      <c r="AC11" s="220">
        <v>0</v>
      </c>
      <c r="AD11" s="220">
        <v>15060.431</v>
      </c>
      <c r="AE11" s="43">
        <f t="shared" si="9"/>
        <v>15060.431</v>
      </c>
    </row>
    <row r="12" spans="1:31" s="194" customFormat="1" x14ac:dyDescent="0.25">
      <c r="A12" s="112" t="s">
        <v>162</v>
      </c>
      <c r="B12" s="220">
        <v>0</v>
      </c>
      <c r="C12" s="220">
        <v>207473947.93000001</v>
      </c>
      <c r="D12" s="32">
        <f t="shared" si="0"/>
        <v>207473.94792999999</v>
      </c>
      <c r="E12" s="220">
        <v>0</v>
      </c>
      <c r="F12" s="220">
        <v>40456133.399999999</v>
      </c>
      <c r="G12" s="32">
        <f t="shared" si="1"/>
        <v>40456.133399999999</v>
      </c>
      <c r="H12" s="220">
        <v>0</v>
      </c>
      <c r="I12" s="220">
        <v>135084822.53</v>
      </c>
      <c r="J12" s="32">
        <f t="shared" si="2"/>
        <v>135084.82253</v>
      </c>
      <c r="K12" s="220">
        <v>0</v>
      </c>
      <c r="L12" s="220">
        <v>31862900</v>
      </c>
      <c r="M12" s="32">
        <f t="shared" si="3"/>
        <v>31862.9</v>
      </c>
      <c r="N12" s="220">
        <v>0</v>
      </c>
      <c r="O12" s="220">
        <v>70092</v>
      </c>
      <c r="P12" s="32">
        <f t="shared" si="4"/>
        <v>70.091999999999999</v>
      </c>
      <c r="Q12" s="220">
        <v>0</v>
      </c>
      <c r="R12" s="220">
        <v>266303.40285000001</v>
      </c>
      <c r="S12" s="32">
        <f t="shared" si="5"/>
        <v>266303.40285000001</v>
      </c>
      <c r="T12" s="220">
        <v>0</v>
      </c>
      <c r="U12" s="220">
        <v>79049.887310000006</v>
      </c>
      <c r="V12" s="32">
        <f t="shared" si="6"/>
        <v>79049.887310000006</v>
      </c>
      <c r="W12" s="220">
        <v>0</v>
      </c>
      <c r="X12" s="220">
        <v>144718.87940999999</v>
      </c>
      <c r="Y12" s="32">
        <f t="shared" si="7"/>
        <v>144718.87940999999</v>
      </c>
      <c r="Z12" s="220">
        <v>0</v>
      </c>
      <c r="AA12" s="220">
        <v>34027</v>
      </c>
      <c r="AB12" s="32">
        <f t="shared" si="8"/>
        <v>34027</v>
      </c>
      <c r="AC12" s="220">
        <v>0</v>
      </c>
      <c r="AD12" s="220">
        <v>8507.6361300000008</v>
      </c>
      <c r="AE12" s="43">
        <f t="shared" si="9"/>
        <v>8507.6361300000008</v>
      </c>
    </row>
    <row r="13" spans="1:31" s="194" customFormat="1" x14ac:dyDescent="0.25">
      <c r="A13" s="112" t="s">
        <v>163</v>
      </c>
      <c r="B13" s="220">
        <v>0</v>
      </c>
      <c r="C13" s="220">
        <v>380404385.95999998</v>
      </c>
      <c r="D13" s="32">
        <f t="shared" si="0"/>
        <v>380404.38595999999</v>
      </c>
      <c r="E13" s="220">
        <v>0</v>
      </c>
      <c r="F13" s="220">
        <v>156411941.71000001</v>
      </c>
      <c r="G13" s="32">
        <f t="shared" si="1"/>
        <v>156411.94171000001</v>
      </c>
      <c r="H13" s="220">
        <v>0</v>
      </c>
      <c r="I13" s="220">
        <v>176840015.25</v>
      </c>
      <c r="J13" s="32">
        <f t="shared" si="2"/>
        <v>176840.01525</v>
      </c>
      <c r="K13" s="220">
        <v>0</v>
      </c>
      <c r="L13" s="220">
        <v>42849600</v>
      </c>
      <c r="M13" s="32">
        <f t="shared" si="3"/>
        <v>42849.599999999999</v>
      </c>
      <c r="N13" s="220">
        <v>0</v>
      </c>
      <c r="O13" s="220">
        <v>4302829</v>
      </c>
      <c r="P13" s="32">
        <f t="shared" si="4"/>
        <v>4302.8289999999997</v>
      </c>
      <c r="Q13" s="220">
        <v>0</v>
      </c>
      <c r="R13" s="220">
        <v>303563.18648999999</v>
      </c>
      <c r="S13" s="32">
        <f t="shared" si="5"/>
        <v>303563.18648999999</v>
      </c>
      <c r="T13" s="220">
        <v>0</v>
      </c>
      <c r="U13" s="220">
        <v>62480.102570000003</v>
      </c>
      <c r="V13" s="32">
        <f t="shared" si="6"/>
        <v>62480.102570000003</v>
      </c>
      <c r="W13" s="220">
        <v>0</v>
      </c>
      <c r="X13" s="220">
        <v>185814.28151</v>
      </c>
      <c r="Y13" s="32">
        <f t="shared" si="7"/>
        <v>185814.28151</v>
      </c>
      <c r="Z13" s="220">
        <v>0</v>
      </c>
      <c r="AA13" s="220">
        <v>39051.300000000003</v>
      </c>
      <c r="AB13" s="32">
        <f t="shared" si="8"/>
        <v>39051.300000000003</v>
      </c>
      <c r="AC13" s="220">
        <v>0</v>
      </c>
      <c r="AD13" s="220">
        <v>16217.502409999999</v>
      </c>
      <c r="AE13" s="43">
        <f t="shared" si="9"/>
        <v>16217.502409999999</v>
      </c>
    </row>
    <row r="14" spans="1:31" s="194" customFormat="1" x14ac:dyDescent="0.25">
      <c r="A14" s="112" t="s">
        <v>164</v>
      </c>
      <c r="B14" s="220">
        <v>0</v>
      </c>
      <c r="C14" s="220">
        <v>196995836.72999999</v>
      </c>
      <c r="D14" s="32">
        <f t="shared" si="0"/>
        <v>196995.83672999998</v>
      </c>
      <c r="E14" s="220">
        <v>0</v>
      </c>
      <c r="F14" s="220">
        <v>47155631.289999999</v>
      </c>
      <c r="G14" s="32">
        <f t="shared" si="1"/>
        <v>47155.631289999998</v>
      </c>
      <c r="H14" s="220">
        <v>0</v>
      </c>
      <c r="I14" s="220">
        <v>128091105.44</v>
      </c>
      <c r="J14" s="32">
        <f t="shared" si="2"/>
        <v>128091.10544</v>
      </c>
      <c r="K14" s="220">
        <v>0</v>
      </c>
      <c r="L14" s="220">
        <v>21749100</v>
      </c>
      <c r="M14" s="32">
        <f t="shared" si="3"/>
        <v>21749.1</v>
      </c>
      <c r="N14" s="220">
        <v>0</v>
      </c>
      <c r="O14" s="220">
        <v>0</v>
      </c>
      <c r="P14" s="32">
        <f t="shared" si="4"/>
        <v>0</v>
      </c>
      <c r="Q14" s="220">
        <v>0</v>
      </c>
      <c r="R14" s="220">
        <v>229457.13592</v>
      </c>
      <c r="S14" s="32">
        <f t="shared" si="5"/>
        <v>229457.13592</v>
      </c>
      <c r="T14" s="220">
        <v>0</v>
      </c>
      <c r="U14" s="220">
        <v>46916.902439999998</v>
      </c>
      <c r="V14" s="32">
        <f t="shared" si="6"/>
        <v>46916.902439999998</v>
      </c>
      <c r="W14" s="220">
        <v>0</v>
      </c>
      <c r="X14" s="220">
        <v>155304.23348</v>
      </c>
      <c r="Y14" s="32">
        <f t="shared" si="7"/>
        <v>155304.23348</v>
      </c>
      <c r="Z14" s="220">
        <v>0</v>
      </c>
      <c r="AA14" s="220">
        <v>15574</v>
      </c>
      <c r="AB14" s="32">
        <f t="shared" si="8"/>
        <v>15574</v>
      </c>
      <c r="AC14" s="220">
        <v>0</v>
      </c>
      <c r="AD14" s="220">
        <v>11662</v>
      </c>
      <c r="AE14" s="43">
        <f t="shared" si="9"/>
        <v>11662</v>
      </c>
    </row>
    <row r="15" spans="1:31" s="194" customFormat="1" x14ac:dyDescent="0.25">
      <c r="A15" s="112" t="s">
        <v>165</v>
      </c>
      <c r="B15" s="220">
        <v>0</v>
      </c>
      <c r="C15" s="220">
        <v>310877289.82999998</v>
      </c>
      <c r="D15" s="32">
        <f t="shared" si="0"/>
        <v>310877.28982999997</v>
      </c>
      <c r="E15" s="220">
        <v>0</v>
      </c>
      <c r="F15" s="220">
        <v>160992045.55000001</v>
      </c>
      <c r="G15" s="32">
        <f t="shared" si="1"/>
        <v>160992.04555000001</v>
      </c>
      <c r="H15" s="220">
        <v>0</v>
      </c>
      <c r="I15" s="220">
        <v>133063444.28</v>
      </c>
      <c r="J15" s="32">
        <f t="shared" si="2"/>
        <v>133063.44428</v>
      </c>
      <c r="K15" s="220">
        <v>0</v>
      </c>
      <c r="L15" s="220">
        <v>16821800</v>
      </c>
      <c r="M15" s="32">
        <f t="shared" si="3"/>
        <v>16821.8</v>
      </c>
      <c r="N15" s="220">
        <v>0</v>
      </c>
      <c r="O15" s="220">
        <v>0</v>
      </c>
      <c r="P15" s="32">
        <f t="shared" si="4"/>
        <v>0</v>
      </c>
      <c r="Q15" s="220">
        <v>0</v>
      </c>
      <c r="R15" s="220">
        <v>283431.06741999998</v>
      </c>
      <c r="S15" s="32">
        <f t="shared" si="5"/>
        <v>283431.06741999998</v>
      </c>
      <c r="T15" s="220">
        <v>0</v>
      </c>
      <c r="U15" s="220">
        <v>119427.67591000001</v>
      </c>
      <c r="V15" s="32">
        <f t="shared" si="6"/>
        <v>119427.67591000001</v>
      </c>
      <c r="W15" s="220">
        <v>0</v>
      </c>
      <c r="X15" s="220">
        <v>134908.78573999999</v>
      </c>
      <c r="Y15" s="32">
        <f t="shared" si="7"/>
        <v>134908.78573999999</v>
      </c>
      <c r="Z15" s="220">
        <v>0</v>
      </c>
      <c r="AA15" s="220">
        <v>17911.8</v>
      </c>
      <c r="AB15" s="32">
        <f t="shared" si="8"/>
        <v>17911.8</v>
      </c>
      <c r="AC15" s="220">
        <v>0</v>
      </c>
      <c r="AD15" s="220">
        <v>11182.805770000001</v>
      </c>
      <c r="AE15" s="43">
        <f t="shared" si="9"/>
        <v>11182.805770000001</v>
      </c>
    </row>
    <row r="16" spans="1:31" s="194" customFormat="1" x14ac:dyDescent="0.25">
      <c r="A16" s="112" t="s">
        <v>166</v>
      </c>
      <c r="B16" s="220">
        <v>0</v>
      </c>
      <c r="C16" s="220">
        <v>214661865.06999999</v>
      </c>
      <c r="D16" s="32">
        <f t="shared" si="0"/>
        <v>214661.86507</v>
      </c>
      <c r="E16" s="220">
        <v>0</v>
      </c>
      <c r="F16" s="220">
        <v>66570672.520000003</v>
      </c>
      <c r="G16" s="32">
        <f t="shared" si="1"/>
        <v>66570.672520000007</v>
      </c>
      <c r="H16" s="220">
        <v>0</v>
      </c>
      <c r="I16" s="220">
        <v>146474392.55000001</v>
      </c>
      <c r="J16" s="32">
        <f t="shared" si="2"/>
        <v>146474.39255000002</v>
      </c>
      <c r="K16" s="220">
        <v>0</v>
      </c>
      <c r="L16" s="220">
        <v>1605800</v>
      </c>
      <c r="M16" s="32">
        <f t="shared" si="3"/>
        <v>1605.8</v>
      </c>
      <c r="N16" s="220">
        <v>0</v>
      </c>
      <c r="O16" s="220">
        <v>11000</v>
      </c>
      <c r="P16" s="32">
        <f t="shared" si="4"/>
        <v>11</v>
      </c>
      <c r="Q16" s="220">
        <v>0</v>
      </c>
      <c r="R16" s="220">
        <v>256007.15536999999</v>
      </c>
      <c r="S16" s="32">
        <f t="shared" si="5"/>
        <v>256007.15536999999</v>
      </c>
      <c r="T16" s="220">
        <v>0</v>
      </c>
      <c r="U16" s="220">
        <v>79617.530540000007</v>
      </c>
      <c r="V16" s="32">
        <f t="shared" si="6"/>
        <v>79617.530540000007</v>
      </c>
      <c r="W16" s="220">
        <v>0</v>
      </c>
      <c r="X16" s="220">
        <v>161297.3744</v>
      </c>
      <c r="Y16" s="32">
        <f t="shared" si="7"/>
        <v>161297.3744</v>
      </c>
      <c r="Z16" s="220">
        <v>0</v>
      </c>
      <c r="AA16" s="220">
        <v>2111.5</v>
      </c>
      <c r="AB16" s="32">
        <f t="shared" si="8"/>
        <v>2111.5</v>
      </c>
      <c r="AC16" s="220">
        <v>0</v>
      </c>
      <c r="AD16" s="220">
        <v>12980.75043</v>
      </c>
      <c r="AE16" s="43">
        <f t="shared" si="9"/>
        <v>12980.75043</v>
      </c>
    </row>
    <row r="17" spans="1:31" s="194" customFormat="1" x14ac:dyDescent="0.25">
      <c r="A17" s="112" t="s">
        <v>167</v>
      </c>
      <c r="B17" s="220">
        <v>0</v>
      </c>
      <c r="C17" s="220">
        <v>174051689.69999999</v>
      </c>
      <c r="D17" s="32">
        <f t="shared" si="0"/>
        <v>174051.68969999999</v>
      </c>
      <c r="E17" s="220">
        <v>0</v>
      </c>
      <c r="F17" s="220">
        <v>51616831.380000003</v>
      </c>
      <c r="G17" s="32">
        <f t="shared" si="1"/>
        <v>51616.831380000003</v>
      </c>
      <c r="H17" s="220">
        <v>0</v>
      </c>
      <c r="I17" s="220">
        <v>88783567.040000007</v>
      </c>
      <c r="J17" s="32">
        <f t="shared" si="2"/>
        <v>88783.567040000009</v>
      </c>
      <c r="K17" s="220">
        <v>0</v>
      </c>
      <c r="L17" s="220">
        <v>30924200</v>
      </c>
      <c r="M17" s="32">
        <f t="shared" si="3"/>
        <v>30924.2</v>
      </c>
      <c r="N17" s="220">
        <v>0</v>
      </c>
      <c r="O17" s="220">
        <v>2727091.28</v>
      </c>
      <c r="P17" s="32">
        <f t="shared" si="4"/>
        <v>2727.0912799999996</v>
      </c>
      <c r="Q17" s="220">
        <v>0</v>
      </c>
      <c r="R17" s="220">
        <v>192669.70746000001</v>
      </c>
      <c r="S17" s="32">
        <f t="shared" si="5"/>
        <v>192669.70746000001</v>
      </c>
      <c r="T17" s="220">
        <v>0</v>
      </c>
      <c r="U17" s="220">
        <v>57762.548089999997</v>
      </c>
      <c r="V17" s="32">
        <f t="shared" si="6"/>
        <v>57762.548089999997</v>
      </c>
      <c r="W17" s="220">
        <v>0</v>
      </c>
      <c r="X17" s="220">
        <v>105467.14761</v>
      </c>
      <c r="Y17" s="32">
        <f t="shared" si="7"/>
        <v>105467.14761</v>
      </c>
      <c r="Z17" s="220">
        <v>0</v>
      </c>
      <c r="AA17" s="220">
        <v>20476.7</v>
      </c>
      <c r="AB17" s="32">
        <f t="shared" si="8"/>
        <v>20476.7</v>
      </c>
      <c r="AC17" s="220">
        <v>0</v>
      </c>
      <c r="AD17" s="220">
        <v>8963.3117600000005</v>
      </c>
      <c r="AE17" s="43">
        <f t="shared" si="9"/>
        <v>8963.3117600000005</v>
      </c>
    </row>
    <row r="18" spans="1:31" s="194" customFormat="1" x14ac:dyDescent="0.25">
      <c r="A18" s="112" t="s">
        <v>168</v>
      </c>
      <c r="B18" s="220">
        <v>0</v>
      </c>
      <c r="C18" s="220">
        <v>177251772.87</v>
      </c>
      <c r="D18" s="32">
        <f t="shared" si="0"/>
        <v>177251.77287000002</v>
      </c>
      <c r="E18" s="220">
        <v>0</v>
      </c>
      <c r="F18" s="220">
        <v>57869346.119999997</v>
      </c>
      <c r="G18" s="32">
        <f t="shared" si="1"/>
        <v>57869.346119999995</v>
      </c>
      <c r="H18" s="220">
        <v>0</v>
      </c>
      <c r="I18" s="220">
        <v>117967260.75</v>
      </c>
      <c r="J18" s="32">
        <f t="shared" si="2"/>
        <v>117967.26075</v>
      </c>
      <c r="K18" s="220">
        <v>0</v>
      </c>
      <c r="L18" s="220">
        <v>0</v>
      </c>
      <c r="M18" s="32">
        <f t="shared" si="3"/>
        <v>0</v>
      </c>
      <c r="N18" s="220">
        <v>0</v>
      </c>
      <c r="O18" s="220">
        <v>1415166</v>
      </c>
      <c r="P18" s="32">
        <f t="shared" si="4"/>
        <v>1415.1659999999999</v>
      </c>
      <c r="Q18" s="220">
        <v>0</v>
      </c>
      <c r="R18" s="220">
        <v>218919.43841999999</v>
      </c>
      <c r="S18" s="32">
        <f t="shared" si="5"/>
        <v>218919.43841999999</v>
      </c>
      <c r="T18" s="220">
        <v>0</v>
      </c>
      <c r="U18" s="220">
        <v>83657.109100000001</v>
      </c>
      <c r="V18" s="32">
        <f t="shared" si="6"/>
        <v>83657.109100000001</v>
      </c>
      <c r="W18" s="220">
        <v>0</v>
      </c>
      <c r="X18" s="220">
        <v>127505.55732000001</v>
      </c>
      <c r="Y18" s="32">
        <f t="shared" si="7"/>
        <v>127505.55732000001</v>
      </c>
      <c r="Z18" s="220">
        <v>0</v>
      </c>
      <c r="AA18" s="220">
        <v>0</v>
      </c>
      <c r="AB18" s="32">
        <f t="shared" si="8"/>
        <v>0</v>
      </c>
      <c r="AC18" s="220">
        <v>0</v>
      </c>
      <c r="AD18" s="220">
        <v>7756.7719999999999</v>
      </c>
      <c r="AE18" s="43">
        <f t="shared" si="9"/>
        <v>7756.7719999999999</v>
      </c>
    </row>
    <row r="19" spans="1:31" s="194" customFormat="1" x14ac:dyDescent="0.25">
      <c r="A19" s="112" t="s">
        <v>169</v>
      </c>
      <c r="B19" s="220">
        <v>0</v>
      </c>
      <c r="C19" s="220">
        <v>241749080.71000001</v>
      </c>
      <c r="D19" s="32">
        <f t="shared" si="0"/>
        <v>241749.08071000001</v>
      </c>
      <c r="E19" s="220">
        <v>0</v>
      </c>
      <c r="F19" s="220">
        <v>35440255.630000003</v>
      </c>
      <c r="G19" s="32">
        <f t="shared" si="1"/>
        <v>35440.25563</v>
      </c>
      <c r="H19" s="220">
        <v>0</v>
      </c>
      <c r="I19" s="220">
        <v>173193725.08000001</v>
      </c>
      <c r="J19" s="32">
        <f t="shared" si="2"/>
        <v>173193.72508</v>
      </c>
      <c r="K19" s="220">
        <v>0</v>
      </c>
      <c r="L19" s="220">
        <v>28556100</v>
      </c>
      <c r="M19" s="32">
        <f t="shared" si="3"/>
        <v>28556.1</v>
      </c>
      <c r="N19" s="220">
        <v>0</v>
      </c>
      <c r="O19" s="220">
        <v>4559000</v>
      </c>
      <c r="P19" s="32">
        <f t="shared" si="4"/>
        <v>4559</v>
      </c>
      <c r="Q19" s="220">
        <v>0</v>
      </c>
      <c r="R19" s="220">
        <v>270446.17174999998</v>
      </c>
      <c r="S19" s="32">
        <f t="shared" si="5"/>
        <v>270446.17174999998</v>
      </c>
      <c r="T19" s="220">
        <v>0</v>
      </c>
      <c r="U19" s="220">
        <v>48959.936090000003</v>
      </c>
      <c r="V19" s="32">
        <f t="shared" si="6"/>
        <v>48959.936090000003</v>
      </c>
      <c r="W19" s="220">
        <v>0</v>
      </c>
      <c r="X19" s="220">
        <v>190428.86765999999</v>
      </c>
      <c r="Y19" s="32">
        <f t="shared" si="7"/>
        <v>190428.86765999999</v>
      </c>
      <c r="Z19" s="220">
        <v>0</v>
      </c>
      <c r="AA19" s="220">
        <v>26913.4</v>
      </c>
      <c r="AB19" s="32">
        <f t="shared" si="8"/>
        <v>26913.4</v>
      </c>
      <c r="AC19" s="220">
        <v>0</v>
      </c>
      <c r="AD19" s="220">
        <v>4143.9679999999998</v>
      </c>
      <c r="AE19" s="43">
        <f t="shared" si="9"/>
        <v>4143.9679999999998</v>
      </c>
    </row>
    <row r="20" spans="1:31" s="194" customFormat="1" x14ac:dyDescent="0.25">
      <c r="A20" s="112" t="s">
        <v>170</v>
      </c>
      <c r="B20" s="220">
        <v>0</v>
      </c>
      <c r="C20" s="220">
        <v>300334112.74000001</v>
      </c>
      <c r="D20" s="32">
        <f t="shared" si="0"/>
        <v>300334.11274000001</v>
      </c>
      <c r="E20" s="220">
        <v>0</v>
      </c>
      <c r="F20" s="220">
        <v>12552399</v>
      </c>
      <c r="G20" s="32">
        <f t="shared" si="1"/>
        <v>12552.398999999999</v>
      </c>
      <c r="H20" s="220">
        <v>0</v>
      </c>
      <c r="I20" s="220">
        <v>236468897.74000001</v>
      </c>
      <c r="J20" s="32">
        <f t="shared" si="2"/>
        <v>236468.89774000001</v>
      </c>
      <c r="K20" s="220">
        <v>0</v>
      </c>
      <c r="L20" s="220">
        <v>49861000</v>
      </c>
      <c r="M20" s="32">
        <f t="shared" si="3"/>
        <v>49861</v>
      </c>
      <c r="N20" s="220">
        <v>0</v>
      </c>
      <c r="O20" s="220">
        <v>1451816</v>
      </c>
      <c r="P20" s="32">
        <f t="shared" si="4"/>
        <v>1451.816</v>
      </c>
      <c r="Q20" s="220">
        <v>0</v>
      </c>
      <c r="R20" s="220">
        <v>355019.32325999998</v>
      </c>
      <c r="S20" s="32">
        <f t="shared" si="5"/>
        <v>355019.32325999998</v>
      </c>
      <c r="T20" s="220">
        <v>0</v>
      </c>
      <c r="U20" s="220">
        <v>33689.743470000001</v>
      </c>
      <c r="V20" s="32">
        <f t="shared" si="6"/>
        <v>33689.743470000001</v>
      </c>
      <c r="W20" s="220">
        <v>0</v>
      </c>
      <c r="X20" s="220">
        <v>261183.48279000001</v>
      </c>
      <c r="Y20" s="32">
        <f t="shared" si="7"/>
        <v>261183.48279000001</v>
      </c>
      <c r="Z20" s="220">
        <v>0</v>
      </c>
      <c r="AA20" s="220">
        <v>53322.6</v>
      </c>
      <c r="AB20" s="32">
        <f t="shared" si="8"/>
        <v>53322.6</v>
      </c>
      <c r="AC20" s="220">
        <v>0</v>
      </c>
      <c r="AD20" s="220">
        <v>6823.4970000000003</v>
      </c>
      <c r="AE20" s="43">
        <f t="shared" si="9"/>
        <v>6823.4970000000003</v>
      </c>
    </row>
    <row r="21" spans="1:31" s="194" customFormat="1" x14ac:dyDescent="0.25">
      <c r="A21" s="112" t="s">
        <v>171</v>
      </c>
      <c r="B21" s="220">
        <v>0</v>
      </c>
      <c r="C21" s="220">
        <v>451300599.72000003</v>
      </c>
      <c r="D21" s="32">
        <f t="shared" si="0"/>
        <v>451300.59972000006</v>
      </c>
      <c r="E21" s="220">
        <v>0</v>
      </c>
      <c r="F21" s="220">
        <v>114572038.43000001</v>
      </c>
      <c r="G21" s="32">
        <f t="shared" si="1"/>
        <v>114572.03843</v>
      </c>
      <c r="H21" s="220">
        <v>0</v>
      </c>
      <c r="I21" s="220">
        <v>278747581.79000002</v>
      </c>
      <c r="J21" s="32">
        <f t="shared" si="2"/>
        <v>278747.58179000003</v>
      </c>
      <c r="K21" s="220">
        <v>0</v>
      </c>
      <c r="L21" s="220">
        <v>57001900</v>
      </c>
      <c r="M21" s="32">
        <f t="shared" si="3"/>
        <v>57001.9</v>
      </c>
      <c r="N21" s="220">
        <v>0</v>
      </c>
      <c r="O21" s="220">
        <v>979079.5</v>
      </c>
      <c r="P21" s="32">
        <f t="shared" si="4"/>
        <v>979.07950000000005</v>
      </c>
      <c r="Q21" s="220">
        <v>0</v>
      </c>
      <c r="R21" s="220">
        <v>494717.65561999998</v>
      </c>
      <c r="S21" s="32">
        <f t="shared" si="5"/>
        <v>494717.65561999998</v>
      </c>
      <c r="T21" s="220">
        <v>0</v>
      </c>
      <c r="U21" s="220">
        <v>120324.046</v>
      </c>
      <c r="V21" s="32">
        <f t="shared" si="6"/>
        <v>120324.046</v>
      </c>
      <c r="W21" s="220">
        <v>0</v>
      </c>
      <c r="X21" s="220">
        <v>299661.60462</v>
      </c>
      <c r="Y21" s="32">
        <f t="shared" si="7"/>
        <v>299661.60462</v>
      </c>
      <c r="Z21" s="220">
        <v>0</v>
      </c>
      <c r="AA21" s="220">
        <v>60231.5</v>
      </c>
      <c r="AB21" s="32">
        <f t="shared" si="8"/>
        <v>60231.5</v>
      </c>
      <c r="AC21" s="220">
        <v>0</v>
      </c>
      <c r="AD21" s="220">
        <v>14500.504999999999</v>
      </c>
      <c r="AE21" s="43">
        <f t="shared" si="9"/>
        <v>14500.504999999999</v>
      </c>
    </row>
    <row r="22" spans="1:31" s="194" customFormat="1" x14ac:dyDescent="0.25">
      <c r="A22" s="112" t="s">
        <v>172</v>
      </c>
      <c r="B22" s="220">
        <v>0</v>
      </c>
      <c r="C22" s="220">
        <v>431383811.02999997</v>
      </c>
      <c r="D22" s="32">
        <f t="shared" si="0"/>
        <v>431383.81102999998</v>
      </c>
      <c r="E22" s="220">
        <v>0</v>
      </c>
      <c r="F22" s="220">
        <v>55055014.869999997</v>
      </c>
      <c r="G22" s="32">
        <f t="shared" si="1"/>
        <v>55055.014869999999</v>
      </c>
      <c r="H22" s="220">
        <v>0</v>
      </c>
      <c r="I22" s="220">
        <v>316525787.16000003</v>
      </c>
      <c r="J22" s="32">
        <f t="shared" si="2"/>
        <v>316525.78716000001</v>
      </c>
      <c r="K22" s="220">
        <v>0</v>
      </c>
      <c r="L22" s="220">
        <v>59076100</v>
      </c>
      <c r="M22" s="32">
        <f t="shared" si="3"/>
        <v>59076.1</v>
      </c>
      <c r="N22" s="220">
        <v>0</v>
      </c>
      <c r="O22" s="220">
        <v>726909</v>
      </c>
      <c r="P22" s="32">
        <f t="shared" si="4"/>
        <v>726.90899999999999</v>
      </c>
      <c r="Q22" s="220">
        <v>0</v>
      </c>
      <c r="R22" s="220">
        <v>447349.25228999997</v>
      </c>
      <c r="S22" s="32">
        <f t="shared" si="5"/>
        <v>447349.25228999997</v>
      </c>
      <c r="T22" s="220">
        <v>0</v>
      </c>
      <c r="U22" s="220">
        <v>27887.44743</v>
      </c>
      <c r="V22" s="32">
        <f t="shared" si="6"/>
        <v>27887.44743</v>
      </c>
      <c r="W22" s="220">
        <v>0</v>
      </c>
      <c r="X22" s="220">
        <v>333074.40486000001</v>
      </c>
      <c r="Y22" s="32">
        <f t="shared" si="7"/>
        <v>333074.40486000001</v>
      </c>
      <c r="Z22" s="220">
        <v>0</v>
      </c>
      <c r="AA22" s="220">
        <v>57387.4</v>
      </c>
      <c r="AB22" s="32">
        <f t="shared" si="8"/>
        <v>57387.4</v>
      </c>
      <c r="AC22" s="220">
        <v>0</v>
      </c>
      <c r="AD22" s="220">
        <v>29000</v>
      </c>
      <c r="AE22" s="43">
        <f t="shared" si="9"/>
        <v>29000</v>
      </c>
    </row>
    <row r="23" spans="1:31" s="194" customFormat="1" x14ac:dyDescent="0.25">
      <c r="A23" s="112" t="s">
        <v>173</v>
      </c>
      <c r="B23" s="220">
        <v>0</v>
      </c>
      <c r="C23" s="220">
        <v>286368224.62</v>
      </c>
      <c r="D23" s="32">
        <f t="shared" si="0"/>
        <v>286368.22461999999</v>
      </c>
      <c r="E23" s="220">
        <v>0</v>
      </c>
      <c r="F23" s="220">
        <v>90806562</v>
      </c>
      <c r="G23" s="32">
        <f t="shared" si="1"/>
        <v>90806.562000000005</v>
      </c>
      <c r="H23" s="220">
        <v>0</v>
      </c>
      <c r="I23" s="220">
        <v>195317453.62</v>
      </c>
      <c r="J23" s="32">
        <f t="shared" si="2"/>
        <v>195317.45362000001</v>
      </c>
      <c r="K23" s="220">
        <v>0</v>
      </c>
      <c r="L23" s="220">
        <v>0</v>
      </c>
      <c r="M23" s="32">
        <f t="shared" si="3"/>
        <v>0</v>
      </c>
      <c r="N23" s="220">
        <v>0</v>
      </c>
      <c r="O23" s="220">
        <v>244209</v>
      </c>
      <c r="P23" s="32">
        <f t="shared" si="4"/>
        <v>244.209</v>
      </c>
      <c r="Q23" s="220">
        <v>0</v>
      </c>
      <c r="R23" s="220">
        <v>326211.72097000002</v>
      </c>
      <c r="S23" s="32">
        <f t="shared" si="5"/>
        <v>326211.72097000002</v>
      </c>
      <c r="T23" s="220">
        <v>0</v>
      </c>
      <c r="U23" s="220">
        <v>80059.074840000001</v>
      </c>
      <c r="V23" s="32">
        <f t="shared" si="6"/>
        <v>80059.074840000001</v>
      </c>
      <c r="W23" s="220">
        <v>0</v>
      </c>
      <c r="X23" s="220">
        <v>224509.76559</v>
      </c>
      <c r="Y23" s="32">
        <f t="shared" si="7"/>
        <v>224509.76559</v>
      </c>
      <c r="Z23" s="220">
        <v>0</v>
      </c>
      <c r="AA23" s="220">
        <v>0</v>
      </c>
      <c r="AB23" s="32">
        <f t="shared" si="8"/>
        <v>0</v>
      </c>
      <c r="AC23" s="220">
        <v>0</v>
      </c>
      <c r="AD23" s="220">
        <v>21642.880539999998</v>
      </c>
      <c r="AE23" s="43">
        <f t="shared" si="9"/>
        <v>21642.880539999998</v>
      </c>
    </row>
    <row r="24" spans="1:31" s="194" customFormat="1" x14ac:dyDescent="0.25">
      <c r="A24" s="112" t="s">
        <v>174</v>
      </c>
      <c r="B24" s="220">
        <v>0</v>
      </c>
      <c r="C24" s="220">
        <v>398959642.73000002</v>
      </c>
      <c r="D24" s="32">
        <f t="shared" si="0"/>
        <v>398959.64273000002</v>
      </c>
      <c r="E24" s="220">
        <v>0</v>
      </c>
      <c r="F24" s="220">
        <v>73702728</v>
      </c>
      <c r="G24" s="32">
        <f t="shared" si="1"/>
        <v>73702.728000000003</v>
      </c>
      <c r="H24" s="220">
        <v>0</v>
      </c>
      <c r="I24" s="220">
        <v>290606053.85000002</v>
      </c>
      <c r="J24" s="32">
        <f t="shared" si="2"/>
        <v>290606.05385000003</v>
      </c>
      <c r="K24" s="220">
        <v>0</v>
      </c>
      <c r="L24" s="220">
        <v>34105200</v>
      </c>
      <c r="M24" s="32">
        <f t="shared" si="3"/>
        <v>34105.199999999997</v>
      </c>
      <c r="N24" s="220">
        <v>0</v>
      </c>
      <c r="O24" s="220">
        <v>545660.88</v>
      </c>
      <c r="P24" s="32">
        <f t="shared" si="4"/>
        <v>545.66088000000002</v>
      </c>
      <c r="Q24" s="220">
        <v>0</v>
      </c>
      <c r="R24" s="220">
        <v>467201.32507000002</v>
      </c>
      <c r="S24" s="32">
        <f t="shared" si="5"/>
        <v>467201.32507000002</v>
      </c>
      <c r="T24" s="220">
        <v>0</v>
      </c>
      <c r="U24" s="220">
        <v>87495.737940000006</v>
      </c>
      <c r="V24" s="32">
        <f t="shared" si="6"/>
        <v>87495.737940000006</v>
      </c>
      <c r="W24" s="220">
        <v>0</v>
      </c>
      <c r="X24" s="220">
        <v>326635.38929999998</v>
      </c>
      <c r="Y24" s="32">
        <f t="shared" si="7"/>
        <v>326635.38929999998</v>
      </c>
      <c r="Z24" s="220">
        <v>0</v>
      </c>
      <c r="AA24" s="220">
        <v>26011.200000000001</v>
      </c>
      <c r="AB24" s="32">
        <f t="shared" si="8"/>
        <v>26011.200000000001</v>
      </c>
      <c r="AC24" s="220">
        <v>0</v>
      </c>
      <c r="AD24" s="220">
        <v>27058.99783</v>
      </c>
      <c r="AE24" s="43">
        <f t="shared" si="9"/>
        <v>27058.99783</v>
      </c>
    </row>
    <row r="25" spans="1:31" s="194" customFormat="1" x14ac:dyDescent="0.25">
      <c r="A25" s="112" t="s">
        <v>175</v>
      </c>
      <c r="B25" s="220">
        <v>0</v>
      </c>
      <c r="C25" s="220">
        <v>420160198.13</v>
      </c>
      <c r="D25" s="32">
        <f t="shared" si="0"/>
        <v>420160.19812999998</v>
      </c>
      <c r="E25" s="220">
        <v>0</v>
      </c>
      <c r="F25" s="220">
        <v>86536224</v>
      </c>
      <c r="G25" s="32">
        <f t="shared" si="1"/>
        <v>86536.224000000002</v>
      </c>
      <c r="H25" s="220">
        <v>0</v>
      </c>
      <c r="I25" s="220">
        <v>292794982.13</v>
      </c>
      <c r="J25" s="32">
        <f t="shared" si="2"/>
        <v>292794.98213000002</v>
      </c>
      <c r="K25" s="220">
        <v>0</v>
      </c>
      <c r="L25" s="220">
        <v>39749000</v>
      </c>
      <c r="M25" s="32">
        <f t="shared" si="3"/>
        <v>39749</v>
      </c>
      <c r="N25" s="220">
        <v>0</v>
      </c>
      <c r="O25" s="220">
        <v>1079992</v>
      </c>
      <c r="P25" s="32">
        <f t="shared" si="4"/>
        <v>1079.992</v>
      </c>
      <c r="Q25" s="220">
        <v>0</v>
      </c>
      <c r="R25" s="220">
        <v>442101.60915999999</v>
      </c>
      <c r="S25" s="32">
        <f t="shared" si="5"/>
        <v>442101.60915999999</v>
      </c>
      <c r="T25" s="220">
        <v>0</v>
      </c>
      <c r="U25" s="220">
        <v>63477.191800000001</v>
      </c>
      <c r="V25" s="32">
        <f t="shared" si="6"/>
        <v>63477.191800000001</v>
      </c>
      <c r="W25" s="220">
        <v>0</v>
      </c>
      <c r="X25" s="220">
        <v>306043.29121</v>
      </c>
      <c r="Y25" s="32">
        <f t="shared" si="7"/>
        <v>306043.29121</v>
      </c>
      <c r="Z25" s="220">
        <v>0</v>
      </c>
      <c r="AA25" s="220">
        <v>41873.800000000003</v>
      </c>
      <c r="AB25" s="32">
        <f t="shared" si="8"/>
        <v>41873.800000000003</v>
      </c>
      <c r="AC25" s="220">
        <v>0</v>
      </c>
      <c r="AD25" s="220">
        <v>30707.326150000001</v>
      </c>
      <c r="AE25" s="43">
        <f t="shared" si="9"/>
        <v>30707.326150000001</v>
      </c>
    </row>
    <row r="26" spans="1:31" s="194" customFormat="1" x14ac:dyDescent="0.25">
      <c r="A26" s="112" t="s">
        <v>176</v>
      </c>
      <c r="B26" s="220">
        <v>0</v>
      </c>
      <c r="C26" s="220">
        <v>156176889.37</v>
      </c>
      <c r="D26" s="32">
        <f t="shared" si="0"/>
        <v>156176.88937000002</v>
      </c>
      <c r="E26" s="220">
        <v>0</v>
      </c>
      <c r="F26" s="220">
        <v>27855992</v>
      </c>
      <c r="G26" s="32">
        <f t="shared" si="1"/>
        <v>27855.991999999998</v>
      </c>
      <c r="H26" s="220">
        <v>0</v>
      </c>
      <c r="I26" s="220">
        <v>100639697.37</v>
      </c>
      <c r="J26" s="32">
        <f t="shared" si="2"/>
        <v>100639.69737000001</v>
      </c>
      <c r="K26" s="220">
        <v>0</v>
      </c>
      <c r="L26" s="220">
        <v>27584200</v>
      </c>
      <c r="M26" s="32">
        <f t="shared" si="3"/>
        <v>27584.2</v>
      </c>
      <c r="N26" s="220">
        <v>0</v>
      </c>
      <c r="O26" s="220">
        <v>97000</v>
      </c>
      <c r="P26" s="32">
        <f t="shared" si="4"/>
        <v>97</v>
      </c>
      <c r="Q26" s="220">
        <v>0</v>
      </c>
      <c r="R26" s="220">
        <v>176537.5172</v>
      </c>
      <c r="S26" s="32">
        <f t="shared" si="5"/>
        <v>176537.5172</v>
      </c>
      <c r="T26" s="220">
        <v>0</v>
      </c>
      <c r="U26" s="220">
        <v>38216.442000000003</v>
      </c>
      <c r="V26" s="32">
        <f t="shared" si="6"/>
        <v>38216.442000000003</v>
      </c>
      <c r="W26" s="220">
        <v>0</v>
      </c>
      <c r="X26" s="220">
        <v>107010.6752</v>
      </c>
      <c r="Y26" s="32">
        <f t="shared" si="7"/>
        <v>107010.6752</v>
      </c>
      <c r="Z26" s="220">
        <v>0</v>
      </c>
      <c r="AA26" s="220">
        <v>28820.400000000001</v>
      </c>
      <c r="AB26" s="32">
        <f t="shared" si="8"/>
        <v>28820.400000000001</v>
      </c>
      <c r="AC26" s="220">
        <v>0</v>
      </c>
      <c r="AD26" s="220">
        <v>2490</v>
      </c>
      <c r="AE26" s="43">
        <f t="shared" si="9"/>
        <v>2490</v>
      </c>
    </row>
    <row r="27" spans="1:31" s="194" customFormat="1" x14ac:dyDescent="0.25">
      <c r="A27" s="112" t="s">
        <v>177</v>
      </c>
      <c r="B27" s="220">
        <v>1776159915.4000001</v>
      </c>
      <c r="C27" s="220"/>
      <c r="D27" s="32">
        <f t="shared" si="0"/>
        <v>1776159.9154000001</v>
      </c>
      <c r="E27" s="220">
        <v>49387666.729999997</v>
      </c>
      <c r="F27" s="220">
        <v>0</v>
      </c>
      <c r="G27" s="32">
        <f t="shared" si="1"/>
        <v>49387.666729999997</v>
      </c>
      <c r="H27" s="220">
        <v>1725975979.75</v>
      </c>
      <c r="I27" s="220">
        <v>0</v>
      </c>
      <c r="J27" s="32">
        <f t="shared" si="2"/>
        <v>1725975.9797499999</v>
      </c>
      <c r="K27" s="220">
        <v>0</v>
      </c>
      <c r="L27" s="220">
        <v>0</v>
      </c>
      <c r="M27" s="32">
        <f t="shared" si="3"/>
        <v>0</v>
      </c>
      <c r="N27" s="220">
        <v>796268.92</v>
      </c>
      <c r="O27" s="220">
        <v>0</v>
      </c>
      <c r="P27" s="32">
        <f t="shared" si="4"/>
        <v>796.26892000000009</v>
      </c>
      <c r="Q27" s="220">
        <v>2164199.2288099998</v>
      </c>
      <c r="R27" s="220">
        <v>0</v>
      </c>
      <c r="S27" s="32">
        <f t="shared" si="5"/>
        <v>2164199.2288099998</v>
      </c>
      <c r="T27" s="220">
        <v>150157.01345999999</v>
      </c>
      <c r="U27" s="220">
        <v>0</v>
      </c>
      <c r="V27" s="32">
        <f t="shared" si="6"/>
        <v>150157.01345999999</v>
      </c>
      <c r="W27" s="220">
        <v>2001759.4731099999</v>
      </c>
      <c r="X27" s="220">
        <v>0</v>
      </c>
      <c r="Y27" s="32">
        <f t="shared" si="7"/>
        <v>2001759.4731099999</v>
      </c>
      <c r="Z27" s="220">
        <v>0</v>
      </c>
      <c r="AA27" s="220">
        <v>0</v>
      </c>
      <c r="AB27" s="32">
        <f t="shared" si="8"/>
        <v>0</v>
      </c>
      <c r="AC27" s="220">
        <v>12282.74224</v>
      </c>
      <c r="AD27" s="220">
        <v>0</v>
      </c>
      <c r="AE27" s="43">
        <f t="shared" si="9"/>
        <v>12282.74224</v>
      </c>
    </row>
    <row r="28" spans="1:31" s="194" customFormat="1" x14ac:dyDescent="0.25">
      <c r="A28" s="112" t="s">
        <v>178</v>
      </c>
      <c r="B28" s="220">
        <v>1556062692.3599999</v>
      </c>
      <c r="C28" s="220"/>
      <c r="D28" s="32">
        <f t="shared" si="0"/>
        <v>1556062.69236</v>
      </c>
      <c r="E28" s="220">
        <v>328415307.85000002</v>
      </c>
      <c r="F28" s="220">
        <v>0</v>
      </c>
      <c r="G28" s="32">
        <f t="shared" si="1"/>
        <v>328415.30785000004</v>
      </c>
      <c r="H28" s="220">
        <v>1227046274.26</v>
      </c>
      <c r="I28" s="220">
        <v>0</v>
      </c>
      <c r="J28" s="32">
        <f t="shared" si="2"/>
        <v>1227046.2742600001</v>
      </c>
      <c r="K28" s="220">
        <v>0</v>
      </c>
      <c r="L28" s="220">
        <v>0</v>
      </c>
      <c r="M28" s="32">
        <f t="shared" si="3"/>
        <v>0</v>
      </c>
      <c r="N28" s="220">
        <v>601110.25</v>
      </c>
      <c r="O28" s="220">
        <v>0</v>
      </c>
      <c r="P28" s="32">
        <f t="shared" si="4"/>
        <v>601.11024999999995</v>
      </c>
      <c r="Q28" s="220">
        <v>1470811.23731</v>
      </c>
      <c r="R28" s="220">
        <v>0</v>
      </c>
      <c r="S28" s="32">
        <f t="shared" si="5"/>
        <v>1470811.23731</v>
      </c>
      <c r="T28" s="220">
        <v>118161.44816</v>
      </c>
      <c r="U28" s="220">
        <v>0</v>
      </c>
      <c r="V28" s="32">
        <f t="shared" si="6"/>
        <v>118161.44816</v>
      </c>
      <c r="W28" s="220">
        <v>1351304.46206</v>
      </c>
      <c r="X28" s="220">
        <v>0</v>
      </c>
      <c r="Y28" s="32">
        <f t="shared" si="7"/>
        <v>1351304.46206</v>
      </c>
      <c r="Z28" s="220">
        <v>0</v>
      </c>
      <c r="AA28" s="220">
        <v>0</v>
      </c>
      <c r="AB28" s="32">
        <f t="shared" si="8"/>
        <v>0</v>
      </c>
      <c r="AC28" s="220">
        <v>1345.32709</v>
      </c>
      <c r="AD28" s="220">
        <v>0</v>
      </c>
      <c r="AE28" s="43">
        <f t="shared" si="9"/>
        <v>1345.32709</v>
      </c>
    </row>
    <row r="29" spans="1:31" s="194" customFormat="1" x14ac:dyDescent="0.25">
      <c r="A29" s="112" t="s">
        <v>179</v>
      </c>
      <c r="B29" s="220">
        <v>568410807.13</v>
      </c>
      <c r="C29" s="220"/>
      <c r="D29" s="32">
        <f t="shared" si="0"/>
        <v>568410.80712999997</v>
      </c>
      <c r="E29" s="220">
        <v>29961983</v>
      </c>
      <c r="F29" s="220">
        <v>0</v>
      </c>
      <c r="G29" s="32">
        <f t="shared" si="1"/>
        <v>29961.983</v>
      </c>
      <c r="H29" s="220">
        <v>458788211.32999998</v>
      </c>
      <c r="I29" s="220">
        <v>0</v>
      </c>
      <c r="J29" s="32">
        <f t="shared" si="2"/>
        <v>458788.21132999996</v>
      </c>
      <c r="K29" s="220">
        <v>78596700</v>
      </c>
      <c r="L29" s="220">
        <v>0</v>
      </c>
      <c r="M29" s="32">
        <f t="shared" si="3"/>
        <v>78596.7</v>
      </c>
      <c r="N29" s="220">
        <v>1063912.8</v>
      </c>
      <c r="O29" s="220">
        <v>0</v>
      </c>
      <c r="P29" s="32">
        <f t="shared" si="4"/>
        <v>1063.9128000000001</v>
      </c>
      <c r="Q29" s="220">
        <v>688437.89896999998</v>
      </c>
      <c r="R29" s="220">
        <v>0</v>
      </c>
      <c r="S29" s="32">
        <f t="shared" si="5"/>
        <v>688437.89896999998</v>
      </c>
      <c r="T29" s="220">
        <v>39382.149899999997</v>
      </c>
      <c r="U29" s="220">
        <v>0</v>
      </c>
      <c r="V29" s="32">
        <f t="shared" si="6"/>
        <v>39382.149899999997</v>
      </c>
      <c r="W29" s="220">
        <v>563831.40822999994</v>
      </c>
      <c r="X29" s="220">
        <v>0</v>
      </c>
      <c r="Y29" s="32">
        <f t="shared" si="7"/>
        <v>563831.40822999994</v>
      </c>
      <c r="Z29" s="220">
        <v>73922.399999999994</v>
      </c>
      <c r="AA29" s="220">
        <v>0</v>
      </c>
      <c r="AB29" s="32">
        <f t="shared" si="8"/>
        <v>73922.399999999994</v>
      </c>
      <c r="AC29" s="220">
        <v>11301.940839999999</v>
      </c>
      <c r="AD29" s="220">
        <v>0</v>
      </c>
      <c r="AE29" s="43">
        <f t="shared" si="9"/>
        <v>11301.940839999999</v>
      </c>
    </row>
    <row r="30" spans="1:31" s="194" customFormat="1" x14ac:dyDescent="0.25">
      <c r="A30" s="112" t="s">
        <v>180</v>
      </c>
      <c r="B30" s="220">
        <v>247283948.44999999</v>
      </c>
      <c r="C30" s="220"/>
      <c r="D30" s="32">
        <f t="shared" si="0"/>
        <v>247283.94845</v>
      </c>
      <c r="E30" s="220">
        <v>1191164</v>
      </c>
      <c r="F30" s="220">
        <v>0</v>
      </c>
      <c r="G30" s="32">
        <f t="shared" si="1"/>
        <v>1191.164</v>
      </c>
      <c r="H30" s="220">
        <v>207599884.44999999</v>
      </c>
      <c r="I30" s="220">
        <v>0</v>
      </c>
      <c r="J30" s="32">
        <f t="shared" si="2"/>
        <v>207599.88444999998</v>
      </c>
      <c r="K30" s="220">
        <v>38492900</v>
      </c>
      <c r="L30" s="220">
        <v>0</v>
      </c>
      <c r="M30" s="32">
        <f t="shared" si="3"/>
        <v>38492.9</v>
      </c>
      <c r="N30" s="220">
        <v>0</v>
      </c>
      <c r="O30" s="220">
        <v>0</v>
      </c>
      <c r="P30" s="32">
        <f t="shared" si="4"/>
        <v>0</v>
      </c>
      <c r="Q30" s="220">
        <v>299712.88827</v>
      </c>
      <c r="R30" s="220">
        <v>0</v>
      </c>
      <c r="S30" s="32">
        <f t="shared" si="5"/>
        <v>299712.88827</v>
      </c>
      <c r="T30" s="220">
        <v>26446.595450000001</v>
      </c>
      <c r="U30" s="220">
        <v>0</v>
      </c>
      <c r="V30" s="32">
        <f t="shared" si="6"/>
        <v>26446.595450000001</v>
      </c>
      <c r="W30" s="220">
        <v>229908.62281999999</v>
      </c>
      <c r="X30" s="220">
        <v>0</v>
      </c>
      <c r="Y30" s="32">
        <f t="shared" si="7"/>
        <v>229908.62281999999</v>
      </c>
      <c r="Z30" s="220">
        <v>41393.699999999997</v>
      </c>
      <c r="AA30" s="220">
        <v>0</v>
      </c>
      <c r="AB30" s="32">
        <f t="shared" si="8"/>
        <v>41393.699999999997</v>
      </c>
      <c r="AC30" s="220">
        <v>1963.97</v>
      </c>
      <c r="AD30" s="220">
        <v>0</v>
      </c>
      <c r="AE30" s="43">
        <f t="shared" si="9"/>
        <v>1963.97</v>
      </c>
    </row>
    <row r="31" spans="1:31" s="194" customFormat="1" x14ac:dyDescent="0.25">
      <c r="A31" s="112" t="s">
        <v>181</v>
      </c>
      <c r="B31" s="220">
        <v>235910613.33000001</v>
      </c>
      <c r="C31" s="220"/>
      <c r="D31" s="32">
        <f t="shared" si="0"/>
        <v>235910.61333000002</v>
      </c>
      <c r="E31" s="220">
        <v>4851993.2</v>
      </c>
      <c r="F31" s="220">
        <v>0</v>
      </c>
      <c r="G31" s="32">
        <f t="shared" si="1"/>
        <v>4851.9931999999999</v>
      </c>
      <c r="H31" s="220">
        <v>224762791.13</v>
      </c>
      <c r="I31" s="220">
        <v>0</v>
      </c>
      <c r="J31" s="32">
        <f t="shared" si="2"/>
        <v>224762.79113</v>
      </c>
      <c r="K31" s="220">
        <v>6271000</v>
      </c>
      <c r="L31" s="220">
        <v>0</v>
      </c>
      <c r="M31" s="32">
        <f t="shared" si="3"/>
        <v>6271</v>
      </c>
      <c r="N31" s="220">
        <v>24829</v>
      </c>
      <c r="O31" s="220">
        <v>0</v>
      </c>
      <c r="P31" s="32">
        <f t="shared" si="4"/>
        <v>24.829000000000001</v>
      </c>
      <c r="Q31" s="220">
        <v>311531.21385</v>
      </c>
      <c r="R31" s="220">
        <v>0</v>
      </c>
      <c r="S31" s="32">
        <f t="shared" si="5"/>
        <v>311531.21385</v>
      </c>
      <c r="T31" s="220">
        <v>43632.62083</v>
      </c>
      <c r="U31" s="220">
        <v>0</v>
      </c>
      <c r="V31" s="32">
        <f t="shared" si="6"/>
        <v>43632.62083</v>
      </c>
      <c r="W31" s="220">
        <v>259973.48302000001</v>
      </c>
      <c r="X31" s="220">
        <v>0</v>
      </c>
      <c r="Y31" s="32">
        <f t="shared" si="7"/>
        <v>259973.48302000001</v>
      </c>
      <c r="Z31" s="220">
        <v>7754.2</v>
      </c>
      <c r="AA31" s="220">
        <v>0</v>
      </c>
      <c r="AB31" s="32">
        <f t="shared" si="8"/>
        <v>7754.2</v>
      </c>
      <c r="AC31" s="220">
        <v>170.91</v>
      </c>
      <c r="AD31" s="220">
        <v>0</v>
      </c>
      <c r="AE31" s="43">
        <f t="shared" si="9"/>
        <v>170.91</v>
      </c>
    </row>
    <row r="32" spans="1:31" s="194" customFormat="1" x14ac:dyDescent="0.25">
      <c r="A32" s="112" t="s">
        <v>182</v>
      </c>
      <c r="B32" s="220">
        <v>246807005.91999999</v>
      </c>
      <c r="C32" s="220"/>
      <c r="D32" s="32">
        <f t="shared" si="0"/>
        <v>246807.00592</v>
      </c>
      <c r="E32" s="220">
        <v>8050218.8600000003</v>
      </c>
      <c r="F32" s="220">
        <v>0</v>
      </c>
      <c r="G32" s="32">
        <f t="shared" si="1"/>
        <v>8050.2188599999999</v>
      </c>
      <c r="H32" s="220">
        <v>164376787.06</v>
      </c>
      <c r="I32" s="220">
        <v>0</v>
      </c>
      <c r="J32" s="32">
        <f t="shared" si="2"/>
        <v>164376.78706</v>
      </c>
      <c r="K32" s="220">
        <v>74380000</v>
      </c>
      <c r="L32" s="220">
        <v>0</v>
      </c>
      <c r="M32" s="32">
        <f t="shared" si="3"/>
        <v>74380</v>
      </c>
      <c r="N32" s="220">
        <v>0</v>
      </c>
      <c r="O32" s="220">
        <v>0</v>
      </c>
      <c r="P32" s="32">
        <f t="shared" si="4"/>
        <v>0</v>
      </c>
      <c r="Q32" s="220">
        <v>292722.74287999998</v>
      </c>
      <c r="R32" s="220">
        <v>0</v>
      </c>
      <c r="S32" s="32">
        <f t="shared" si="5"/>
        <v>292722.74287999998</v>
      </c>
      <c r="T32" s="220">
        <v>16012.809600000001</v>
      </c>
      <c r="U32" s="220">
        <v>0</v>
      </c>
      <c r="V32" s="32">
        <f t="shared" si="6"/>
        <v>16012.809600000001</v>
      </c>
      <c r="W32" s="220">
        <v>192327.93328</v>
      </c>
      <c r="X32" s="220">
        <v>0</v>
      </c>
      <c r="Y32" s="32">
        <f t="shared" si="7"/>
        <v>192327.93328</v>
      </c>
      <c r="Z32" s="220">
        <v>84382</v>
      </c>
      <c r="AA32" s="220">
        <v>0</v>
      </c>
      <c r="AB32" s="32">
        <f t="shared" si="8"/>
        <v>84382</v>
      </c>
      <c r="AC32" s="220">
        <v>0</v>
      </c>
      <c r="AD32" s="220">
        <v>0</v>
      </c>
      <c r="AE32" s="43">
        <f t="shared" si="9"/>
        <v>0</v>
      </c>
    </row>
    <row r="33" spans="1:31" s="194" customFormat="1" x14ac:dyDescent="0.25">
      <c r="A33" s="112" t="s">
        <v>183</v>
      </c>
      <c r="B33" s="220">
        <v>4056017.27</v>
      </c>
      <c r="C33" s="220"/>
      <c r="D33" s="32">
        <f t="shared" si="0"/>
        <v>4056.0172699999998</v>
      </c>
      <c r="E33" s="220">
        <v>0</v>
      </c>
      <c r="F33" s="220">
        <v>0</v>
      </c>
      <c r="G33" s="32">
        <f t="shared" si="1"/>
        <v>0</v>
      </c>
      <c r="H33" s="220">
        <v>3654017.27</v>
      </c>
      <c r="I33" s="220">
        <v>0</v>
      </c>
      <c r="J33" s="32">
        <f t="shared" si="2"/>
        <v>3654.0172699999998</v>
      </c>
      <c r="K33" s="220">
        <v>402000</v>
      </c>
      <c r="L33" s="220">
        <v>0</v>
      </c>
      <c r="M33" s="32">
        <f t="shared" si="3"/>
        <v>402</v>
      </c>
      <c r="N33" s="220">
        <v>0</v>
      </c>
      <c r="O33" s="220">
        <v>0</v>
      </c>
      <c r="P33" s="32">
        <f t="shared" si="4"/>
        <v>0</v>
      </c>
      <c r="Q33" s="220">
        <v>3913.6904</v>
      </c>
      <c r="R33" s="220">
        <v>0</v>
      </c>
      <c r="S33" s="32">
        <f t="shared" si="5"/>
        <v>3913.6904</v>
      </c>
      <c r="T33" s="220">
        <v>0</v>
      </c>
      <c r="U33" s="220">
        <v>0</v>
      </c>
      <c r="V33" s="32">
        <f t="shared" si="6"/>
        <v>0</v>
      </c>
      <c r="W33" s="220">
        <v>3529.3904000000002</v>
      </c>
      <c r="X33" s="220">
        <v>0</v>
      </c>
      <c r="Y33" s="32">
        <f t="shared" si="7"/>
        <v>3529.3904000000002</v>
      </c>
      <c r="Z33" s="220">
        <v>384.3</v>
      </c>
      <c r="AA33" s="220">
        <v>0</v>
      </c>
      <c r="AB33" s="32">
        <f t="shared" si="8"/>
        <v>384.3</v>
      </c>
      <c r="AC33" s="220">
        <v>0</v>
      </c>
      <c r="AD33" s="220">
        <v>0</v>
      </c>
      <c r="AE33" s="43">
        <f t="shared" si="9"/>
        <v>0</v>
      </c>
    </row>
    <row r="34" spans="1:31" s="221" customFormat="1" ht="13.8" thickBot="1" x14ac:dyDescent="0.3">
      <c r="A34" s="217" t="s">
        <v>220</v>
      </c>
      <c r="B34" s="211">
        <f t="shared" ref="B34:C34" si="10">SUM(B8:B33)</f>
        <v>4634690999.8600006</v>
      </c>
      <c r="C34" s="211">
        <f t="shared" si="10"/>
        <v>5497678504.5799999</v>
      </c>
      <c r="D34" s="211">
        <f>SUM(D8:D33)</f>
        <v>10132369.50444</v>
      </c>
      <c r="E34" s="211">
        <f t="shared" ref="E34:AE34" si="11">SUM(E8:E33)</f>
        <v>421858333.64000005</v>
      </c>
      <c r="F34" s="211">
        <f t="shared" si="11"/>
        <v>1356412450.4299998</v>
      </c>
      <c r="G34" s="211">
        <f t="shared" si="11"/>
        <v>1778270.7840699996</v>
      </c>
      <c r="H34" s="211">
        <f t="shared" si="11"/>
        <v>4012203945.25</v>
      </c>
      <c r="I34" s="211">
        <f t="shared" si="11"/>
        <v>3560036303.4899998</v>
      </c>
      <c r="J34" s="211">
        <f t="shared" si="11"/>
        <v>7572240.2487399997</v>
      </c>
      <c r="K34" s="211">
        <f t="shared" si="11"/>
        <v>198142600</v>
      </c>
      <c r="L34" s="211">
        <f t="shared" si="11"/>
        <v>558816500</v>
      </c>
      <c r="M34" s="211">
        <f t="shared" si="11"/>
        <v>756959.1</v>
      </c>
      <c r="N34" s="211">
        <f t="shared" si="11"/>
        <v>2486120.9699999997</v>
      </c>
      <c r="O34" s="211">
        <f t="shared" si="11"/>
        <v>22413250.66</v>
      </c>
      <c r="P34" s="211">
        <f t="shared" si="11"/>
        <v>24899.371629999991</v>
      </c>
      <c r="Q34" s="211">
        <f t="shared" si="11"/>
        <v>5231328.900489999</v>
      </c>
      <c r="R34" s="211">
        <f t="shared" si="11"/>
        <v>6047562.0777500002</v>
      </c>
      <c r="S34" s="211">
        <f t="shared" si="11"/>
        <v>11278890.978240002</v>
      </c>
      <c r="T34" s="211">
        <f t="shared" si="11"/>
        <v>393792.63739999995</v>
      </c>
      <c r="U34" s="211">
        <f t="shared" si="11"/>
        <v>1341207.1476599996</v>
      </c>
      <c r="V34" s="211">
        <f t="shared" si="11"/>
        <v>1734999.7850599994</v>
      </c>
      <c r="W34" s="211">
        <f t="shared" si="11"/>
        <v>4602634.7729199994</v>
      </c>
      <c r="X34" s="211">
        <f t="shared" si="11"/>
        <v>3885944.1457499997</v>
      </c>
      <c r="Y34" s="211">
        <f t="shared" si="11"/>
        <v>8488578.9186700005</v>
      </c>
      <c r="Z34" s="211">
        <f t="shared" si="11"/>
        <v>207836.59999999998</v>
      </c>
      <c r="AA34" s="211">
        <f t="shared" si="11"/>
        <v>545490.30000000005</v>
      </c>
      <c r="AB34" s="211">
        <f t="shared" si="11"/>
        <v>753326.9</v>
      </c>
      <c r="AC34" s="211">
        <f t="shared" si="11"/>
        <v>27064.890170000002</v>
      </c>
      <c r="AD34" s="211">
        <f t="shared" si="11"/>
        <v>274920.48433999997</v>
      </c>
      <c r="AE34" s="212">
        <f t="shared" si="11"/>
        <v>301985.37450999988</v>
      </c>
    </row>
    <row r="35" spans="1:31" ht="66.599999999999994" thickTop="1" x14ac:dyDescent="0.25">
      <c r="A35" s="264" t="s">
        <v>466</v>
      </c>
      <c r="D35" s="197">
        <f>10132.31993748*1000</f>
        <v>10132319.937480001</v>
      </c>
      <c r="R35" s="264" t="s">
        <v>466</v>
      </c>
      <c r="S35" s="197">
        <f>'1_Конс.'!X31*1000</f>
        <v>11278477.378239999</v>
      </c>
    </row>
    <row r="36" spans="1:31" x14ac:dyDescent="0.25">
      <c r="D36" s="197">
        <f>D35-D34</f>
        <v>-49.566959999501705</v>
      </c>
      <c r="R36" s="264"/>
      <c r="S36" s="197">
        <f>S35-S34</f>
        <v>-413.60000000335276</v>
      </c>
    </row>
    <row r="37" spans="1:31" x14ac:dyDescent="0.25">
      <c r="D37" s="197">
        <f>P34+M34+J34+G34-D34</f>
        <v>0</v>
      </c>
      <c r="S37" s="197">
        <f>AE34+AB34+Y34+V34-S34</f>
        <v>0</v>
      </c>
    </row>
  </sheetData>
  <mergeCells count="16">
    <mergeCell ref="AC5:AE5"/>
    <mergeCell ref="A1:AE1"/>
    <mergeCell ref="A4:A6"/>
    <mergeCell ref="B4:C5"/>
    <mergeCell ref="D4:D6"/>
    <mergeCell ref="E4:P4"/>
    <mergeCell ref="Q4:R5"/>
    <mergeCell ref="S4:S6"/>
    <mergeCell ref="T4:AE4"/>
    <mergeCell ref="E5:G5"/>
    <mergeCell ref="H5:J5"/>
    <mergeCell ref="K5:M5"/>
    <mergeCell ref="N5:P5"/>
    <mergeCell ref="T5:V5"/>
    <mergeCell ref="W5:Y5"/>
    <mergeCell ref="Z5:AB5"/>
  </mergeCells>
  <pageMargins left="0" right="0" top="0.74803149606299213" bottom="0.74803149606299213" header="0.31496062992125984" footer="0.31496062992125984"/>
  <pageSetup paperSize="9" scale="9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P66"/>
  <sheetViews>
    <sheetView workbookViewId="0">
      <pane xSplit="1" ySplit="6" topLeftCell="EQ29" activePane="bottomRight" state="frozen"/>
      <selection activeCell="A188" sqref="A188"/>
      <selection pane="topRight" activeCell="A188" sqref="A188"/>
      <selection pane="bottomLeft" activeCell="A188" sqref="A188"/>
      <selection pane="bottomRight" activeCell="FF32" sqref="FF32"/>
    </sheetView>
  </sheetViews>
  <sheetFormatPr defaultColWidth="9.109375" defaultRowHeight="13.2" x14ac:dyDescent="0.25"/>
  <cols>
    <col min="1" max="1" width="21" style="174" bestFit="1" customWidth="1"/>
    <col min="2" max="5" width="9.109375" style="175" customWidth="1"/>
    <col min="6" max="6" width="12.33203125" style="178" bestFit="1" customWidth="1"/>
    <col min="7" max="10" width="9.109375" style="175" customWidth="1"/>
    <col min="11" max="11" width="13.109375" style="178" customWidth="1"/>
    <col min="12" max="14" width="9.109375" style="175" customWidth="1"/>
    <col min="15" max="15" width="11.33203125" style="178" bestFit="1" customWidth="1"/>
    <col min="16" max="18" width="9.109375" style="175" customWidth="1"/>
    <col min="19" max="19" width="11.33203125" style="178" bestFit="1" customWidth="1"/>
    <col min="20" max="23" width="9.109375" style="175" customWidth="1"/>
    <col min="24" max="24" width="12.33203125" style="178" bestFit="1" customWidth="1"/>
    <col min="25" max="28" width="9.109375" style="175" customWidth="1"/>
    <col min="29" max="31" width="12.33203125" style="178" bestFit="1" customWidth="1"/>
    <col min="32" max="32" width="5.109375" style="178" bestFit="1" customWidth="1"/>
    <col min="33" max="33" width="12.33203125" style="178" bestFit="1" customWidth="1"/>
    <col min="34" max="34" width="12.33203125" style="178" customWidth="1"/>
    <col min="35" max="35" width="11.33203125" style="178" bestFit="1" customWidth="1"/>
    <col min="36" max="36" width="9.109375" style="178" customWidth="1"/>
    <col min="37" max="38" width="12.33203125" style="178" bestFit="1" customWidth="1"/>
    <col min="39" max="39" width="5.109375" style="178" bestFit="1" customWidth="1"/>
    <col min="40" max="43" width="9.109375" style="175" customWidth="1"/>
    <col min="44" max="44" width="9.109375" style="178" customWidth="1"/>
    <col min="45" max="45" width="12.33203125" style="178" bestFit="1" customWidth="1"/>
    <col min="46" max="49" width="9.109375" style="175" customWidth="1"/>
    <col min="50" max="50" width="9.109375" style="178" customWidth="1"/>
    <col min="51" max="53" width="12.33203125" style="178" bestFit="1" customWidth="1"/>
    <col min="54" max="54" width="5.109375" style="178" bestFit="1" customWidth="1"/>
    <col min="55" max="58" width="9.109375" style="175" customWidth="1"/>
    <col min="59" max="59" width="12.33203125" style="178" bestFit="1" customWidth="1"/>
    <col min="60" max="63" width="9.109375" style="175" customWidth="1"/>
    <col min="64" max="64" width="12.33203125" style="178" bestFit="1" customWidth="1"/>
    <col min="65" max="65" width="11.33203125" style="175" customWidth="1"/>
    <col min="66" max="66" width="11.33203125" style="178" customWidth="1"/>
    <col min="67" max="67" width="11.33203125" style="175" customWidth="1"/>
    <col min="68" max="68" width="11.33203125" style="178" customWidth="1"/>
    <col min="69" max="69" width="6.109375" style="178" customWidth="1"/>
    <col min="70" max="70" width="7.44140625" style="175" customWidth="1"/>
    <col min="71" max="71" width="9.6640625" style="178" bestFit="1" customWidth="1"/>
    <col min="72" max="72" width="8" style="175" customWidth="1"/>
    <col min="73" max="73" width="9" style="178" customWidth="1"/>
    <col min="74" max="75" width="6.109375" style="178" customWidth="1"/>
    <col min="76" max="76" width="9.6640625" style="178" bestFit="1" customWidth="1"/>
    <col min="77" max="77" width="9.6640625" style="175" customWidth="1"/>
    <col min="78" max="78" width="9.6640625" style="178" customWidth="1"/>
    <col min="79" max="79" width="6.109375" style="178" customWidth="1"/>
    <col min="80" max="80" width="11.33203125" style="178" customWidth="1"/>
    <col min="81" max="81" width="6.109375" style="178" customWidth="1"/>
    <col min="82" max="83" width="10" style="178" customWidth="1"/>
    <col min="84" max="84" width="8.5546875" style="178" customWidth="1"/>
    <col min="85" max="85" width="11.33203125" style="178" bestFit="1" customWidth="1"/>
    <col min="86" max="86" width="6.109375" style="178" customWidth="1"/>
    <col min="87" max="87" width="11.33203125" style="178" bestFit="1" customWidth="1"/>
    <col min="88" max="88" width="6.109375" style="178" customWidth="1"/>
    <col min="89" max="89" width="12.33203125" style="178" bestFit="1" customWidth="1"/>
    <col min="90" max="90" width="9.5546875" style="178" customWidth="1"/>
    <col min="91" max="91" width="9.33203125" style="175" customWidth="1"/>
    <col min="92" max="92" width="11.33203125" style="178" customWidth="1"/>
    <col min="93" max="93" width="8.88671875" style="175" customWidth="1"/>
    <col min="94" max="98" width="11.33203125" style="178" customWidth="1"/>
    <col min="99" max="99" width="15.109375" style="178" customWidth="1"/>
    <col min="100" max="100" width="12.33203125" style="178" bestFit="1" customWidth="1"/>
    <col min="101" max="101" width="11.33203125" style="178" bestFit="1" customWidth="1"/>
    <col min="102" max="105" width="9.109375" style="175" customWidth="1"/>
    <col min="106" max="106" width="12.33203125" style="178" bestFit="1" customWidth="1"/>
    <col min="107" max="110" width="9.109375" style="175" customWidth="1"/>
    <col min="111" max="113" width="12.33203125" style="178" bestFit="1" customWidth="1"/>
    <col min="114" max="114" width="5.88671875" style="178" customWidth="1"/>
    <col min="115" max="115" width="9.109375" style="175" customWidth="1"/>
    <col min="116" max="116" width="11.33203125" style="178" bestFit="1" customWidth="1"/>
    <col min="117" max="117" width="9.109375" style="175" customWidth="1"/>
    <col min="118" max="118" width="11.33203125" style="178" bestFit="1" customWidth="1"/>
    <col min="119" max="119" width="11.33203125" style="175" customWidth="1"/>
    <col min="120" max="120" width="11.33203125" style="178" customWidth="1"/>
    <col min="121" max="121" width="11.33203125" style="410" customWidth="1"/>
    <col min="122" max="123" width="11.33203125" style="178" customWidth="1"/>
    <col min="124" max="129" width="9.109375" style="176"/>
    <col min="130" max="130" width="11.33203125" style="176" bestFit="1" customWidth="1"/>
    <col min="131" max="131" width="9.6640625" style="176" bestFit="1" customWidth="1"/>
    <col min="132" max="132" width="11.33203125" style="176" bestFit="1" customWidth="1"/>
    <col min="133" max="134" width="9.6640625" style="176" bestFit="1" customWidth="1"/>
    <col min="135" max="135" width="9.33203125" style="176" bestFit="1" customWidth="1"/>
    <col min="136" max="16384" width="9.109375" style="176"/>
  </cols>
  <sheetData>
    <row r="1" spans="1:172" s="169" customFormat="1" x14ac:dyDescent="0.25">
      <c r="B1" s="170"/>
      <c r="C1" s="170"/>
      <c r="D1" s="170"/>
      <c r="E1" s="170"/>
      <c r="G1" s="170"/>
      <c r="H1" s="170"/>
      <c r="I1" s="170"/>
      <c r="J1" s="170"/>
      <c r="L1" s="170"/>
      <c r="M1" s="170"/>
      <c r="N1" s="170"/>
      <c r="P1" s="170"/>
      <c r="Q1" s="170"/>
      <c r="R1" s="170"/>
      <c r="T1" s="170"/>
      <c r="U1" s="170"/>
      <c r="V1" s="170"/>
      <c r="W1" s="170"/>
      <c r="Y1" s="170"/>
      <c r="Z1" s="170"/>
      <c r="AA1" s="170"/>
      <c r="AB1" s="170"/>
      <c r="AN1" s="170"/>
      <c r="AO1" s="170"/>
      <c r="AP1" s="170"/>
      <c r="AQ1" s="170"/>
      <c r="AT1" s="170"/>
      <c r="AU1" s="170"/>
      <c r="AV1" s="170"/>
      <c r="AW1" s="170"/>
      <c r="BC1" s="170"/>
      <c r="BD1" s="170"/>
      <c r="BE1" s="170"/>
      <c r="BF1" s="170"/>
      <c r="BH1" s="170"/>
      <c r="BI1" s="170"/>
      <c r="BJ1" s="170"/>
      <c r="BK1" s="170"/>
      <c r="BM1" s="170"/>
      <c r="BO1" s="170"/>
      <c r="BR1" s="170"/>
      <c r="BT1" s="170"/>
      <c r="BY1" s="170"/>
      <c r="CM1" s="170"/>
      <c r="CO1" s="170"/>
      <c r="CX1" s="170"/>
      <c r="CY1" s="170"/>
      <c r="CZ1" s="170"/>
      <c r="DA1" s="170"/>
      <c r="DC1" s="170"/>
      <c r="DD1" s="170"/>
      <c r="DE1" s="170"/>
      <c r="DF1" s="170"/>
      <c r="DK1" s="170"/>
      <c r="DM1" s="170"/>
      <c r="DO1" s="170"/>
      <c r="DQ1" s="190"/>
    </row>
    <row r="2" spans="1:172" s="169" customFormat="1" x14ac:dyDescent="0.25">
      <c r="B2" s="170"/>
      <c r="C2" s="170"/>
      <c r="D2" s="170"/>
      <c r="E2" s="170"/>
      <c r="G2" s="170"/>
      <c r="H2" s="170"/>
      <c r="I2" s="170"/>
      <c r="J2" s="170"/>
      <c r="L2" s="170"/>
      <c r="M2" s="170"/>
      <c r="N2" s="170"/>
      <c r="P2" s="170"/>
      <c r="Q2" s="170"/>
      <c r="R2" s="170"/>
      <c r="T2" s="170"/>
      <c r="U2" s="170"/>
      <c r="V2" s="170"/>
      <c r="W2" s="170"/>
      <c r="Y2" s="170"/>
      <c r="Z2" s="170"/>
      <c r="AA2" s="170"/>
      <c r="AB2" s="170"/>
      <c r="AN2" s="170"/>
      <c r="AO2" s="170"/>
      <c r="AP2" s="170"/>
      <c r="AQ2" s="170"/>
      <c r="AT2" s="170"/>
      <c r="AU2" s="170"/>
      <c r="AV2" s="170"/>
      <c r="AW2" s="170"/>
      <c r="BC2" s="170"/>
      <c r="BD2" s="170"/>
      <c r="BE2" s="170"/>
      <c r="BF2" s="170"/>
      <c r="BH2" s="170"/>
      <c r="BI2" s="170"/>
      <c r="BJ2" s="170"/>
      <c r="BK2" s="170"/>
      <c r="BM2" s="170"/>
      <c r="BO2" s="170"/>
      <c r="BR2" s="170"/>
      <c r="BT2" s="170"/>
      <c r="BY2" s="170"/>
      <c r="CM2" s="170"/>
      <c r="CO2" s="170"/>
      <c r="CX2" s="170"/>
      <c r="CY2" s="170"/>
      <c r="CZ2" s="170"/>
      <c r="DA2" s="170"/>
      <c r="DC2" s="170"/>
      <c r="DD2" s="170"/>
      <c r="DE2" s="170"/>
      <c r="DF2" s="170"/>
      <c r="DK2" s="170"/>
      <c r="DM2" s="170"/>
      <c r="DO2" s="170"/>
      <c r="DQ2" s="190"/>
    </row>
    <row r="3" spans="1:172" s="169" customFormat="1" x14ac:dyDescent="0.25">
      <c r="B3" s="170"/>
      <c r="C3" s="170"/>
      <c r="D3" s="170"/>
      <c r="E3" s="170"/>
      <c r="G3" s="170"/>
      <c r="H3" s="170"/>
      <c r="I3" s="170"/>
      <c r="J3" s="170"/>
      <c r="L3" s="170"/>
      <c r="M3" s="170"/>
      <c r="N3" s="170"/>
      <c r="P3" s="170"/>
      <c r="Q3" s="170"/>
      <c r="R3" s="170"/>
      <c r="T3" s="170"/>
      <c r="U3" s="170"/>
      <c r="V3" s="170"/>
      <c r="W3" s="170"/>
      <c r="Y3" s="170"/>
      <c r="Z3" s="170"/>
      <c r="AA3" s="170"/>
      <c r="AB3" s="170"/>
      <c r="AN3" s="170"/>
      <c r="AO3" s="170"/>
      <c r="AP3" s="170"/>
      <c r="AQ3" s="170"/>
      <c r="AT3" s="170"/>
      <c r="AU3" s="170"/>
      <c r="AV3" s="170"/>
      <c r="AW3" s="170"/>
      <c r="BC3" s="170"/>
      <c r="BD3" s="170"/>
      <c r="BE3" s="170"/>
      <c r="BF3" s="170"/>
      <c r="BH3" s="170"/>
      <c r="BI3" s="170"/>
      <c r="BJ3" s="170"/>
      <c r="BK3" s="170"/>
      <c r="BM3" s="170"/>
      <c r="BO3" s="170"/>
      <c r="BR3" s="170"/>
      <c r="BT3" s="170"/>
      <c r="BY3" s="170"/>
      <c r="CM3" s="170"/>
      <c r="CO3" s="170"/>
      <c r="CX3" s="170"/>
      <c r="CY3" s="170"/>
      <c r="CZ3" s="170"/>
      <c r="DA3" s="170"/>
      <c r="DC3" s="170"/>
      <c r="DD3" s="170"/>
      <c r="DE3" s="170"/>
      <c r="DF3" s="170"/>
      <c r="DK3" s="170"/>
      <c r="DM3" s="170"/>
      <c r="DO3" s="170"/>
      <c r="DQ3" s="190"/>
    </row>
    <row r="4" spans="1:172" s="171" customFormat="1" ht="64.5" customHeight="1" x14ac:dyDescent="0.25">
      <c r="A4" s="575" t="s">
        <v>129</v>
      </c>
      <c r="B4" s="575" t="s">
        <v>130</v>
      </c>
      <c r="C4" s="575"/>
      <c r="D4" s="575"/>
      <c r="E4" s="575"/>
      <c r="F4" s="575"/>
      <c r="G4" s="575"/>
      <c r="H4" s="575"/>
      <c r="I4" s="575"/>
      <c r="J4" s="575"/>
      <c r="K4" s="575"/>
      <c r="L4" s="575" t="s">
        <v>131</v>
      </c>
      <c r="M4" s="575"/>
      <c r="N4" s="575"/>
      <c r="O4" s="575"/>
      <c r="P4" s="575"/>
      <c r="Q4" s="575"/>
      <c r="R4" s="575"/>
      <c r="S4" s="575"/>
      <c r="T4" s="575" t="s">
        <v>132</v>
      </c>
      <c r="U4" s="575"/>
      <c r="V4" s="575"/>
      <c r="W4" s="575"/>
      <c r="X4" s="575"/>
      <c r="Y4" s="575"/>
      <c r="Z4" s="575"/>
      <c r="AA4" s="575"/>
      <c r="AB4" s="575"/>
      <c r="AC4" s="575"/>
      <c r="AD4" s="575" t="s">
        <v>133</v>
      </c>
      <c r="AE4" s="575"/>
      <c r="AF4" s="575"/>
      <c r="AG4" s="598" t="s">
        <v>134</v>
      </c>
      <c r="AH4" s="598"/>
      <c r="AI4" s="598"/>
      <c r="AJ4" s="598"/>
      <c r="AK4" s="575" t="s">
        <v>135</v>
      </c>
      <c r="AL4" s="575"/>
      <c r="AM4" s="575"/>
      <c r="AN4" s="575" t="s">
        <v>136</v>
      </c>
      <c r="AO4" s="575"/>
      <c r="AP4" s="575"/>
      <c r="AQ4" s="575"/>
      <c r="AR4" s="575"/>
      <c r="AS4" s="575"/>
      <c r="AT4" s="575"/>
      <c r="AU4" s="575"/>
      <c r="AV4" s="575"/>
      <c r="AW4" s="575"/>
      <c r="AX4" s="575"/>
      <c r="AY4" s="575"/>
      <c r="AZ4" s="575" t="s">
        <v>137</v>
      </c>
      <c r="BA4" s="575"/>
      <c r="BB4" s="575"/>
      <c r="BC4" s="575" t="s">
        <v>138</v>
      </c>
      <c r="BD4" s="575"/>
      <c r="BE4" s="575"/>
      <c r="BF4" s="575"/>
      <c r="BG4" s="575"/>
      <c r="BH4" s="575"/>
      <c r="BI4" s="575"/>
      <c r="BJ4" s="575"/>
      <c r="BK4" s="575"/>
      <c r="BL4" s="575"/>
      <c r="BM4" s="575" t="s">
        <v>34</v>
      </c>
      <c r="BN4" s="575"/>
      <c r="BO4" s="575"/>
      <c r="BP4" s="575"/>
      <c r="BQ4" s="575"/>
      <c r="BR4" s="575" t="s">
        <v>139</v>
      </c>
      <c r="BS4" s="575"/>
      <c r="BT4" s="575"/>
      <c r="BU4" s="575"/>
      <c r="BV4" s="575"/>
      <c r="BW4" s="575" t="s">
        <v>35</v>
      </c>
      <c r="BX4" s="575"/>
      <c r="BY4" s="575"/>
      <c r="BZ4" s="575"/>
      <c r="CA4" s="575"/>
      <c r="CB4" s="575"/>
      <c r="CC4" s="575"/>
      <c r="CD4" s="575"/>
      <c r="CE4" s="575"/>
      <c r="CF4" s="575" t="s">
        <v>39</v>
      </c>
      <c r="CG4" s="575"/>
      <c r="CH4" s="575"/>
      <c r="CI4" s="575"/>
      <c r="CJ4" s="575"/>
      <c r="CK4" s="575" t="s">
        <v>437</v>
      </c>
      <c r="CL4" s="171" t="s">
        <v>140</v>
      </c>
      <c r="CM4" s="575" t="s">
        <v>443</v>
      </c>
      <c r="CN4" s="575"/>
      <c r="CO4" s="575" t="s">
        <v>140</v>
      </c>
      <c r="CP4" s="575"/>
      <c r="CQ4" s="575" t="s">
        <v>392</v>
      </c>
      <c r="CR4" s="171" t="s">
        <v>140</v>
      </c>
      <c r="CS4" s="575" t="s">
        <v>141</v>
      </c>
      <c r="CT4" s="575"/>
      <c r="CU4" s="575" t="s">
        <v>391</v>
      </c>
      <c r="CV4" s="575" t="s">
        <v>438</v>
      </c>
      <c r="CW4" s="575" t="s">
        <v>439</v>
      </c>
      <c r="CX4" s="575" t="s">
        <v>142</v>
      </c>
      <c r="CY4" s="575"/>
      <c r="CZ4" s="575"/>
      <c r="DA4" s="575"/>
      <c r="DB4" s="575"/>
      <c r="DC4" s="575"/>
      <c r="DD4" s="575"/>
      <c r="DE4" s="575"/>
      <c r="DF4" s="575"/>
      <c r="DG4" s="575"/>
      <c r="DH4" s="575" t="s">
        <v>425</v>
      </c>
      <c r="DI4" s="575"/>
      <c r="DJ4" s="575"/>
      <c r="DK4" s="575" t="s">
        <v>143</v>
      </c>
      <c r="DL4" s="575"/>
      <c r="DM4" s="575"/>
      <c r="DN4" s="575"/>
      <c r="DO4" s="575" t="s">
        <v>394</v>
      </c>
      <c r="DP4" s="575"/>
      <c r="DQ4" s="575"/>
      <c r="DR4" s="575"/>
      <c r="DS4" s="575"/>
      <c r="DT4" s="575" t="s">
        <v>339</v>
      </c>
      <c r="DU4" s="575"/>
      <c r="DV4" s="575"/>
      <c r="DW4" s="575"/>
      <c r="DX4" s="575"/>
      <c r="DY4" s="575"/>
      <c r="DZ4" s="575" t="s">
        <v>424</v>
      </c>
      <c r="EA4" s="575"/>
      <c r="EB4" s="575"/>
      <c r="EC4" s="575"/>
      <c r="ED4" s="575"/>
      <c r="EE4" s="575"/>
      <c r="EF4" s="575" t="s">
        <v>426</v>
      </c>
      <c r="EG4" s="575"/>
      <c r="EH4" s="575"/>
      <c r="EI4" s="575"/>
      <c r="EJ4" s="575"/>
      <c r="EK4" s="575"/>
      <c r="EL4" s="575" t="s">
        <v>454</v>
      </c>
      <c r="EM4" s="575"/>
      <c r="EN4" s="575"/>
      <c r="EO4" s="575"/>
      <c r="EP4" s="575"/>
      <c r="EQ4" s="575"/>
      <c r="ER4" s="575" t="s">
        <v>455</v>
      </c>
      <c r="ES4" s="575"/>
      <c r="ET4" s="575"/>
      <c r="EU4" s="575"/>
      <c r="EV4" s="575"/>
      <c r="EW4" s="575"/>
      <c r="EX4" s="575" t="s">
        <v>456</v>
      </c>
      <c r="EY4" s="575"/>
      <c r="EZ4" s="575"/>
      <c r="FA4" s="575"/>
      <c r="FB4" s="575"/>
      <c r="FC4" s="575"/>
      <c r="FD4" s="575" t="s">
        <v>487</v>
      </c>
      <c r="FE4" s="575"/>
      <c r="FF4" s="575"/>
      <c r="FG4" s="575" t="s">
        <v>489</v>
      </c>
      <c r="FH4" s="575"/>
      <c r="FI4" s="575"/>
      <c r="FJ4" s="575" t="s">
        <v>490</v>
      </c>
      <c r="FK4" s="575"/>
      <c r="FL4" s="575"/>
      <c r="FM4" s="575" t="s">
        <v>491</v>
      </c>
      <c r="FN4" s="575"/>
      <c r="FO4" s="575"/>
    </row>
    <row r="5" spans="1:172" s="171" customFormat="1" ht="39" customHeight="1" x14ac:dyDescent="0.25">
      <c r="A5" s="575"/>
      <c r="B5" s="575" t="s">
        <v>144</v>
      </c>
      <c r="C5" s="575"/>
      <c r="D5" s="575"/>
      <c r="E5" s="575"/>
      <c r="F5" s="575"/>
      <c r="G5" s="575" t="s">
        <v>145</v>
      </c>
      <c r="H5" s="575"/>
      <c r="I5" s="575"/>
      <c r="J5" s="575"/>
      <c r="K5" s="575"/>
      <c r="L5" s="575" t="s">
        <v>144</v>
      </c>
      <c r="M5" s="575"/>
      <c r="N5" s="575"/>
      <c r="O5" s="575"/>
      <c r="P5" s="575" t="s">
        <v>145</v>
      </c>
      <c r="Q5" s="575"/>
      <c r="R5" s="575"/>
      <c r="S5" s="575"/>
      <c r="T5" s="575" t="s">
        <v>144</v>
      </c>
      <c r="U5" s="575"/>
      <c r="V5" s="575"/>
      <c r="W5" s="575"/>
      <c r="X5" s="575"/>
      <c r="Y5" s="575" t="s">
        <v>145</v>
      </c>
      <c r="Z5" s="575"/>
      <c r="AA5" s="575"/>
      <c r="AB5" s="575"/>
      <c r="AC5" s="575"/>
      <c r="AD5" s="575" t="s">
        <v>144</v>
      </c>
      <c r="AE5" s="575" t="s">
        <v>145</v>
      </c>
      <c r="AF5" s="575" t="s">
        <v>146</v>
      </c>
      <c r="AG5" s="598" t="s">
        <v>144</v>
      </c>
      <c r="AH5" s="598" t="s">
        <v>62</v>
      </c>
      <c r="AI5" s="598" t="s">
        <v>145</v>
      </c>
      <c r="AJ5" s="598" t="s">
        <v>62</v>
      </c>
      <c r="AK5" s="575" t="s">
        <v>144</v>
      </c>
      <c r="AL5" s="575" t="s">
        <v>145</v>
      </c>
      <c r="AM5" s="575" t="s">
        <v>146</v>
      </c>
      <c r="AN5" s="575" t="s">
        <v>144</v>
      </c>
      <c r="AO5" s="575"/>
      <c r="AP5" s="575"/>
      <c r="AQ5" s="575"/>
      <c r="AR5" s="575"/>
      <c r="AS5" s="575"/>
      <c r="AT5" s="575" t="s">
        <v>145</v>
      </c>
      <c r="AU5" s="575"/>
      <c r="AV5" s="575"/>
      <c r="AW5" s="575"/>
      <c r="AX5" s="575"/>
      <c r="AY5" s="575"/>
      <c r="AZ5" s="575" t="s">
        <v>144</v>
      </c>
      <c r="BA5" s="575" t="s">
        <v>145</v>
      </c>
      <c r="BB5" s="575" t="s">
        <v>146</v>
      </c>
      <c r="BC5" s="575" t="s">
        <v>144</v>
      </c>
      <c r="BD5" s="575"/>
      <c r="BE5" s="575"/>
      <c r="BF5" s="575"/>
      <c r="BG5" s="575"/>
      <c r="BH5" s="575" t="s">
        <v>145</v>
      </c>
      <c r="BI5" s="575"/>
      <c r="BJ5" s="575"/>
      <c r="BK5" s="575"/>
      <c r="BL5" s="575"/>
      <c r="BM5" s="575" t="s">
        <v>144</v>
      </c>
      <c r="BN5" s="575"/>
      <c r="BO5" s="575" t="s">
        <v>145</v>
      </c>
      <c r="BP5" s="575"/>
      <c r="BQ5" s="575" t="s">
        <v>146</v>
      </c>
      <c r="BR5" s="575" t="s">
        <v>144</v>
      </c>
      <c r="BS5" s="575"/>
      <c r="BT5" s="575" t="s">
        <v>145</v>
      </c>
      <c r="BU5" s="575"/>
      <c r="BV5" s="575" t="s">
        <v>146</v>
      </c>
      <c r="BW5" s="575" t="s">
        <v>446</v>
      </c>
      <c r="BX5" s="575"/>
      <c r="BY5" s="575" t="s">
        <v>450</v>
      </c>
      <c r="BZ5" s="575"/>
      <c r="CA5" s="575" t="s">
        <v>447</v>
      </c>
      <c r="CB5" s="575"/>
      <c r="CC5" s="575" t="s">
        <v>146</v>
      </c>
      <c r="CD5" s="575" t="s">
        <v>448</v>
      </c>
      <c r="CE5" s="575" t="s">
        <v>449</v>
      </c>
      <c r="CF5" s="575" t="s">
        <v>144</v>
      </c>
      <c r="CG5" s="575"/>
      <c r="CH5" s="575" t="s">
        <v>145</v>
      </c>
      <c r="CI5" s="575"/>
      <c r="CJ5" s="575" t="s">
        <v>146</v>
      </c>
      <c r="CK5" s="575"/>
      <c r="CL5" s="575" t="s">
        <v>147</v>
      </c>
      <c r="CM5" s="575"/>
      <c r="CN5" s="575"/>
      <c r="CO5" s="575" t="s">
        <v>147</v>
      </c>
      <c r="CP5" s="575"/>
      <c r="CQ5" s="575"/>
      <c r="CR5" s="575" t="s">
        <v>149</v>
      </c>
      <c r="CS5" s="575"/>
      <c r="CT5" s="575"/>
      <c r="CU5" s="575"/>
      <c r="CV5" s="575"/>
      <c r="CW5" s="575"/>
      <c r="CX5" s="575" t="s">
        <v>144</v>
      </c>
      <c r="CY5" s="575"/>
      <c r="CZ5" s="575"/>
      <c r="DA5" s="575"/>
      <c r="DB5" s="575"/>
      <c r="DC5" s="575" t="s">
        <v>145</v>
      </c>
      <c r="DD5" s="575"/>
      <c r="DE5" s="575"/>
      <c r="DF5" s="575"/>
      <c r="DG5" s="575"/>
      <c r="DH5" s="575"/>
      <c r="DI5" s="575"/>
      <c r="DJ5" s="575"/>
      <c r="DK5" s="575" t="s">
        <v>144</v>
      </c>
      <c r="DL5" s="575"/>
      <c r="DM5" s="575" t="s">
        <v>145</v>
      </c>
      <c r="DN5" s="575"/>
      <c r="DO5" s="575" t="s">
        <v>451</v>
      </c>
      <c r="DP5" s="575"/>
      <c r="DQ5" s="575" t="s">
        <v>452</v>
      </c>
      <c r="DR5" s="575"/>
      <c r="DS5" s="575" t="s">
        <v>376</v>
      </c>
      <c r="DT5" s="575" t="s">
        <v>393</v>
      </c>
      <c r="DU5" s="575"/>
      <c r="DV5" s="575" t="s">
        <v>444</v>
      </c>
      <c r="DW5" s="575"/>
      <c r="DX5" s="575" t="s">
        <v>395</v>
      </c>
      <c r="DY5" s="575"/>
      <c r="DZ5" s="575" t="s">
        <v>393</v>
      </c>
      <c r="EA5" s="575"/>
      <c r="EB5" s="575" t="s">
        <v>444</v>
      </c>
      <c r="EC5" s="575"/>
      <c r="ED5" s="575" t="s">
        <v>395</v>
      </c>
      <c r="EE5" s="575"/>
      <c r="EF5" s="575" t="s">
        <v>393</v>
      </c>
      <c r="EG5" s="575"/>
      <c r="EH5" s="575" t="s">
        <v>444</v>
      </c>
      <c r="EI5" s="575"/>
      <c r="EJ5" s="575" t="s">
        <v>395</v>
      </c>
      <c r="EK5" s="575"/>
      <c r="EL5" s="575" t="s">
        <v>393</v>
      </c>
      <c r="EM5" s="575"/>
      <c r="EN5" s="575" t="s">
        <v>444</v>
      </c>
      <c r="EO5" s="575"/>
      <c r="EP5" s="575" t="s">
        <v>395</v>
      </c>
      <c r="EQ5" s="575"/>
      <c r="ER5" s="575" t="s">
        <v>393</v>
      </c>
      <c r="ES5" s="575"/>
      <c r="ET5" s="575" t="s">
        <v>444</v>
      </c>
      <c r="EU5" s="575"/>
      <c r="EV5" s="575" t="s">
        <v>395</v>
      </c>
      <c r="EW5" s="575"/>
      <c r="EX5" s="575" t="s">
        <v>393</v>
      </c>
      <c r="EY5" s="575"/>
      <c r="EZ5" s="575" t="s">
        <v>444</v>
      </c>
      <c r="FA5" s="575"/>
      <c r="FB5" s="575" t="s">
        <v>395</v>
      </c>
      <c r="FC5" s="575"/>
      <c r="FD5" s="415" t="s">
        <v>393</v>
      </c>
      <c r="FE5" s="415" t="s">
        <v>444</v>
      </c>
      <c r="FF5" s="415" t="s">
        <v>488</v>
      </c>
      <c r="FG5" s="415" t="s">
        <v>393</v>
      </c>
      <c r="FH5" s="415" t="s">
        <v>444</v>
      </c>
      <c r="FI5" s="415" t="s">
        <v>488</v>
      </c>
      <c r="FJ5" s="415" t="s">
        <v>393</v>
      </c>
      <c r="FK5" s="415" t="s">
        <v>444</v>
      </c>
      <c r="FL5" s="415" t="s">
        <v>488</v>
      </c>
      <c r="FM5" s="415" t="s">
        <v>393</v>
      </c>
      <c r="FN5" s="415" t="s">
        <v>444</v>
      </c>
      <c r="FO5" s="415" t="s">
        <v>488</v>
      </c>
    </row>
    <row r="6" spans="1:172" s="171" customFormat="1" ht="52.8" x14ac:dyDescent="0.25">
      <c r="A6" s="575"/>
      <c r="B6" s="172" t="s">
        <v>150</v>
      </c>
      <c r="C6" s="172" t="s">
        <v>151</v>
      </c>
      <c r="D6" s="172" t="s">
        <v>152</v>
      </c>
      <c r="E6" s="172" t="s">
        <v>153</v>
      </c>
      <c r="F6" s="171" t="s">
        <v>154</v>
      </c>
      <c r="G6" s="172" t="s">
        <v>150</v>
      </c>
      <c r="H6" s="172" t="s">
        <v>151</v>
      </c>
      <c r="I6" s="172" t="s">
        <v>152</v>
      </c>
      <c r="J6" s="172" t="s">
        <v>153</v>
      </c>
      <c r="K6" s="171" t="s">
        <v>154</v>
      </c>
      <c r="L6" s="172" t="s">
        <v>151</v>
      </c>
      <c r="M6" s="172" t="s">
        <v>152</v>
      </c>
      <c r="N6" s="172" t="s">
        <v>153</v>
      </c>
      <c r="O6" s="171" t="s">
        <v>154</v>
      </c>
      <c r="P6" s="172" t="s">
        <v>151</v>
      </c>
      <c r="Q6" s="172" t="s">
        <v>152</v>
      </c>
      <c r="R6" s="172" t="s">
        <v>153</v>
      </c>
      <c r="S6" s="171" t="s">
        <v>154</v>
      </c>
      <c r="T6" s="172" t="s">
        <v>150</v>
      </c>
      <c r="U6" s="172" t="s">
        <v>151</v>
      </c>
      <c r="V6" s="172" t="s">
        <v>152</v>
      </c>
      <c r="W6" s="172" t="s">
        <v>153</v>
      </c>
      <c r="X6" s="171" t="s">
        <v>154</v>
      </c>
      <c r="Y6" s="172" t="s">
        <v>150</v>
      </c>
      <c r="Z6" s="172" t="s">
        <v>151</v>
      </c>
      <c r="AA6" s="172" t="s">
        <v>152</v>
      </c>
      <c r="AB6" s="172" t="s">
        <v>153</v>
      </c>
      <c r="AC6" s="171" t="s">
        <v>154</v>
      </c>
      <c r="AD6" s="575"/>
      <c r="AE6" s="575"/>
      <c r="AF6" s="575"/>
      <c r="AG6" s="598"/>
      <c r="AH6" s="598"/>
      <c r="AI6" s="598"/>
      <c r="AJ6" s="598"/>
      <c r="AK6" s="575"/>
      <c r="AL6" s="575"/>
      <c r="AM6" s="575"/>
      <c r="AN6" s="172" t="s">
        <v>150</v>
      </c>
      <c r="AO6" s="172" t="s">
        <v>151</v>
      </c>
      <c r="AP6" s="172" t="s">
        <v>152</v>
      </c>
      <c r="AQ6" s="172" t="s">
        <v>153</v>
      </c>
      <c r="AR6" s="173" t="s">
        <v>155</v>
      </c>
      <c r="AS6" s="171" t="s">
        <v>154</v>
      </c>
      <c r="AT6" s="172" t="s">
        <v>150</v>
      </c>
      <c r="AU6" s="172" t="s">
        <v>151</v>
      </c>
      <c r="AV6" s="172" t="s">
        <v>152</v>
      </c>
      <c r="AW6" s="172" t="s">
        <v>153</v>
      </c>
      <c r="AX6" s="173" t="s">
        <v>155</v>
      </c>
      <c r="AY6" s="171" t="s">
        <v>154</v>
      </c>
      <c r="AZ6" s="575"/>
      <c r="BA6" s="575"/>
      <c r="BB6" s="575"/>
      <c r="BC6" s="172" t="s">
        <v>150</v>
      </c>
      <c r="BD6" s="172" t="s">
        <v>151</v>
      </c>
      <c r="BE6" s="172" t="s">
        <v>152</v>
      </c>
      <c r="BF6" s="172" t="s">
        <v>153</v>
      </c>
      <c r="BG6" s="171" t="s">
        <v>154</v>
      </c>
      <c r="BH6" s="172" t="s">
        <v>150</v>
      </c>
      <c r="BI6" s="172" t="s">
        <v>151</v>
      </c>
      <c r="BJ6" s="172" t="s">
        <v>152</v>
      </c>
      <c r="BK6" s="172" t="s">
        <v>153</v>
      </c>
      <c r="BL6" s="171" t="s">
        <v>154</v>
      </c>
      <c r="BM6" s="172" t="s">
        <v>156</v>
      </c>
      <c r="BN6" s="171" t="s">
        <v>154</v>
      </c>
      <c r="BO6" s="172" t="s">
        <v>156</v>
      </c>
      <c r="BP6" s="171" t="s">
        <v>154</v>
      </c>
      <c r="BQ6" s="575"/>
      <c r="BR6" s="172" t="s">
        <v>156</v>
      </c>
      <c r="BS6" s="171" t="s">
        <v>154</v>
      </c>
      <c r="BT6" s="319" t="s">
        <v>156</v>
      </c>
      <c r="BU6" s="171" t="s">
        <v>154</v>
      </c>
      <c r="BV6" s="575"/>
      <c r="BW6" s="172" t="s">
        <v>156</v>
      </c>
      <c r="BX6" s="171" t="s">
        <v>154</v>
      </c>
      <c r="BY6" s="319" t="s">
        <v>156</v>
      </c>
      <c r="BZ6" s="318" t="s">
        <v>154</v>
      </c>
      <c r="CA6" s="172" t="s">
        <v>156</v>
      </c>
      <c r="CB6" s="171" t="s">
        <v>154</v>
      </c>
      <c r="CC6" s="575"/>
      <c r="CD6" s="575"/>
      <c r="CE6" s="575"/>
      <c r="CF6" s="172" t="s">
        <v>156</v>
      </c>
      <c r="CG6" s="171" t="s">
        <v>154</v>
      </c>
      <c r="CH6" s="172" t="s">
        <v>156</v>
      </c>
      <c r="CI6" s="171" t="s">
        <v>154</v>
      </c>
      <c r="CJ6" s="575"/>
      <c r="CK6" s="575"/>
      <c r="CL6" s="575"/>
      <c r="CM6" s="575"/>
      <c r="CN6" s="575"/>
      <c r="CO6" s="575"/>
      <c r="CP6" s="575"/>
      <c r="CQ6" s="575"/>
      <c r="CR6" s="575"/>
      <c r="CS6" s="171" t="s">
        <v>144</v>
      </c>
      <c r="CT6" s="171" t="s">
        <v>145</v>
      </c>
      <c r="CU6" s="575"/>
      <c r="CV6" s="575"/>
      <c r="CW6" s="575"/>
      <c r="CX6" s="172" t="s">
        <v>150</v>
      </c>
      <c r="CY6" s="172" t="s">
        <v>151</v>
      </c>
      <c r="CZ6" s="172" t="s">
        <v>152</v>
      </c>
      <c r="DA6" s="172" t="s">
        <v>153</v>
      </c>
      <c r="DB6" s="171" t="s">
        <v>154</v>
      </c>
      <c r="DC6" s="172" t="s">
        <v>150</v>
      </c>
      <c r="DD6" s="172" t="s">
        <v>151</v>
      </c>
      <c r="DE6" s="172" t="s">
        <v>152</v>
      </c>
      <c r="DF6" s="172" t="s">
        <v>153</v>
      </c>
      <c r="DG6" s="171" t="s">
        <v>154</v>
      </c>
      <c r="DH6" s="171" t="s">
        <v>144</v>
      </c>
      <c r="DI6" s="171" t="s">
        <v>145</v>
      </c>
      <c r="DJ6" s="171" t="s">
        <v>146</v>
      </c>
      <c r="DK6" s="172" t="s">
        <v>157</v>
      </c>
      <c r="DL6" s="171" t="s">
        <v>154</v>
      </c>
      <c r="DM6" s="172" t="s">
        <v>157</v>
      </c>
      <c r="DN6" s="171" t="s">
        <v>154</v>
      </c>
      <c r="DO6" s="319" t="s">
        <v>157</v>
      </c>
      <c r="DP6" s="318" t="s">
        <v>154</v>
      </c>
      <c r="DQ6" s="405" t="s">
        <v>453</v>
      </c>
      <c r="DR6" s="318" t="s">
        <v>145</v>
      </c>
      <c r="DS6" s="575"/>
      <c r="DT6" s="286" t="s">
        <v>337</v>
      </c>
      <c r="DU6" s="286" t="s">
        <v>338</v>
      </c>
      <c r="DV6" s="286" t="s">
        <v>337</v>
      </c>
      <c r="DW6" s="286" t="s">
        <v>338</v>
      </c>
      <c r="DX6" s="326" t="s">
        <v>337</v>
      </c>
      <c r="DY6" s="326" t="s">
        <v>338</v>
      </c>
      <c r="DZ6" s="357" t="s">
        <v>337</v>
      </c>
      <c r="EA6" s="357" t="s">
        <v>338</v>
      </c>
      <c r="EB6" s="357" t="s">
        <v>337</v>
      </c>
      <c r="EC6" s="357" t="s">
        <v>338</v>
      </c>
      <c r="ED6" s="357" t="s">
        <v>337</v>
      </c>
      <c r="EE6" s="357" t="s">
        <v>338</v>
      </c>
      <c r="EF6" s="357" t="s">
        <v>337</v>
      </c>
      <c r="EG6" s="357" t="s">
        <v>338</v>
      </c>
      <c r="EH6" s="357" t="s">
        <v>337</v>
      </c>
      <c r="EI6" s="357" t="s">
        <v>338</v>
      </c>
      <c r="EJ6" s="357" t="s">
        <v>337</v>
      </c>
      <c r="EK6" s="357" t="s">
        <v>338</v>
      </c>
      <c r="EL6" s="360" t="s">
        <v>337</v>
      </c>
      <c r="EM6" s="360" t="s">
        <v>338</v>
      </c>
      <c r="EN6" s="360" t="s">
        <v>337</v>
      </c>
      <c r="EO6" s="360" t="s">
        <v>338</v>
      </c>
      <c r="EP6" s="360" t="s">
        <v>337</v>
      </c>
      <c r="EQ6" s="360" t="s">
        <v>338</v>
      </c>
      <c r="ER6" s="360" t="s">
        <v>337</v>
      </c>
      <c r="ES6" s="360" t="s">
        <v>338</v>
      </c>
      <c r="ET6" s="360" t="s">
        <v>337</v>
      </c>
      <c r="EU6" s="360" t="s">
        <v>338</v>
      </c>
      <c r="EV6" s="360" t="s">
        <v>337</v>
      </c>
      <c r="EW6" s="360" t="s">
        <v>338</v>
      </c>
      <c r="EX6" s="360" t="s">
        <v>337</v>
      </c>
      <c r="EY6" s="360" t="s">
        <v>338</v>
      </c>
      <c r="EZ6" s="360" t="s">
        <v>337</v>
      </c>
      <c r="FA6" s="360" t="s">
        <v>338</v>
      </c>
      <c r="FB6" s="360" t="s">
        <v>337</v>
      </c>
      <c r="FC6" s="360" t="s">
        <v>338</v>
      </c>
      <c r="FD6" s="415" t="s">
        <v>338</v>
      </c>
      <c r="FE6" s="415" t="s">
        <v>338</v>
      </c>
      <c r="FF6" s="415" t="s">
        <v>338</v>
      </c>
      <c r="FG6" s="415" t="s">
        <v>338</v>
      </c>
      <c r="FH6" s="415" t="s">
        <v>338</v>
      </c>
      <c r="FI6" s="415" t="s">
        <v>338</v>
      </c>
      <c r="FJ6" s="415" t="s">
        <v>338</v>
      </c>
      <c r="FK6" s="415" t="s">
        <v>338</v>
      </c>
      <c r="FL6" s="415" t="s">
        <v>338</v>
      </c>
      <c r="FM6" s="415" t="s">
        <v>338</v>
      </c>
      <c r="FN6" s="415" t="s">
        <v>338</v>
      </c>
      <c r="FO6" s="415" t="s">
        <v>338</v>
      </c>
    </row>
    <row r="7" spans="1:172" s="355" customFormat="1" x14ac:dyDescent="0.25">
      <c r="B7" s="319"/>
      <c r="C7" s="319"/>
      <c r="D7" s="319"/>
      <c r="E7" s="319"/>
      <c r="G7" s="319"/>
      <c r="H7" s="319"/>
      <c r="I7" s="319"/>
      <c r="J7" s="319"/>
      <c r="L7" s="319"/>
      <c r="M7" s="319"/>
      <c r="N7" s="319"/>
      <c r="P7" s="319"/>
      <c r="Q7" s="319"/>
      <c r="R7" s="319"/>
      <c r="T7" s="319"/>
      <c r="U7" s="319"/>
      <c r="V7" s="319"/>
      <c r="W7" s="319"/>
      <c r="Y7" s="319"/>
      <c r="Z7" s="319"/>
      <c r="AA7" s="319"/>
      <c r="AB7" s="319"/>
      <c r="AG7" s="356"/>
      <c r="AH7" s="356"/>
      <c r="AI7" s="356"/>
      <c r="AJ7" s="356"/>
      <c r="AN7" s="319"/>
      <c r="AO7" s="319"/>
      <c r="AP7" s="319"/>
      <c r="AQ7" s="319"/>
      <c r="AR7" s="356"/>
      <c r="AT7" s="319"/>
      <c r="AU7" s="319"/>
      <c r="AV7" s="319"/>
      <c r="AW7" s="319"/>
      <c r="AX7" s="356"/>
      <c r="BC7" s="319"/>
      <c r="BD7" s="319"/>
      <c r="BE7" s="319"/>
      <c r="BF7" s="319"/>
      <c r="BH7" s="319"/>
      <c r="BI7" s="319"/>
      <c r="BJ7" s="319"/>
      <c r="BK7" s="319"/>
      <c r="BM7" s="319"/>
      <c r="BO7" s="319"/>
      <c r="BR7" s="319"/>
      <c r="BT7" s="319"/>
      <c r="BW7" s="319"/>
      <c r="BY7" s="319"/>
      <c r="CA7" s="319"/>
      <c r="CF7" s="319"/>
      <c r="CH7" s="319"/>
      <c r="CX7" s="319"/>
      <c r="CY7" s="319"/>
      <c r="CZ7" s="319"/>
      <c r="DA7" s="319"/>
      <c r="DC7" s="319"/>
      <c r="DD7" s="319"/>
      <c r="DE7" s="319"/>
      <c r="DF7" s="319"/>
      <c r="DK7" s="319"/>
      <c r="DM7" s="319"/>
      <c r="DO7" s="319"/>
      <c r="DQ7" s="405"/>
    </row>
    <row r="8" spans="1:172" s="184" customFormat="1" x14ac:dyDescent="0.25">
      <c r="A8" s="182" t="s">
        <v>158</v>
      </c>
      <c r="B8" s="183">
        <v>0</v>
      </c>
      <c r="C8" s="183">
        <v>1359031.21646</v>
      </c>
      <c r="D8" s="183">
        <v>130263.88116</v>
      </c>
      <c r="E8" s="183">
        <v>82661.738119999995</v>
      </c>
      <c r="F8" s="184">
        <f>(B8+C8+D8+E8)</f>
        <v>1571956.83574</v>
      </c>
      <c r="G8" s="183">
        <v>0</v>
      </c>
      <c r="H8" s="183">
        <v>740933.56839999999</v>
      </c>
      <c r="I8" s="183">
        <v>54876.60484</v>
      </c>
      <c r="J8" s="183">
        <v>39220.734510000002</v>
      </c>
      <c r="K8" s="184">
        <f>(G8+H8+I8+J8)</f>
        <v>835030.90775000001</v>
      </c>
      <c r="L8" s="183">
        <v>88851.640779999987</v>
      </c>
      <c r="M8" s="183">
        <v>1465.4</v>
      </c>
      <c r="N8" s="183">
        <v>3434.7</v>
      </c>
      <c r="O8" s="184">
        <f>(L8+M8+N8)</f>
        <v>93751.740779999978</v>
      </c>
      <c r="P8" s="183">
        <v>37510.430420000004</v>
      </c>
      <c r="Q8" s="183">
        <v>988.76665000000003</v>
      </c>
      <c r="R8" s="183">
        <v>1581.5250000000001</v>
      </c>
      <c r="S8" s="184">
        <f>(P8+Q8+R8)</f>
        <v>40080.722070000003</v>
      </c>
      <c r="T8" s="183">
        <v>0</v>
      </c>
      <c r="U8" s="183">
        <v>1395243.5722699999</v>
      </c>
      <c r="V8" s="183">
        <v>140383.14116</v>
      </c>
      <c r="W8" s="183">
        <v>86412.132589999994</v>
      </c>
      <c r="X8" s="184">
        <f>(T8+U8+V8+W8)</f>
        <v>1622038.8460200001</v>
      </c>
      <c r="Y8" s="183">
        <v>0</v>
      </c>
      <c r="Z8" s="183">
        <v>797916.98786999995</v>
      </c>
      <c r="AA8" s="183">
        <v>53183.81007</v>
      </c>
      <c r="AB8" s="183">
        <v>37655.526160000001</v>
      </c>
      <c r="AC8" s="184">
        <f>(Y8+Z8+AA8+AB8)</f>
        <v>888756.32409999997</v>
      </c>
      <c r="AD8" s="184">
        <f t="shared" ref="AD8:AD33" si="0">F8-O8</f>
        <v>1478205.0949600001</v>
      </c>
      <c r="AE8" s="184">
        <f t="shared" ref="AE8:AE33" si="1">K8-S8</f>
        <v>794950.18568</v>
      </c>
      <c r="AF8" s="184">
        <f>AE8/AD8%</f>
        <v>53.778071012636524</v>
      </c>
      <c r="AG8" s="185">
        <v>1478205</v>
      </c>
      <c r="AH8" s="185">
        <f>AG8-AD8</f>
        <v>-9.4960000133141875E-2</v>
      </c>
      <c r="AI8" s="185">
        <v>795025</v>
      </c>
      <c r="AJ8" s="185">
        <f>AI8-AE8</f>
        <v>74.814320000004955</v>
      </c>
      <c r="AK8" s="184">
        <f t="shared" ref="AK8:AK33" si="2">X8-O8</f>
        <v>1528287.1052400002</v>
      </c>
      <c r="AL8" s="184">
        <f t="shared" ref="AL8:AL33" si="3">AC8-S8</f>
        <v>848675.60202999995</v>
      </c>
      <c r="AM8" s="184">
        <f>AL8/AK8%</f>
        <v>55.531162902583354</v>
      </c>
      <c r="AN8" s="183">
        <v>0</v>
      </c>
      <c r="AO8" s="183">
        <v>1036397.90341</v>
      </c>
      <c r="AP8" s="183">
        <v>27592.52116</v>
      </c>
      <c r="AQ8" s="183">
        <v>61259.119619999998</v>
      </c>
      <c r="AR8" s="407">
        <f t="shared" ref="AR8:AR33" si="4">L8-((AP8+AQ8))</f>
        <v>0</v>
      </c>
      <c r="AS8" s="184">
        <f>(AN8+AO8+AP8+AQ8)</f>
        <v>1125249.54419</v>
      </c>
      <c r="AT8" s="183">
        <v>0</v>
      </c>
      <c r="AU8" s="183">
        <v>574025.0686</v>
      </c>
      <c r="AV8" s="183">
        <v>6745.9931800000004</v>
      </c>
      <c r="AW8" s="183">
        <v>30764.437239999999</v>
      </c>
      <c r="AX8" s="186">
        <f t="shared" ref="AX8:AX33" si="5">P8-((AV8+AW8))</f>
        <v>0</v>
      </c>
      <c r="AY8" s="184">
        <f>(AT8+AU8+AV8+AW8)</f>
        <v>611535.49901999999</v>
      </c>
      <c r="AZ8" s="184">
        <f t="shared" ref="AZ8:AZ33" si="6">AS8-O8</f>
        <v>1031497.8034100001</v>
      </c>
      <c r="BA8" s="184">
        <f t="shared" ref="BA8:BA33" si="7">AY8-S8</f>
        <v>571454.77694999997</v>
      </c>
      <c r="BB8" s="184">
        <f>BA8/AZ8%</f>
        <v>55.400484136839019</v>
      </c>
      <c r="BC8" s="183">
        <v>0</v>
      </c>
      <c r="BD8" s="183">
        <v>322038.67538999999</v>
      </c>
      <c r="BE8" s="183">
        <v>102641.36</v>
      </c>
      <c r="BF8" s="183">
        <v>21361.982</v>
      </c>
      <c r="BG8" s="184">
        <f>(BC8+BD8+BE8+BF8)</f>
        <v>446042.01738999999</v>
      </c>
      <c r="BH8" s="183">
        <v>0</v>
      </c>
      <c r="BI8" s="183">
        <v>166313.86214000001</v>
      </c>
      <c r="BJ8" s="183">
        <v>47174.490420000002</v>
      </c>
      <c r="BK8" s="183">
        <v>8373.8020699999997</v>
      </c>
      <c r="BL8" s="184">
        <f>(BH8+BI8+BJ8+BK8)</f>
        <v>221862.15463000003</v>
      </c>
      <c r="BM8" s="187">
        <v>43318</v>
      </c>
      <c r="BN8" s="184">
        <f>(BM8)</f>
        <v>43318</v>
      </c>
      <c r="BO8" s="187">
        <v>21955.63924</v>
      </c>
      <c r="BP8" s="184">
        <f>(BO8)</f>
        <v>21955.63924</v>
      </c>
      <c r="BQ8" s="184">
        <f t="shared" ref="BQ8:BQ33" si="8">BP8/BN8%</f>
        <v>50.684794404173786</v>
      </c>
      <c r="BR8" s="187">
        <v>8828.0650000000005</v>
      </c>
      <c r="BS8" s="184">
        <f>(BR8)</f>
        <v>8828.0650000000005</v>
      </c>
      <c r="BT8" s="327">
        <v>5442.0527400000001</v>
      </c>
      <c r="BU8" s="184">
        <f>(BT8)</f>
        <v>5442.0527400000001</v>
      </c>
      <c r="BV8" s="184">
        <f t="shared" ref="BV8:BV32" si="9">BU8/BS8%</f>
        <v>61.644910181336449</v>
      </c>
      <c r="BW8" s="187">
        <v>40656</v>
      </c>
      <c r="BX8" s="184">
        <f>(BW8)</f>
        <v>40656</v>
      </c>
      <c r="BY8" s="187">
        <v>13767.440919999999</v>
      </c>
      <c r="BZ8" s="184">
        <f>BY8</f>
        <v>13767.440919999999</v>
      </c>
      <c r="CA8" s="187">
        <v>13873.732980000001</v>
      </c>
      <c r="CB8" s="184">
        <f>(CA8)</f>
        <v>13873.732980000001</v>
      </c>
      <c r="CC8" s="184">
        <f t="shared" ref="CC8:CC33" si="10">CB8/BX8%</f>
        <v>34.124687573789849</v>
      </c>
      <c r="CD8" s="184">
        <f>CB8-BZ8</f>
        <v>106.29206000000158</v>
      </c>
      <c r="CE8" s="184">
        <f>CB8/BZ8%-100</f>
        <v>0.77205386692882882</v>
      </c>
      <c r="CF8" s="187">
        <v>34756.9</v>
      </c>
      <c r="CG8" s="184">
        <f>(CF8)</f>
        <v>34756.9</v>
      </c>
      <c r="CH8" s="187">
        <v>19908.883529999999</v>
      </c>
      <c r="CI8" s="184">
        <f>(CH8)</f>
        <v>19908.883529999999</v>
      </c>
      <c r="CJ8" s="184">
        <f t="shared" ref="CJ8:CJ32" si="11">CI8/CG8%</f>
        <v>57.280377507775427</v>
      </c>
      <c r="CK8" s="184">
        <v>13635.705679999999</v>
      </c>
      <c r="CL8" s="184">
        <v>4.8869499999999997</v>
      </c>
      <c r="CM8" s="187">
        <v>38402992.369999997</v>
      </c>
      <c r="CN8" s="184">
        <f>CM8/1000</f>
        <v>38402.99237</v>
      </c>
      <c r="CO8" s="187">
        <v>1650811.07</v>
      </c>
      <c r="CP8" s="184">
        <f>CO8/1000</f>
        <v>1650.81107</v>
      </c>
      <c r="CQ8" s="184">
        <f t="shared" ref="CQ8:CQ33" si="12">CN8-CK8</f>
        <v>24767.286690000001</v>
      </c>
      <c r="CR8" s="184">
        <f t="shared" ref="CR8:CR33" si="13">CP8-CL8</f>
        <v>1645.9241199999999</v>
      </c>
      <c r="CS8" s="184">
        <f t="shared" ref="CS8:CS33" si="14">AD8-AK8</f>
        <v>-50082.010280000046</v>
      </c>
      <c r="CT8" s="184">
        <f t="shared" ref="CT8:CT33" si="15">AE8-AL8</f>
        <v>-53725.416349999956</v>
      </c>
      <c r="CU8" s="184">
        <v>83700</v>
      </c>
      <c r="CV8" s="184">
        <v>122700</v>
      </c>
      <c r="CW8" s="184">
        <f>CV8-CU8</f>
        <v>39000</v>
      </c>
      <c r="CX8" s="183">
        <v>0</v>
      </c>
      <c r="CY8" s="183">
        <v>1036992.54107</v>
      </c>
      <c r="CZ8" s="183">
        <v>27622.52116</v>
      </c>
      <c r="DA8" s="183">
        <v>61299.756119999998</v>
      </c>
      <c r="DB8" s="184">
        <f>(CX8+CY8+CZ8+DA8)</f>
        <v>1125914.8183500001</v>
      </c>
      <c r="DC8" s="183">
        <v>0</v>
      </c>
      <c r="DD8" s="183">
        <v>574619.70626000001</v>
      </c>
      <c r="DE8" s="183">
        <v>7702.1144199999999</v>
      </c>
      <c r="DF8" s="183">
        <v>30846.93244</v>
      </c>
      <c r="DG8" s="184">
        <f>(DC8+DD8+DE8+DF8)</f>
        <v>613168.75312000001</v>
      </c>
      <c r="DH8" s="188">
        <f t="shared" ref="DH8:DH33" si="16">DB8-O8</f>
        <v>1032163.0775700001</v>
      </c>
      <c r="DI8" s="188">
        <f t="shared" ref="DI8:DI33" si="17">DG8-S8</f>
        <v>573088.03104999999</v>
      </c>
      <c r="DJ8" s="184">
        <f>DI8/DH8%</f>
        <v>55.523012158040871</v>
      </c>
      <c r="DK8" s="183">
        <v>263025.90000000002</v>
      </c>
      <c r="DL8" s="184">
        <f>DK8</f>
        <v>263025.90000000002</v>
      </c>
      <c r="DM8" s="183">
        <v>129017.12936000001</v>
      </c>
      <c r="DN8" s="184">
        <f>DM8</f>
        <v>129017.12936000001</v>
      </c>
      <c r="DO8" s="187">
        <v>176334.52</v>
      </c>
      <c r="DP8" s="184">
        <f>DO8/1000</f>
        <v>176.33452</v>
      </c>
      <c r="DQ8" s="408">
        <v>203</v>
      </c>
      <c r="DR8" s="184">
        <v>236.55177</v>
      </c>
      <c r="DS8" s="184">
        <f t="shared" ref="DS8:DS33" si="18">DR8-DP8</f>
        <v>60.217250000000007</v>
      </c>
      <c r="DT8" s="184">
        <v>60482.169009999998</v>
      </c>
      <c r="DU8" s="184">
        <v>26469.48013</v>
      </c>
      <c r="DV8" s="184">
        <v>73688.257320000004</v>
      </c>
      <c r="DW8" s="184">
        <v>31904.061410000002</v>
      </c>
      <c r="DX8" s="184">
        <f>DV8-DT8</f>
        <v>13206.088310000006</v>
      </c>
      <c r="DY8" s="184">
        <f>DW8-DU8</f>
        <v>5434.5812800000022</v>
      </c>
      <c r="DZ8" s="184">
        <v>38724.849390000003</v>
      </c>
      <c r="EA8" s="184">
        <v>8945.2973399999992</v>
      </c>
      <c r="EB8" s="184">
        <v>37773.479169999999</v>
      </c>
      <c r="EC8" s="184">
        <v>6066.59573</v>
      </c>
      <c r="ED8" s="184">
        <f>EB8-DZ8</f>
        <v>-951.37022000000434</v>
      </c>
      <c r="EE8" s="184">
        <f>EC8-EA8</f>
        <v>-2878.7016099999992</v>
      </c>
      <c r="EF8" s="184">
        <v>8843.1769899999999</v>
      </c>
      <c r="EG8" s="184">
        <v>8843.1769899999999</v>
      </c>
      <c r="EH8" s="184">
        <v>6274.8817300000001</v>
      </c>
      <c r="EI8" s="184">
        <v>5911.1908199999998</v>
      </c>
      <c r="EJ8" s="184">
        <f>EH8-EF8</f>
        <v>-2568.2952599999999</v>
      </c>
      <c r="EK8" s="184">
        <f>EI8-EG8</f>
        <v>-2931.9861700000001</v>
      </c>
      <c r="EL8" s="184">
        <v>22729.088889999999</v>
      </c>
      <c r="EM8" s="184">
        <v>91.596699999999998</v>
      </c>
      <c r="EN8" s="184">
        <v>24497.284619999999</v>
      </c>
      <c r="EO8" s="184">
        <v>103.2967</v>
      </c>
      <c r="EP8" s="184">
        <f>EN8-EL8</f>
        <v>1768.1957299999995</v>
      </c>
      <c r="EQ8" s="184">
        <f>EO8-EM8</f>
        <v>11.700000000000003</v>
      </c>
      <c r="ER8" s="184">
        <v>0</v>
      </c>
      <c r="ES8" s="184">
        <v>0</v>
      </c>
      <c r="ET8" s="184">
        <v>0</v>
      </c>
      <c r="EU8" s="184">
        <v>0</v>
      </c>
      <c r="EV8" s="184">
        <f>ET8-ER8</f>
        <v>0</v>
      </c>
      <c r="EW8" s="184">
        <f>EU8-ES8</f>
        <v>0</v>
      </c>
      <c r="EX8" s="184">
        <v>2683.35</v>
      </c>
      <c r="EY8" s="184">
        <v>0</v>
      </c>
      <c r="EZ8" s="184">
        <v>2450.0250000000001</v>
      </c>
      <c r="FA8" s="184">
        <v>0</v>
      </c>
      <c r="FB8" s="184">
        <f>EZ8-EX8</f>
        <v>-233.32499999999982</v>
      </c>
      <c r="FC8" s="184">
        <f>FA8-EY8</f>
        <v>0</v>
      </c>
      <c r="FD8" s="184">
        <v>1500.6284599999999</v>
      </c>
      <c r="FE8" s="184">
        <v>1388.73405</v>
      </c>
      <c r="FF8" s="184">
        <f>FE8-FD8</f>
        <v>-111.89440999999988</v>
      </c>
      <c r="FG8" s="184">
        <v>10824.48682</v>
      </c>
      <c r="FH8" s="416">
        <v>13440.70261</v>
      </c>
      <c r="FI8" s="184">
        <f>FH8-FG8</f>
        <v>2616.2157900000002</v>
      </c>
      <c r="FJ8" s="184">
        <v>0</v>
      </c>
      <c r="FK8" s="184">
        <v>0</v>
      </c>
      <c r="FL8" s="184">
        <f>FK8-FJ8</f>
        <v>0</v>
      </c>
      <c r="FM8" s="184">
        <v>310.82231000000002</v>
      </c>
      <c r="FN8" s="184">
        <v>211.86231000000001</v>
      </c>
      <c r="FO8" s="184">
        <f>FN8-FM8</f>
        <v>-98.960000000000008</v>
      </c>
      <c r="FP8" s="184">
        <f>FN8/FM8%-100</f>
        <v>-31.838126420204517</v>
      </c>
    </row>
    <row r="9" spans="1:172" s="184" customFormat="1" x14ac:dyDescent="0.25">
      <c r="A9" s="182" t="s">
        <v>159</v>
      </c>
      <c r="B9" s="183">
        <v>0</v>
      </c>
      <c r="C9" s="183">
        <v>604966.74763</v>
      </c>
      <c r="D9" s="183">
        <v>0</v>
      </c>
      <c r="E9" s="183">
        <v>60287.585910000002</v>
      </c>
      <c r="F9" s="184">
        <f t="shared" ref="F9:F33" si="19">(B9+C9+D9+E9)</f>
        <v>665254.33354000002</v>
      </c>
      <c r="G9" s="183">
        <v>0</v>
      </c>
      <c r="H9" s="183">
        <v>321908.00007000001</v>
      </c>
      <c r="I9" s="183">
        <v>0</v>
      </c>
      <c r="J9" s="183">
        <v>29893.565320000002</v>
      </c>
      <c r="K9" s="184">
        <f t="shared" ref="K9:K33" si="20">(G9+H9+I9+J9)</f>
        <v>351801.56539</v>
      </c>
      <c r="L9" s="183">
        <v>47675.227249999996</v>
      </c>
      <c r="M9" s="183">
        <v>0</v>
      </c>
      <c r="N9" s="183">
        <v>447.2</v>
      </c>
      <c r="O9" s="184">
        <f t="shared" ref="O9:O33" si="21">(L9+M9+N9)</f>
        <v>48122.427249999993</v>
      </c>
      <c r="P9" s="183">
        <v>25201.80789</v>
      </c>
      <c r="Q9" s="183">
        <v>0</v>
      </c>
      <c r="R9" s="183">
        <v>223.8</v>
      </c>
      <c r="S9" s="184">
        <f t="shared" ref="S9:S33" si="22">(P9+Q9+R9)</f>
        <v>25425.607889999999</v>
      </c>
      <c r="T9" s="183">
        <v>0</v>
      </c>
      <c r="U9" s="183">
        <v>616178.21728999994</v>
      </c>
      <c r="V9" s="183">
        <v>0</v>
      </c>
      <c r="W9" s="183">
        <v>62854.56611</v>
      </c>
      <c r="X9" s="184">
        <f t="shared" ref="X9:X33" si="23">(T9+U9+V9+W9)</f>
        <v>679032.78339999996</v>
      </c>
      <c r="Y9" s="183">
        <v>0</v>
      </c>
      <c r="Z9" s="183">
        <v>324293.76251999999</v>
      </c>
      <c r="AA9" s="183">
        <v>0</v>
      </c>
      <c r="AB9" s="183">
        <v>23564.914420000001</v>
      </c>
      <c r="AC9" s="184">
        <f t="shared" ref="AC9:AC33" si="24">(Y9+Z9+AA9+AB9)</f>
        <v>347858.67693999998</v>
      </c>
      <c r="AD9" s="184">
        <f t="shared" si="0"/>
        <v>617131.90629000007</v>
      </c>
      <c r="AE9" s="184">
        <f t="shared" si="1"/>
        <v>326375.95750000002</v>
      </c>
      <c r="AF9" s="184">
        <f t="shared" ref="AF9:AF35" si="25">AE9/AD9%</f>
        <v>52.885931544532845</v>
      </c>
      <c r="AG9" s="185">
        <v>617132</v>
      </c>
      <c r="AH9" s="185">
        <f t="shared" ref="AH9:AH33" si="26">AG9-AD9</f>
        <v>9.3709999928250909E-2</v>
      </c>
      <c r="AI9" s="185">
        <v>326376</v>
      </c>
      <c r="AJ9" s="185">
        <f t="shared" ref="AJ9:AJ33" si="27">AI9-AE9</f>
        <v>4.2499999981373549E-2</v>
      </c>
      <c r="AK9" s="184">
        <f t="shared" si="2"/>
        <v>630910.35615000001</v>
      </c>
      <c r="AL9" s="184">
        <f t="shared" si="3"/>
        <v>322433.06904999999</v>
      </c>
      <c r="AM9" s="184">
        <f t="shared" ref="AM9:AM35" si="28">AL9/AK9%</f>
        <v>51.106003556128186</v>
      </c>
      <c r="AN9" s="183">
        <v>0</v>
      </c>
      <c r="AO9" s="183">
        <v>528963.59128000005</v>
      </c>
      <c r="AP9" s="183">
        <v>0</v>
      </c>
      <c r="AQ9" s="183">
        <v>47675.227250000004</v>
      </c>
      <c r="AR9" s="407">
        <f t="shared" si="4"/>
        <v>0</v>
      </c>
      <c r="AS9" s="184">
        <f t="shared" ref="AS9:AS33" si="29">(AN9+AO9+AP9+AQ9)</f>
        <v>576638.81853000005</v>
      </c>
      <c r="AT9" s="183">
        <v>0</v>
      </c>
      <c r="AU9" s="183">
        <v>282596.15023000003</v>
      </c>
      <c r="AV9" s="183">
        <v>0</v>
      </c>
      <c r="AW9" s="183">
        <v>25201.80789</v>
      </c>
      <c r="AX9" s="186">
        <f t="shared" si="5"/>
        <v>0</v>
      </c>
      <c r="AY9" s="184">
        <f t="shared" ref="AY9:AY33" si="30">(AT9+AU9+AV9+AW9)</f>
        <v>307797.95812000002</v>
      </c>
      <c r="AZ9" s="184">
        <f t="shared" si="6"/>
        <v>528516.3912800001</v>
      </c>
      <c r="BA9" s="184">
        <f t="shared" si="7"/>
        <v>282372.35023000004</v>
      </c>
      <c r="BB9" s="184">
        <f t="shared" ref="BB9:BB35" si="31">BA9/AZ9%</f>
        <v>53.42735909214278</v>
      </c>
      <c r="BC9" s="183">
        <v>0</v>
      </c>
      <c r="BD9" s="183">
        <v>75914.399999999994</v>
      </c>
      <c r="BE9" s="183">
        <v>0</v>
      </c>
      <c r="BF9" s="183">
        <v>12619.759</v>
      </c>
      <c r="BG9" s="184">
        <f t="shared" ref="BG9:BG33" si="32">(BC9+BD9+BE9+BF9)</f>
        <v>88534.159</v>
      </c>
      <c r="BH9" s="183">
        <v>0</v>
      </c>
      <c r="BI9" s="183">
        <v>39223.093489999999</v>
      </c>
      <c r="BJ9" s="183">
        <v>0</v>
      </c>
      <c r="BK9" s="183">
        <v>4699.1577699999998</v>
      </c>
      <c r="BL9" s="184">
        <f t="shared" ref="BL9:BL33" si="33">(BH9+BI9+BJ9+BK9)</f>
        <v>43922.251259999997</v>
      </c>
      <c r="BM9" s="187">
        <v>5539.3</v>
      </c>
      <c r="BN9" s="184">
        <f t="shared" ref="BN9:BN33" si="34">(BM9)</f>
        <v>5539.3</v>
      </c>
      <c r="BO9" s="187">
        <v>2646.9953999999998</v>
      </c>
      <c r="BP9" s="184">
        <f t="shared" ref="BP9:BP33" si="35">(BO9)</f>
        <v>2646.9953999999998</v>
      </c>
      <c r="BQ9" s="184">
        <f t="shared" si="8"/>
        <v>47.785738270178541</v>
      </c>
      <c r="BR9" s="187">
        <v>450</v>
      </c>
      <c r="BS9" s="184">
        <f t="shared" ref="BS9:BS33" si="36">(BR9)</f>
        <v>450</v>
      </c>
      <c r="BT9" s="327">
        <v>114.68597</v>
      </c>
      <c r="BU9" s="184">
        <f t="shared" ref="BU9:BU33" si="37">(BT9)</f>
        <v>114.68597</v>
      </c>
      <c r="BV9" s="184">
        <f t="shared" si="9"/>
        <v>25.485771111111109</v>
      </c>
      <c r="BW9" s="187">
        <v>9087.6</v>
      </c>
      <c r="BX9" s="184">
        <f t="shared" ref="BX9:BX33" si="38">(BW9)</f>
        <v>9087.6</v>
      </c>
      <c r="BY9" s="187">
        <v>2531.1386000000002</v>
      </c>
      <c r="BZ9" s="184">
        <f t="shared" ref="BZ9:BZ33" si="39">BY9</f>
        <v>2531.1386000000002</v>
      </c>
      <c r="CA9" s="187">
        <v>2711.5840499999999</v>
      </c>
      <c r="CB9" s="184">
        <f t="shared" ref="CB9:CB33" si="40">(CA9)</f>
        <v>2711.5840499999999</v>
      </c>
      <c r="CC9" s="184">
        <f t="shared" si="10"/>
        <v>29.8382856859897</v>
      </c>
      <c r="CD9" s="184">
        <f t="shared" ref="CD9:CD33" si="41">CB9-BZ9</f>
        <v>180.44544999999971</v>
      </c>
      <c r="CE9" s="184">
        <f t="shared" ref="CE9:CE34" si="42">CB9/BZ9%-100</f>
        <v>7.1290228832194202</v>
      </c>
      <c r="CF9" s="187">
        <v>15780.5</v>
      </c>
      <c r="CG9" s="184">
        <f t="shared" ref="CG9:CG33" si="43">(CF9)</f>
        <v>15780.5</v>
      </c>
      <c r="CH9" s="187">
        <v>7833.78197</v>
      </c>
      <c r="CI9" s="184">
        <f t="shared" ref="CI9:CI33" si="44">(CH9)</f>
        <v>7833.78197</v>
      </c>
      <c r="CJ9" s="184">
        <f t="shared" si="11"/>
        <v>49.642165774215009</v>
      </c>
      <c r="CK9" s="184">
        <v>15733.63414</v>
      </c>
      <c r="CL9" s="184">
        <v>1498.64399</v>
      </c>
      <c r="CM9" s="187">
        <v>30308241.920000002</v>
      </c>
      <c r="CN9" s="184">
        <f t="shared" ref="CN9:CN33" si="45">CM9/1000</f>
        <v>30308.24192</v>
      </c>
      <c r="CO9" s="187">
        <v>4388654.2699999996</v>
      </c>
      <c r="CP9" s="184">
        <f t="shared" ref="CP9:CP33" si="46">CO9/1000</f>
        <v>4388.65427</v>
      </c>
      <c r="CQ9" s="184">
        <f t="shared" si="12"/>
        <v>14574.60778</v>
      </c>
      <c r="CR9" s="184">
        <f t="shared" si="13"/>
        <v>2890.01028</v>
      </c>
      <c r="CS9" s="184">
        <f t="shared" si="14"/>
        <v>-13778.449859999935</v>
      </c>
      <c r="CT9" s="184">
        <f t="shared" si="15"/>
        <v>3942.8884500000277</v>
      </c>
      <c r="CW9" s="184">
        <f t="shared" ref="CW9:CW33" si="47">CV9-CU9</f>
        <v>0</v>
      </c>
      <c r="CX9" s="183">
        <v>0</v>
      </c>
      <c r="CY9" s="183">
        <v>529052.34762999997</v>
      </c>
      <c r="CZ9" s="183">
        <v>0</v>
      </c>
      <c r="DA9" s="183">
        <v>47667.826910000003</v>
      </c>
      <c r="DB9" s="184">
        <f t="shared" ref="DB9:DB33" si="48">(CX9+CY9+CZ9+DA9)</f>
        <v>576720.17454000004</v>
      </c>
      <c r="DC9" s="183">
        <v>0</v>
      </c>
      <c r="DD9" s="183">
        <v>282684.90658000001</v>
      </c>
      <c r="DE9" s="183">
        <v>0</v>
      </c>
      <c r="DF9" s="183">
        <v>25194.40755</v>
      </c>
      <c r="DG9" s="184">
        <f t="shared" ref="DG9:DG33" si="49">(DC9+DD9+DE9+DF9)</f>
        <v>307879.31413000001</v>
      </c>
      <c r="DH9" s="188">
        <f t="shared" si="16"/>
        <v>528597.74729000009</v>
      </c>
      <c r="DI9" s="188">
        <f t="shared" si="17"/>
        <v>282453.70624000003</v>
      </c>
      <c r="DJ9" s="184">
        <f t="shared" ref="DJ9:DJ35" si="50">DI9/DH9%</f>
        <v>53.434527045958042</v>
      </c>
      <c r="DK9" s="183">
        <v>38992.959000000003</v>
      </c>
      <c r="DL9" s="184">
        <f t="shared" ref="DL9:DL33" si="51">DK9</f>
        <v>38992.959000000003</v>
      </c>
      <c r="DM9" s="183">
        <v>20949.51874</v>
      </c>
      <c r="DN9" s="184">
        <f t="shared" ref="DN9:DN33" si="52">DM9</f>
        <v>20949.51874</v>
      </c>
      <c r="DO9" s="187">
        <v>26855</v>
      </c>
      <c r="DP9" s="184">
        <f t="shared" ref="DP9:DP33" si="53">DO9/1000</f>
        <v>26.855</v>
      </c>
      <c r="DQ9" s="408">
        <v>50.3</v>
      </c>
      <c r="DR9" s="184">
        <v>46.999000000000002</v>
      </c>
      <c r="DS9" s="184">
        <f t="shared" si="18"/>
        <v>20.144000000000002</v>
      </c>
      <c r="DT9" s="184">
        <v>8178.4894800000002</v>
      </c>
      <c r="DU9" s="184">
        <v>417.95200999999997</v>
      </c>
      <c r="DV9" s="184">
        <v>16447.443619999998</v>
      </c>
      <c r="DW9" s="184">
        <v>0</v>
      </c>
      <c r="DX9" s="184">
        <f t="shared" ref="DX9:DX33" si="54">DV9-DT9</f>
        <v>8268.954139999998</v>
      </c>
      <c r="DY9" s="184">
        <f t="shared" ref="DY9:DY33" si="55">DW9-DU9</f>
        <v>-417.95200999999997</v>
      </c>
      <c r="DZ9" s="184">
        <v>20157.919190000001</v>
      </c>
      <c r="EA9" s="184">
        <v>1814.85094</v>
      </c>
      <c r="EB9" s="184">
        <v>28048.129479999996</v>
      </c>
      <c r="EC9" s="184">
        <v>1284.53559</v>
      </c>
      <c r="ED9" s="184">
        <f t="shared" ref="ED9:ED33" si="56">EB9-DZ9</f>
        <v>7890.2102899999954</v>
      </c>
      <c r="EE9" s="184">
        <f t="shared" ref="EE9:EE33" si="57">EC9-EA9</f>
        <v>-530.31535000000008</v>
      </c>
      <c r="EF9" s="184">
        <v>1814.85094</v>
      </c>
      <c r="EG9" s="184">
        <v>1814.85094</v>
      </c>
      <c r="EH9" s="184">
        <v>1274.46407</v>
      </c>
      <c r="EI9" s="184">
        <v>1178.0405900000001</v>
      </c>
      <c r="EJ9" s="184">
        <f t="shared" ref="EJ9:EJ33" si="58">EH9-EF9</f>
        <v>-540.38687000000004</v>
      </c>
      <c r="EK9" s="184">
        <f t="shared" ref="EK9:EK33" si="59">EI9-EG9</f>
        <v>-636.81034999999997</v>
      </c>
      <c r="EL9" s="184">
        <v>15873.261619999999</v>
      </c>
      <c r="EM9" s="184">
        <v>0</v>
      </c>
      <c r="EN9" s="184">
        <v>16832.632949999999</v>
      </c>
      <c r="EO9" s="184">
        <v>0</v>
      </c>
      <c r="EP9" s="184">
        <f t="shared" ref="EP9:EP33" si="60">EN9-EL9</f>
        <v>959.37132999999994</v>
      </c>
      <c r="EQ9" s="184">
        <f t="shared" ref="EQ9:EQ33" si="61">EO9-EM9</f>
        <v>0</v>
      </c>
      <c r="ER9" s="184">
        <v>0</v>
      </c>
      <c r="ES9" s="184">
        <v>0</v>
      </c>
      <c r="ET9" s="184">
        <v>0</v>
      </c>
      <c r="EU9" s="184">
        <v>0</v>
      </c>
      <c r="EV9" s="184">
        <f t="shared" ref="EV9:EV33" si="62">ET9-ER9</f>
        <v>0</v>
      </c>
      <c r="EW9" s="184">
        <f t="shared" ref="EW9:EW33" si="63">EU9-ES9</f>
        <v>0</v>
      </c>
      <c r="EX9" s="184">
        <v>460.44454999999999</v>
      </c>
      <c r="EY9" s="184">
        <v>0</v>
      </c>
      <c r="EZ9" s="184">
        <v>420.97793000000001</v>
      </c>
      <c r="FA9" s="184">
        <v>0</v>
      </c>
      <c r="FB9" s="184">
        <f t="shared" ref="FB9:FB33" si="64">EZ9-EX9</f>
        <v>-39.466619999999978</v>
      </c>
      <c r="FC9" s="184">
        <f t="shared" ref="FC9:FC33" si="65">FA9-EY9</f>
        <v>0</v>
      </c>
      <c r="FD9" s="184">
        <v>417.95200999999997</v>
      </c>
      <c r="FE9" s="184">
        <v>0</v>
      </c>
      <c r="FF9" s="184">
        <f t="shared" ref="FF9:FF35" si="66">FE9-FD9</f>
        <v>-417.95200999999997</v>
      </c>
      <c r="FG9" s="184">
        <v>0</v>
      </c>
      <c r="FH9" s="184">
        <v>0</v>
      </c>
      <c r="FI9" s="184">
        <f t="shared" ref="FI9:FI33" si="67">FH9-FG9</f>
        <v>0</v>
      </c>
      <c r="FJ9" s="184">
        <v>0</v>
      </c>
      <c r="FK9" s="184">
        <v>0</v>
      </c>
      <c r="FL9" s="184">
        <f t="shared" ref="FL9:FL33" si="68">FK9-FJ9</f>
        <v>0</v>
      </c>
      <c r="FM9" s="184">
        <v>0</v>
      </c>
      <c r="FN9" s="184">
        <v>0</v>
      </c>
      <c r="FO9" s="184">
        <f t="shared" ref="FO9:FO36" si="69">FN9-FM9</f>
        <v>0</v>
      </c>
      <c r="FP9" s="184" t="e">
        <f t="shared" ref="FP9:FP33" si="70">FN9/FM9%-100</f>
        <v>#DIV/0!</v>
      </c>
    </row>
    <row r="10" spans="1:172" s="184" customFormat="1" x14ac:dyDescent="0.25">
      <c r="A10" s="182" t="s">
        <v>160</v>
      </c>
      <c r="B10" s="183">
        <v>0</v>
      </c>
      <c r="C10" s="183">
        <v>485925.07306999998</v>
      </c>
      <c r="D10" s="183">
        <v>0</v>
      </c>
      <c r="E10" s="183">
        <v>58292.048450000002</v>
      </c>
      <c r="F10" s="184">
        <f t="shared" si="19"/>
        <v>544217.12152000004</v>
      </c>
      <c r="G10" s="183">
        <v>0</v>
      </c>
      <c r="H10" s="183">
        <v>230719.01373999999</v>
      </c>
      <c r="I10" s="183">
        <v>0</v>
      </c>
      <c r="J10" s="183">
        <v>21226.326300000001</v>
      </c>
      <c r="K10" s="184">
        <f t="shared" si="20"/>
        <v>251945.34003999998</v>
      </c>
      <c r="L10" s="183">
        <v>47177.562640000004</v>
      </c>
      <c r="M10" s="183">
        <v>0</v>
      </c>
      <c r="N10" s="183">
        <v>8510</v>
      </c>
      <c r="O10" s="184">
        <f t="shared" si="21"/>
        <v>55687.562640000004</v>
      </c>
      <c r="P10" s="183">
        <v>15565.95889</v>
      </c>
      <c r="Q10" s="183">
        <v>0</v>
      </c>
      <c r="R10" s="183">
        <v>4233.2999999999993</v>
      </c>
      <c r="S10" s="184">
        <f t="shared" si="22"/>
        <v>19799.258889999997</v>
      </c>
      <c r="T10" s="183">
        <v>0</v>
      </c>
      <c r="U10" s="183">
        <v>498910.22206</v>
      </c>
      <c r="V10" s="183">
        <v>0</v>
      </c>
      <c r="W10" s="183">
        <v>59429.779640000001</v>
      </c>
      <c r="X10" s="184">
        <f t="shared" si="23"/>
        <v>558340.00170000002</v>
      </c>
      <c r="Y10" s="183">
        <v>0</v>
      </c>
      <c r="Z10" s="183">
        <v>231090.6465</v>
      </c>
      <c r="AA10" s="183">
        <v>0</v>
      </c>
      <c r="AB10" s="183">
        <v>20333.631379999999</v>
      </c>
      <c r="AC10" s="184">
        <f t="shared" si="24"/>
        <v>251424.27788000001</v>
      </c>
      <c r="AD10" s="184">
        <f t="shared" si="0"/>
        <v>488529.55888000003</v>
      </c>
      <c r="AE10" s="184">
        <f t="shared" si="1"/>
        <v>232146.08114999998</v>
      </c>
      <c r="AF10" s="184">
        <f t="shared" si="25"/>
        <v>47.519352090427589</v>
      </c>
      <c r="AG10" s="185">
        <v>488530</v>
      </c>
      <c r="AH10" s="185">
        <f t="shared" si="26"/>
        <v>0.44111999997403473</v>
      </c>
      <c r="AI10" s="185">
        <v>232146</v>
      </c>
      <c r="AJ10" s="185">
        <f t="shared" si="27"/>
        <v>-8.1149999983608723E-2</v>
      </c>
      <c r="AK10" s="184">
        <f t="shared" si="2"/>
        <v>502652.43906</v>
      </c>
      <c r="AL10" s="184">
        <f t="shared" si="3"/>
        <v>231625.01899000001</v>
      </c>
      <c r="AM10" s="184">
        <f t="shared" si="28"/>
        <v>46.0805520854842</v>
      </c>
      <c r="AN10" s="183">
        <v>0</v>
      </c>
      <c r="AO10" s="183">
        <v>420745.52205999999</v>
      </c>
      <c r="AP10" s="183">
        <v>0</v>
      </c>
      <c r="AQ10" s="183">
        <v>47177.562639999996</v>
      </c>
      <c r="AR10" s="407">
        <f t="shared" si="4"/>
        <v>0</v>
      </c>
      <c r="AS10" s="184">
        <f t="shared" si="29"/>
        <v>467923.08470000001</v>
      </c>
      <c r="AT10" s="183">
        <v>0</v>
      </c>
      <c r="AU10" s="183">
        <v>198498.76524000001</v>
      </c>
      <c r="AV10" s="183">
        <v>0</v>
      </c>
      <c r="AW10" s="183">
        <v>15565.95889</v>
      </c>
      <c r="AX10" s="186">
        <f t="shared" si="5"/>
        <v>0</v>
      </c>
      <c r="AY10" s="184">
        <f t="shared" si="30"/>
        <v>214064.72413000002</v>
      </c>
      <c r="AZ10" s="184">
        <f t="shared" si="6"/>
        <v>412235.52205999999</v>
      </c>
      <c r="BA10" s="184">
        <f t="shared" si="7"/>
        <v>194265.46524000002</v>
      </c>
      <c r="BB10" s="184">
        <f t="shared" si="31"/>
        <v>47.124872759442873</v>
      </c>
      <c r="BC10" s="183">
        <v>0</v>
      </c>
      <c r="BD10" s="183">
        <v>65596</v>
      </c>
      <c r="BE10" s="183">
        <v>0</v>
      </c>
      <c r="BF10" s="183">
        <v>10876</v>
      </c>
      <c r="BG10" s="184">
        <f t="shared" si="32"/>
        <v>76472</v>
      </c>
      <c r="BH10" s="183">
        <v>0</v>
      </c>
      <c r="BI10" s="183">
        <v>32636.697489999999</v>
      </c>
      <c r="BJ10" s="183">
        <v>0</v>
      </c>
      <c r="BK10" s="183">
        <v>5421.8815999999997</v>
      </c>
      <c r="BL10" s="184">
        <f t="shared" si="33"/>
        <v>38058.579089999999</v>
      </c>
      <c r="BM10" s="187">
        <v>8863</v>
      </c>
      <c r="BN10" s="184">
        <f t="shared" si="34"/>
        <v>8863</v>
      </c>
      <c r="BO10" s="187">
        <v>4667.02135</v>
      </c>
      <c r="BP10" s="184">
        <f t="shared" si="35"/>
        <v>4667.02135</v>
      </c>
      <c r="BQ10" s="184">
        <f t="shared" si="8"/>
        <v>52.657354733160332</v>
      </c>
      <c r="BR10" s="187">
        <v>606</v>
      </c>
      <c r="BS10" s="184">
        <f t="shared" si="36"/>
        <v>606</v>
      </c>
      <c r="BT10" s="327">
        <v>661.58633999999995</v>
      </c>
      <c r="BU10" s="184">
        <f t="shared" si="37"/>
        <v>661.58633999999995</v>
      </c>
      <c r="BV10" s="184">
        <f t="shared" si="9"/>
        <v>109.17266336633664</v>
      </c>
      <c r="BW10" s="187">
        <v>5374</v>
      </c>
      <c r="BX10" s="184">
        <f t="shared" si="38"/>
        <v>5374</v>
      </c>
      <c r="BY10" s="187">
        <v>1634.56375</v>
      </c>
      <c r="BZ10" s="184">
        <f t="shared" si="39"/>
        <v>1634.56375</v>
      </c>
      <c r="CA10" s="187">
        <v>1781.24271</v>
      </c>
      <c r="CB10" s="184">
        <f t="shared" si="40"/>
        <v>1781.24271</v>
      </c>
      <c r="CC10" s="184">
        <f t="shared" si="10"/>
        <v>33.145565872720503</v>
      </c>
      <c r="CD10" s="184">
        <f t="shared" si="41"/>
        <v>146.67895999999996</v>
      </c>
      <c r="CE10" s="184">
        <f t="shared" si="42"/>
        <v>8.9735845420528904</v>
      </c>
      <c r="CF10" s="187">
        <v>9698</v>
      </c>
      <c r="CG10" s="184">
        <f t="shared" si="43"/>
        <v>9698</v>
      </c>
      <c r="CH10" s="187">
        <v>4869.8597399999999</v>
      </c>
      <c r="CI10" s="184">
        <f t="shared" si="44"/>
        <v>4869.8597399999999</v>
      </c>
      <c r="CJ10" s="184">
        <f t="shared" si="11"/>
        <v>50.215093215095891</v>
      </c>
      <c r="CK10" s="184">
        <v>12638.151180000001</v>
      </c>
      <c r="CL10" s="184">
        <v>1229</v>
      </c>
      <c r="CM10" s="187">
        <v>29011632.719999999</v>
      </c>
      <c r="CN10" s="184">
        <f t="shared" si="45"/>
        <v>29011.632719999998</v>
      </c>
      <c r="CO10" s="187">
        <v>3879549.76</v>
      </c>
      <c r="CP10" s="184">
        <f t="shared" si="46"/>
        <v>3879.5497599999999</v>
      </c>
      <c r="CQ10" s="184">
        <f t="shared" si="12"/>
        <v>16373.481539999997</v>
      </c>
      <c r="CR10" s="184">
        <f t="shared" si="13"/>
        <v>2650.5497599999999</v>
      </c>
      <c r="CS10" s="184">
        <f t="shared" si="14"/>
        <v>-14122.880179999978</v>
      </c>
      <c r="CT10" s="184">
        <f t="shared" si="15"/>
        <v>521.06215999997221</v>
      </c>
      <c r="CW10" s="184">
        <f t="shared" si="47"/>
        <v>0</v>
      </c>
      <c r="CX10" s="183">
        <v>0</v>
      </c>
      <c r="CY10" s="183">
        <v>420329.07306999998</v>
      </c>
      <c r="CZ10" s="183">
        <v>0</v>
      </c>
      <c r="DA10" s="183">
        <v>47416.048450000002</v>
      </c>
      <c r="DB10" s="184">
        <f t="shared" si="48"/>
        <v>467745.12151999999</v>
      </c>
      <c r="DC10" s="183">
        <v>0</v>
      </c>
      <c r="DD10" s="183">
        <v>198082.31625</v>
      </c>
      <c r="DE10" s="183">
        <v>0</v>
      </c>
      <c r="DF10" s="183">
        <v>15804.4447</v>
      </c>
      <c r="DG10" s="184">
        <f t="shared" si="49"/>
        <v>213886.76095</v>
      </c>
      <c r="DH10" s="188">
        <f t="shared" si="16"/>
        <v>412057.55887999997</v>
      </c>
      <c r="DI10" s="188">
        <f t="shared" si="17"/>
        <v>194087.50206</v>
      </c>
      <c r="DJ10" s="184">
        <f t="shared" si="50"/>
        <v>47.102036566819166</v>
      </c>
      <c r="DK10" s="183">
        <v>40013</v>
      </c>
      <c r="DL10" s="184">
        <f t="shared" si="51"/>
        <v>40013</v>
      </c>
      <c r="DM10" s="183">
        <v>20734.645629999999</v>
      </c>
      <c r="DN10" s="184">
        <f t="shared" si="52"/>
        <v>20734.645629999999</v>
      </c>
      <c r="DO10" s="187">
        <v>289877.71000000002</v>
      </c>
      <c r="DP10" s="184">
        <f t="shared" si="53"/>
        <v>289.87771000000004</v>
      </c>
      <c r="DQ10" s="408">
        <v>411</v>
      </c>
      <c r="DR10" s="184">
        <v>523.59898999999996</v>
      </c>
      <c r="DS10" s="184">
        <f t="shared" si="18"/>
        <v>233.72127999999992</v>
      </c>
      <c r="DT10" s="184">
        <v>4733.0988399999997</v>
      </c>
      <c r="DU10" s="184">
        <v>0</v>
      </c>
      <c r="DV10" s="184">
        <v>4679.3574799999997</v>
      </c>
      <c r="DW10" s="184">
        <v>46.649099999999997</v>
      </c>
      <c r="DX10" s="184">
        <f t="shared" si="54"/>
        <v>-53.741359999999986</v>
      </c>
      <c r="DY10" s="184">
        <f t="shared" si="55"/>
        <v>46.649099999999997</v>
      </c>
      <c r="DZ10" s="184">
        <v>9251.3239999999987</v>
      </c>
      <c r="EA10" s="184">
        <v>1820.2745600000001</v>
      </c>
      <c r="EB10" s="184">
        <v>6531.7323500000002</v>
      </c>
      <c r="EC10" s="184">
        <v>911.63387999999998</v>
      </c>
      <c r="ED10" s="184">
        <f t="shared" si="56"/>
        <v>-2719.5916499999985</v>
      </c>
      <c r="EE10" s="184">
        <f t="shared" si="57"/>
        <v>-908.64068000000009</v>
      </c>
      <c r="EF10" s="184">
        <v>1820.2745600000001</v>
      </c>
      <c r="EG10" s="184">
        <v>1820.2745600000001</v>
      </c>
      <c r="EH10" s="184">
        <v>914.23</v>
      </c>
      <c r="EI10" s="184">
        <v>911.63387999999998</v>
      </c>
      <c r="EJ10" s="184">
        <f t="shared" si="58"/>
        <v>-906.04456000000005</v>
      </c>
      <c r="EK10" s="184">
        <f t="shared" si="59"/>
        <v>-908.64068000000009</v>
      </c>
      <c r="EL10" s="184">
        <v>6845.95525</v>
      </c>
      <c r="EM10" s="184">
        <v>0</v>
      </c>
      <c r="EN10" s="184">
        <v>4976.6014500000001</v>
      </c>
      <c r="EO10" s="184">
        <v>0</v>
      </c>
      <c r="EP10" s="184">
        <f t="shared" si="60"/>
        <v>-1869.3537999999999</v>
      </c>
      <c r="EQ10" s="184">
        <f t="shared" si="61"/>
        <v>0</v>
      </c>
      <c r="ER10" s="184">
        <v>167.02808999999999</v>
      </c>
      <c r="ES10" s="184">
        <v>0</v>
      </c>
      <c r="ET10" s="184">
        <v>0</v>
      </c>
      <c r="EU10" s="184">
        <v>0</v>
      </c>
      <c r="EV10" s="184">
        <f t="shared" si="62"/>
        <v>-167.02808999999999</v>
      </c>
      <c r="EW10" s="184">
        <f t="shared" si="63"/>
        <v>0</v>
      </c>
      <c r="EX10" s="184">
        <v>0</v>
      </c>
      <c r="EY10" s="184">
        <v>0</v>
      </c>
      <c r="EZ10" s="184">
        <v>0</v>
      </c>
      <c r="FA10" s="184">
        <v>0</v>
      </c>
      <c r="FB10" s="184">
        <f t="shared" si="64"/>
        <v>0</v>
      </c>
      <c r="FC10" s="184">
        <f t="shared" si="65"/>
        <v>0</v>
      </c>
      <c r="FD10" s="184">
        <v>0</v>
      </c>
      <c r="FE10" s="184">
        <v>0</v>
      </c>
      <c r="FF10" s="184">
        <f t="shared" si="66"/>
        <v>0</v>
      </c>
      <c r="FG10" s="184">
        <v>0</v>
      </c>
      <c r="FH10" s="184">
        <v>0</v>
      </c>
      <c r="FI10" s="184">
        <f t="shared" si="67"/>
        <v>0</v>
      </c>
      <c r="FJ10" s="184">
        <v>0</v>
      </c>
      <c r="FK10" s="184">
        <v>0</v>
      </c>
      <c r="FL10" s="184">
        <f t="shared" si="68"/>
        <v>0</v>
      </c>
      <c r="FM10" s="184">
        <v>0</v>
      </c>
      <c r="FN10" s="184">
        <v>0</v>
      </c>
      <c r="FO10" s="184">
        <f t="shared" si="69"/>
        <v>0</v>
      </c>
      <c r="FP10" s="184" t="e">
        <f t="shared" si="70"/>
        <v>#DIV/0!</v>
      </c>
    </row>
    <row r="11" spans="1:172" s="184" customFormat="1" x14ac:dyDescent="0.25">
      <c r="A11" s="182" t="s">
        <v>161</v>
      </c>
      <c r="B11" s="183">
        <v>0</v>
      </c>
      <c r="C11" s="183">
        <v>556718.79599000001</v>
      </c>
      <c r="D11" s="183">
        <v>37297.73414</v>
      </c>
      <c r="E11" s="183">
        <v>52359.067889999998</v>
      </c>
      <c r="F11" s="184">
        <f t="shared" si="19"/>
        <v>646375.59801999992</v>
      </c>
      <c r="G11" s="183">
        <v>0</v>
      </c>
      <c r="H11" s="183">
        <v>307400.31886</v>
      </c>
      <c r="I11" s="183">
        <v>15464.10871</v>
      </c>
      <c r="J11" s="183">
        <v>23746.06423</v>
      </c>
      <c r="K11" s="184">
        <f t="shared" si="20"/>
        <v>346610.49180000002</v>
      </c>
      <c r="L11" s="183">
        <v>60990.542029999997</v>
      </c>
      <c r="M11" s="183">
        <v>1</v>
      </c>
      <c r="N11" s="183">
        <v>4</v>
      </c>
      <c r="O11" s="184">
        <f t="shared" si="21"/>
        <v>60995.542029999997</v>
      </c>
      <c r="P11" s="183">
        <v>26748.541530000002</v>
      </c>
      <c r="Q11" s="183">
        <v>0</v>
      </c>
      <c r="R11" s="183">
        <v>0.5</v>
      </c>
      <c r="S11" s="184">
        <f t="shared" si="22"/>
        <v>26749.041530000002</v>
      </c>
      <c r="T11" s="183">
        <v>0</v>
      </c>
      <c r="U11" s="183">
        <v>566562.56125000003</v>
      </c>
      <c r="V11" s="183">
        <v>37685.772689999998</v>
      </c>
      <c r="W11" s="183">
        <v>53720.388550000003</v>
      </c>
      <c r="X11" s="184">
        <f t="shared" si="23"/>
        <v>657968.72249000007</v>
      </c>
      <c r="Y11" s="183">
        <v>0</v>
      </c>
      <c r="Z11" s="183">
        <v>327802.36504</v>
      </c>
      <c r="AA11" s="183">
        <v>13507.533079999999</v>
      </c>
      <c r="AB11" s="183">
        <v>22377.612109999998</v>
      </c>
      <c r="AC11" s="184">
        <f t="shared" si="24"/>
        <v>363687.51023000001</v>
      </c>
      <c r="AD11" s="184">
        <f t="shared" si="0"/>
        <v>585380.05598999991</v>
      </c>
      <c r="AE11" s="184">
        <f t="shared" si="1"/>
        <v>319861.45027000003</v>
      </c>
      <c r="AF11" s="184">
        <f t="shared" si="25"/>
        <v>54.641672020931345</v>
      </c>
      <c r="AG11" s="185">
        <v>585380</v>
      </c>
      <c r="AH11" s="185">
        <f t="shared" si="26"/>
        <v>-5.5989999906159937E-2</v>
      </c>
      <c r="AI11" s="185">
        <v>319861</v>
      </c>
      <c r="AJ11" s="185">
        <f t="shared" si="27"/>
        <v>-0.45027000003028661</v>
      </c>
      <c r="AK11" s="184">
        <f t="shared" si="2"/>
        <v>596973.18046000006</v>
      </c>
      <c r="AL11" s="184">
        <f t="shared" si="3"/>
        <v>336938.46870000003</v>
      </c>
      <c r="AM11" s="184">
        <f t="shared" si="28"/>
        <v>56.441140025816694</v>
      </c>
      <c r="AN11" s="183">
        <v>0</v>
      </c>
      <c r="AO11" s="183">
        <v>476722.47599000001</v>
      </c>
      <c r="AP11" s="183">
        <v>15178.73414</v>
      </c>
      <c r="AQ11" s="183">
        <v>45811.807889999996</v>
      </c>
      <c r="AR11" s="407">
        <f t="shared" si="4"/>
        <v>0</v>
      </c>
      <c r="AS11" s="184">
        <f t="shared" si="29"/>
        <v>537713.01802000008</v>
      </c>
      <c r="AT11" s="183">
        <v>0</v>
      </c>
      <c r="AU11" s="183">
        <v>269459.91608</v>
      </c>
      <c r="AV11" s="183">
        <v>5674.4713300000003</v>
      </c>
      <c r="AW11" s="183">
        <v>21074.070199999998</v>
      </c>
      <c r="AX11" s="186">
        <f t="shared" si="5"/>
        <v>0</v>
      </c>
      <c r="AY11" s="184">
        <f t="shared" si="30"/>
        <v>296208.45760999998</v>
      </c>
      <c r="AZ11" s="184">
        <f t="shared" si="6"/>
        <v>476717.47599000006</v>
      </c>
      <c r="BA11" s="184">
        <f t="shared" si="7"/>
        <v>269459.41608</v>
      </c>
      <c r="BB11" s="184">
        <f t="shared" si="31"/>
        <v>56.523922375703371</v>
      </c>
      <c r="BC11" s="183">
        <v>0</v>
      </c>
      <c r="BD11" s="183">
        <v>80022.100000000006</v>
      </c>
      <c r="BE11" s="183">
        <v>22069</v>
      </c>
      <c r="BF11" s="183">
        <v>6447.26</v>
      </c>
      <c r="BG11" s="184">
        <f t="shared" si="32"/>
        <v>108538.36</v>
      </c>
      <c r="BH11" s="183">
        <v>0</v>
      </c>
      <c r="BI11" s="183">
        <v>37966.182780000003</v>
      </c>
      <c r="BJ11" s="183">
        <v>9739.6373800000001</v>
      </c>
      <c r="BK11" s="183">
        <v>2571.9940299999998</v>
      </c>
      <c r="BL11" s="184">
        <f t="shared" si="33"/>
        <v>50277.814190000005</v>
      </c>
      <c r="BM11" s="187">
        <v>10223</v>
      </c>
      <c r="BN11" s="184">
        <f t="shared" si="34"/>
        <v>10223</v>
      </c>
      <c r="BO11" s="187">
        <v>5212.5221199999996</v>
      </c>
      <c r="BP11" s="184">
        <f t="shared" si="35"/>
        <v>5212.5221199999996</v>
      </c>
      <c r="BQ11" s="184">
        <f t="shared" si="8"/>
        <v>50.988184681600309</v>
      </c>
      <c r="BR11" s="187">
        <v>8181.1</v>
      </c>
      <c r="BS11" s="184">
        <f t="shared" si="36"/>
        <v>8181.1</v>
      </c>
      <c r="BT11" s="327">
        <v>262.54397999999998</v>
      </c>
      <c r="BU11" s="184">
        <f t="shared" si="37"/>
        <v>262.54397999999998</v>
      </c>
      <c r="BV11" s="184">
        <f t="shared" si="9"/>
        <v>3.2091525589468404</v>
      </c>
      <c r="BW11" s="187">
        <v>7933</v>
      </c>
      <c r="BX11" s="184">
        <f t="shared" si="38"/>
        <v>7933</v>
      </c>
      <c r="BY11" s="187">
        <v>2241.5729000000001</v>
      </c>
      <c r="BZ11" s="184">
        <f t="shared" si="39"/>
        <v>2241.5729000000001</v>
      </c>
      <c r="CA11" s="187">
        <v>1449.6041</v>
      </c>
      <c r="CB11" s="184">
        <f t="shared" si="40"/>
        <v>1449.6041</v>
      </c>
      <c r="CC11" s="184">
        <f t="shared" si="10"/>
        <v>18.273088365057355</v>
      </c>
      <c r="CD11" s="184">
        <f t="shared" si="41"/>
        <v>-791.9688000000001</v>
      </c>
      <c r="CE11" s="184">
        <f t="shared" si="42"/>
        <v>-35.330941054828074</v>
      </c>
      <c r="CF11" s="187">
        <v>16079.6</v>
      </c>
      <c r="CG11" s="184">
        <f t="shared" si="43"/>
        <v>16079.6</v>
      </c>
      <c r="CH11" s="187">
        <v>7524.8138600000002</v>
      </c>
      <c r="CI11" s="184">
        <f t="shared" si="44"/>
        <v>7524.8138600000002</v>
      </c>
      <c r="CJ11" s="184">
        <f t="shared" si="11"/>
        <v>46.797270205726512</v>
      </c>
      <c r="CK11" s="184">
        <v>8739.5378600000004</v>
      </c>
      <c r="CL11" s="184">
        <v>3556</v>
      </c>
      <c r="CM11" s="187">
        <v>24209497.920000002</v>
      </c>
      <c r="CN11" s="184">
        <f t="shared" si="45"/>
        <v>24209.497920000002</v>
      </c>
      <c r="CO11" s="187">
        <v>2948936.27</v>
      </c>
      <c r="CP11" s="184">
        <f t="shared" si="46"/>
        <v>2948.9362700000001</v>
      </c>
      <c r="CQ11" s="184">
        <f t="shared" si="12"/>
        <v>15469.960060000001</v>
      </c>
      <c r="CR11" s="184">
        <f t="shared" si="13"/>
        <v>-607.06372999999985</v>
      </c>
      <c r="CS11" s="184">
        <f t="shared" si="14"/>
        <v>-11593.124470000155</v>
      </c>
      <c r="CT11" s="184">
        <f t="shared" si="15"/>
        <v>-17077.018429999996</v>
      </c>
      <c r="CW11" s="184">
        <f t="shared" si="47"/>
        <v>0</v>
      </c>
      <c r="CX11" s="183">
        <v>0</v>
      </c>
      <c r="CY11" s="183">
        <v>476696.69598999998</v>
      </c>
      <c r="CZ11" s="183">
        <v>15228.73414</v>
      </c>
      <c r="DA11" s="183">
        <v>45911.807889999996</v>
      </c>
      <c r="DB11" s="184">
        <f t="shared" si="48"/>
        <v>537837.23802000005</v>
      </c>
      <c r="DC11" s="183">
        <v>0</v>
      </c>
      <c r="DD11" s="183">
        <v>269434.13608000003</v>
      </c>
      <c r="DE11" s="183">
        <v>5724.4713300000003</v>
      </c>
      <c r="DF11" s="183">
        <v>21174.070199999998</v>
      </c>
      <c r="DG11" s="184">
        <f t="shared" si="49"/>
        <v>296332.67761000007</v>
      </c>
      <c r="DH11" s="188">
        <f t="shared" si="16"/>
        <v>476841.69599000004</v>
      </c>
      <c r="DI11" s="188">
        <f t="shared" si="17"/>
        <v>269583.63608000008</v>
      </c>
      <c r="DJ11" s="184">
        <f t="shared" si="50"/>
        <v>56.535248143579622</v>
      </c>
      <c r="DK11" s="183">
        <v>53570.66</v>
      </c>
      <c r="DL11" s="184">
        <f t="shared" si="51"/>
        <v>53570.66</v>
      </c>
      <c r="DM11" s="183">
        <v>28857.702280000001</v>
      </c>
      <c r="DN11" s="184">
        <f t="shared" si="52"/>
        <v>28857.702280000001</v>
      </c>
      <c r="DO11" s="187">
        <v>111911.27</v>
      </c>
      <c r="DP11" s="184">
        <f t="shared" si="53"/>
        <v>111.91127</v>
      </c>
      <c r="DQ11" s="408">
        <v>160</v>
      </c>
      <c r="DR11" s="184">
        <v>29.527000000000001</v>
      </c>
      <c r="DS11" s="184">
        <f t="shared" si="18"/>
        <v>-82.384270000000001</v>
      </c>
      <c r="DT11" s="184">
        <v>13687.797500000001</v>
      </c>
      <c r="DU11" s="184">
        <v>3284.9434700000002</v>
      </c>
      <c r="DV11" s="184">
        <v>20734.065549999999</v>
      </c>
      <c r="DW11" s="184">
        <v>3644.0591199999999</v>
      </c>
      <c r="DX11" s="184">
        <f t="shared" si="54"/>
        <v>7046.2680499999988</v>
      </c>
      <c r="DY11" s="184">
        <f t="shared" si="55"/>
        <v>359.11564999999973</v>
      </c>
      <c r="DZ11" s="184">
        <v>21739.851170000002</v>
      </c>
      <c r="EA11" s="184">
        <v>17184.492760000001</v>
      </c>
      <c r="EB11" s="184">
        <v>20991.140660000001</v>
      </c>
      <c r="EC11" s="184">
        <v>16059.91178</v>
      </c>
      <c r="ED11" s="184">
        <f t="shared" si="56"/>
        <v>-748.7105100000008</v>
      </c>
      <c r="EE11" s="184">
        <f t="shared" si="57"/>
        <v>-1124.5809800000006</v>
      </c>
      <c r="EF11" s="184">
        <v>4326.72001</v>
      </c>
      <c r="EG11" s="184">
        <v>4326.72001</v>
      </c>
      <c r="EH11" s="184">
        <v>3268.8657699999999</v>
      </c>
      <c r="EI11" s="184">
        <v>3268.8657699999999</v>
      </c>
      <c r="EJ11" s="184">
        <f t="shared" si="58"/>
        <v>-1057.8542400000001</v>
      </c>
      <c r="EK11" s="184">
        <f t="shared" si="59"/>
        <v>-1057.8542400000001</v>
      </c>
      <c r="EL11" s="184">
        <v>14606.984179999999</v>
      </c>
      <c r="EM11" s="184">
        <v>11450.439490000001</v>
      </c>
      <c r="EN11" s="184">
        <v>15150.716479999999</v>
      </c>
      <c r="EO11" s="184">
        <v>11408.712750000001</v>
      </c>
      <c r="EP11" s="184">
        <f t="shared" si="60"/>
        <v>543.73229999999967</v>
      </c>
      <c r="EQ11" s="184">
        <f t="shared" si="61"/>
        <v>-41.726740000000063</v>
      </c>
      <c r="ER11" s="184">
        <v>1058.93012</v>
      </c>
      <c r="ES11" s="184">
        <v>25</v>
      </c>
      <c r="ET11" s="184">
        <v>46.125509999999998</v>
      </c>
      <c r="EU11" s="184">
        <v>0</v>
      </c>
      <c r="EV11" s="184">
        <f t="shared" si="62"/>
        <v>-1012.80461</v>
      </c>
      <c r="EW11" s="184">
        <f t="shared" si="63"/>
        <v>-25</v>
      </c>
      <c r="EX11" s="184">
        <v>0</v>
      </c>
      <c r="EY11" s="184">
        <v>0</v>
      </c>
      <c r="EZ11" s="184">
        <v>0</v>
      </c>
      <c r="FA11" s="184">
        <v>0</v>
      </c>
      <c r="FB11" s="184">
        <f t="shared" si="64"/>
        <v>0</v>
      </c>
      <c r="FC11" s="184">
        <f t="shared" si="65"/>
        <v>0</v>
      </c>
      <c r="FD11" s="184">
        <v>2814.2868600000002</v>
      </c>
      <c r="FE11" s="184">
        <v>3261.9590899999998</v>
      </c>
      <c r="FF11" s="184">
        <f t="shared" si="66"/>
        <v>447.67222999999967</v>
      </c>
      <c r="FG11" s="184">
        <v>0</v>
      </c>
      <c r="FH11" s="184">
        <v>0</v>
      </c>
      <c r="FI11" s="184">
        <f t="shared" si="67"/>
        <v>0</v>
      </c>
      <c r="FJ11" s="184">
        <v>0</v>
      </c>
      <c r="FK11" s="184">
        <v>0</v>
      </c>
      <c r="FL11" s="184">
        <f t="shared" si="68"/>
        <v>0</v>
      </c>
      <c r="FM11" s="184">
        <v>122</v>
      </c>
      <c r="FN11" s="184">
        <v>122</v>
      </c>
      <c r="FO11" s="184">
        <f t="shared" si="69"/>
        <v>0</v>
      </c>
      <c r="FP11" s="184">
        <f t="shared" si="70"/>
        <v>0</v>
      </c>
    </row>
    <row r="12" spans="1:172" s="184" customFormat="1" x14ac:dyDescent="0.25">
      <c r="A12" s="182" t="s">
        <v>162</v>
      </c>
      <c r="B12" s="183">
        <v>0</v>
      </c>
      <c r="C12" s="183">
        <v>530680.51018999994</v>
      </c>
      <c r="D12" s="183">
        <v>72293.670140000002</v>
      </c>
      <c r="E12" s="183">
        <v>14704.607819999999</v>
      </c>
      <c r="F12" s="184">
        <f t="shared" si="19"/>
        <v>617678.78814999992</v>
      </c>
      <c r="G12" s="183">
        <v>0</v>
      </c>
      <c r="H12" s="183">
        <v>215742.69858</v>
      </c>
      <c r="I12" s="183">
        <v>31792.21573</v>
      </c>
      <c r="J12" s="183">
        <v>7300.4558900000002</v>
      </c>
      <c r="K12" s="184">
        <f t="shared" si="20"/>
        <v>254835.3702</v>
      </c>
      <c r="L12" s="183">
        <v>49173.148430000001</v>
      </c>
      <c r="M12" s="183">
        <v>0</v>
      </c>
      <c r="N12" s="183">
        <v>0</v>
      </c>
      <c r="O12" s="184">
        <f t="shared" si="21"/>
        <v>49173.148430000001</v>
      </c>
      <c r="P12" s="183">
        <v>19669.436610000001</v>
      </c>
      <c r="Q12" s="183">
        <v>0</v>
      </c>
      <c r="R12" s="183">
        <v>0</v>
      </c>
      <c r="S12" s="184">
        <f t="shared" si="22"/>
        <v>19669.436610000001</v>
      </c>
      <c r="T12" s="183">
        <v>0</v>
      </c>
      <c r="U12" s="183">
        <v>649077.44102000003</v>
      </c>
      <c r="V12" s="183">
        <v>76276.296780000004</v>
      </c>
      <c r="W12" s="183">
        <v>15532.56503</v>
      </c>
      <c r="X12" s="184">
        <f t="shared" si="23"/>
        <v>740886.30283000006</v>
      </c>
      <c r="Y12" s="183">
        <v>0</v>
      </c>
      <c r="Z12" s="183">
        <v>321147.94104000001</v>
      </c>
      <c r="AA12" s="183">
        <v>33406.828800000003</v>
      </c>
      <c r="AB12" s="183">
        <v>6396.9177099999997</v>
      </c>
      <c r="AC12" s="184">
        <f t="shared" si="24"/>
        <v>360951.68755000003</v>
      </c>
      <c r="AD12" s="184">
        <f t="shared" si="0"/>
        <v>568505.63971999986</v>
      </c>
      <c r="AE12" s="184">
        <f t="shared" si="1"/>
        <v>235165.93359</v>
      </c>
      <c r="AF12" s="184">
        <f t="shared" si="25"/>
        <v>41.365628968223398</v>
      </c>
      <c r="AG12" s="185">
        <v>568506</v>
      </c>
      <c r="AH12" s="185">
        <f t="shared" si="26"/>
        <v>0.36028000013902783</v>
      </c>
      <c r="AI12" s="185">
        <v>235166</v>
      </c>
      <c r="AJ12" s="185">
        <f t="shared" si="27"/>
        <v>6.640999999945052E-2</v>
      </c>
      <c r="AK12" s="184">
        <f t="shared" si="2"/>
        <v>691713.15440000012</v>
      </c>
      <c r="AL12" s="184">
        <f t="shared" si="3"/>
        <v>341282.25094000006</v>
      </c>
      <c r="AM12" s="184">
        <f t="shared" si="28"/>
        <v>49.338696072078058</v>
      </c>
      <c r="AN12" s="183">
        <v>0</v>
      </c>
      <c r="AO12" s="183">
        <v>537131.95028999995</v>
      </c>
      <c r="AP12" s="183">
        <v>43110.540430000001</v>
      </c>
      <c r="AQ12" s="183">
        <v>6062.6080000000002</v>
      </c>
      <c r="AR12" s="407">
        <f t="shared" si="4"/>
        <v>0</v>
      </c>
      <c r="AS12" s="184">
        <f t="shared" si="29"/>
        <v>586305.09872000001</v>
      </c>
      <c r="AT12" s="183">
        <v>0</v>
      </c>
      <c r="AU12" s="183">
        <v>266303.40285000001</v>
      </c>
      <c r="AV12" s="183">
        <v>16643.552609999999</v>
      </c>
      <c r="AW12" s="183">
        <v>3025.884</v>
      </c>
      <c r="AX12" s="186">
        <f t="shared" si="5"/>
        <v>0</v>
      </c>
      <c r="AY12" s="184">
        <f t="shared" si="30"/>
        <v>285972.83946000005</v>
      </c>
      <c r="AZ12" s="184">
        <f t="shared" si="6"/>
        <v>537131.95029000007</v>
      </c>
      <c r="BA12" s="184">
        <f t="shared" si="7"/>
        <v>266303.40285000007</v>
      </c>
      <c r="BB12" s="184">
        <f t="shared" si="31"/>
        <v>49.578767881192249</v>
      </c>
      <c r="BC12" s="183">
        <v>0</v>
      </c>
      <c r="BD12" s="183">
        <v>91809</v>
      </c>
      <c r="BE12" s="183">
        <v>29115.599999999999</v>
      </c>
      <c r="BF12" s="183">
        <v>8272</v>
      </c>
      <c r="BG12" s="184">
        <f t="shared" si="32"/>
        <v>129196.6</v>
      </c>
      <c r="BH12" s="183">
        <v>0</v>
      </c>
      <c r="BI12" s="183">
        <v>47642.735829999998</v>
      </c>
      <c r="BJ12" s="183">
        <v>15071.13341</v>
      </c>
      <c r="BK12" s="183">
        <v>3904.5720700000002</v>
      </c>
      <c r="BL12" s="184">
        <f t="shared" si="33"/>
        <v>66618.441309999995</v>
      </c>
      <c r="BM12" s="187">
        <v>18112</v>
      </c>
      <c r="BN12" s="184">
        <f t="shared" si="34"/>
        <v>18112</v>
      </c>
      <c r="BO12" s="187">
        <v>9036.8848500000004</v>
      </c>
      <c r="BP12" s="184">
        <f t="shared" si="35"/>
        <v>9036.8848500000004</v>
      </c>
      <c r="BQ12" s="184">
        <f t="shared" si="8"/>
        <v>49.894461406802122</v>
      </c>
      <c r="BR12" s="187">
        <v>2758</v>
      </c>
      <c r="BS12" s="184">
        <f t="shared" si="36"/>
        <v>2758</v>
      </c>
      <c r="BT12" s="327">
        <v>2669.1167700000001</v>
      </c>
      <c r="BU12" s="184">
        <f t="shared" si="37"/>
        <v>2669.1167700000001</v>
      </c>
      <c r="BV12" s="184">
        <f t="shared" si="9"/>
        <v>96.777257795503999</v>
      </c>
      <c r="BW12" s="187">
        <v>11692.5</v>
      </c>
      <c r="BX12" s="184">
        <f t="shared" si="38"/>
        <v>11692.5</v>
      </c>
      <c r="BY12" s="187">
        <v>2071.72957</v>
      </c>
      <c r="BZ12" s="184">
        <f t="shared" si="39"/>
        <v>2071.72957</v>
      </c>
      <c r="CA12" s="187">
        <v>5871.6139700000003</v>
      </c>
      <c r="CB12" s="184">
        <f t="shared" si="40"/>
        <v>5871.6139700000003</v>
      </c>
      <c r="CC12" s="184">
        <f t="shared" si="10"/>
        <v>50.216925122942058</v>
      </c>
      <c r="CD12" s="184">
        <f>CB12-BZ12</f>
        <v>3799.8844000000004</v>
      </c>
      <c r="CE12" s="184">
        <f t="shared" si="42"/>
        <v>183.41604305044507</v>
      </c>
      <c r="CF12" s="187">
        <v>19602.599999999999</v>
      </c>
      <c r="CG12" s="184">
        <f t="shared" si="43"/>
        <v>19602.599999999999</v>
      </c>
      <c r="CH12" s="187">
        <v>9811.3500100000001</v>
      </c>
      <c r="CI12" s="184">
        <f t="shared" si="44"/>
        <v>9811.3500100000001</v>
      </c>
      <c r="CJ12" s="184">
        <f t="shared" si="11"/>
        <v>50.051268760266503</v>
      </c>
      <c r="CK12" s="184">
        <v>116297.51295999999</v>
      </c>
      <c r="CL12" s="184">
        <v>100338.34359999999</v>
      </c>
      <c r="CM12" s="187">
        <v>14918009</v>
      </c>
      <c r="CN12" s="184">
        <f t="shared" si="45"/>
        <v>14918.009</v>
      </c>
      <c r="CO12" s="187">
        <v>7048686.8700000001</v>
      </c>
      <c r="CP12" s="184">
        <f t="shared" si="46"/>
        <v>7048.6868700000005</v>
      </c>
      <c r="CQ12" s="184">
        <f t="shared" si="12"/>
        <v>-101379.50395999999</v>
      </c>
      <c r="CR12" s="184">
        <f t="shared" si="13"/>
        <v>-93289.656729999988</v>
      </c>
      <c r="CS12" s="184">
        <f t="shared" si="14"/>
        <v>-123207.51468000025</v>
      </c>
      <c r="CT12" s="184">
        <f t="shared" si="15"/>
        <v>-106116.31735000006</v>
      </c>
      <c r="CU12" s="184">
        <v>4550</v>
      </c>
      <c r="CV12" s="184">
        <v>1650</v>
      </c>
      <c r="CW12" s="184">
        <f t="shared" si="47"/>
        <v>-2900</v>
      </c>
      <c r="CX12" s="183">
        <v>0</v>
      </c>
      <c r="CY12" s="183">
        <v>438871.51019</v>
      </c>
      <c r="CZ12" s="183">
        <v>43178.070140000003</v>
      </c>
      <c r="DA12" s="183">
        <v>6432.6078200000002</v>
      </c>
      <c r="DB12" s="184">
        <f t="shared" si="48"/>
        <v>488482.18815</v>
      </c>
      <c r="DC12" s="183">
        <v>0</v>
      </c>
      <c r="DD12" s="183">
        <v>168099.96275000001</v>
      </c>
      <c r="DE12" s="183">
        <v>16721.082320000001</v>
      </c>
      <c r="DF12" s="183">
        <v>3395.88382</v>
      </c>
      <c r="DG12" s="184">
        <f t="shared" si="49"/>
        <v>188216.92888999998</v>
      </c>
      <c r="DH12" s="188">
        <f t="shared" si="16"/>
        <v>439309.03972</v>
      </c>
      <c r="DI12" s="188">
        <f t="shared" si="17"/>
        <v>168547.49227999998</v>
      </c>
      <c r="DJ12" s="184">
        <f t="shared" si="50"/>
        <v>38.366497622590735</v>
      </c>
      <c r="DK12" s="183">
        <v>57216</v>
      </c>
      <c r="DL12" s="184">
        <f t="shared" si="51"/>
        <v>57216</v>
      </c>
      <c r="DM12" s="183">
        <v>29256.584729999999</v>
      </c>
      <c r="DN12" s="184">
        <f t="shared" si="52"/>
        <v>29256.584729999999</v>
      </c>
      <c r="DO12" s="187">
        <v>102451</v>
      </c>
      <c r="DP12" s="184">
        <f t="shared" si="53"/>
        <v>102.45099999999999</v>
      </c>
      <c r="DQ12" s="408">
        <v>250</v>
      </c>
      <c r="DR12" s="184">
        <v>113.7</v>
      </c>
      <c r="DS12" s="184">
        <f t="shared" si="18"/>
        <v>11.249000000000009</v>
      </c>
      <c r="DT12" s="184">
        <v>120447.02301999999</v>
      </c>
      <c r="DU12" s="184">
        <v>8359.8310399999991</v>
      </c>
      <c r="DV12" s="184">
        <v>29263.017189999999</v>
      </c>
      <c r="DW12" s="184">
        <v>12157.57006</v>
      </c>
      <c r="DX12" s="184">
        <f t="shared" si="54"/>
        <v>-91184.005829999995</v>
      </c>
      <c r="DY12" s="184">
        <f t="shared" si="55"/>
        <v>3797.7390200000009</v>
      </c>
      <c r="DZ12" s="184">
        <v>28102.881229999999</v>
      </c>
      <c r="EA12" s="184">
        <v>4620.2853500000001</v>
      </c>
      <c r="EB12" s="184">
        <v>28839.751179999999</v>
      </c>
      <c r="EC12" s="184">
        <v>3223.7423600000002</v>
      </c>
      <c r="ED12" s="184">
        <f t="shared" si="56"/>
        <v>736.86995000000024</v>
      </c>
      <c r="EE12" s="184">
        <f t="shared" si="57"/>
        <v>-1396.5429899999999</v>
      </c>
      <c r="EF12" s="184">
        <v>4620.2853500000001</v>
      </c>
      <c r="EG12" s="184">
        <v>4620.2853500000001</v>
      </c>
      <c r="EH12" s="184">
        <v>3223.7423600000002</v>
      </c>
      <c r="EI12" s="184">
        <v>3223.7423600000002</v>
      </c>
      <c r="EJ12" s="184">
        <f t="shared" si="58"/>
        <v>-1396.5429899999999</v>
      </c>
      <c r="EK12" s="184">
        <f t="shared" si="59"/>
        <v>-1396.5429899999999</v>
      </c>
      <c r="EL12" s="184">
        <v>12895.97674</v>
      </c>
      <c r="EM12" s="184">
        <v>0</v>
      </c>
      <c r="EN12" s="184">
        <v>17952.889800000001</v>
      </c>
      <c r="EO12" s="184">
        <v>0</v>
      </c>
      <c r="EP12" s="184">
        <f t="shared" si="60"/>
        <v>5056.9130600000008</v>
      </c>
      <c r="EQ12" s="184">
        <f t="shared" si="61"/>
        <v>0</v>
      </c>
      <c r="ER12" s="184">
        <v>136.79786999999999</v>
      </c>
      <c r="ES12" s="184">
        <v>0</v>
      </c>
      <c r="ET12" s="184">
        <v>170.72188</v>
      </c>
      <c r="EU12" s="184">
        <v>0</v>
      </c>
      <c r="EV12" s="184">
        <f t="shared" si="62"/>
        <v>33.92401000000001</v>
      </c>
      <c r="EW12" s="184">
        <f t="shared" si="63"/>
        <v>0</v>
      </c>
      <c r="EX12" s="184">
        <v>0</v>
      </c>
      <c r="EY12" s="184">
        <v>0</v>
      </c>
      <c r="EZ12" s="184">
        <v>469.97728000000001</v>
      </c>
      <c r="FA12" s="184">
        <v>0</v>
      </c>
      <c r="FB12" s="184">
        <f t="shared" si="64"/>
        <v>469.97728000000001</v>
      </c>
      <c r="FC12" s="184">
        <f t="shared" si="65"/>
        <v>0</v>
      </c>
      <c r="FD12" s="184">
        <v>3203.5159699999999</v>
      </c>
      <c r="FE12" s="184">
        <v>6299.1509999999998</v>
      </c>
      <c r="FF12" s="184">
        <f t="shared" si="66"/>
        <v>3095.6350299999999</v>
      </c>
      <c r="FG12" s="184">
        <v>458.27132999999998</v>
      </c>
      <c r="FH12" s="184">
        <v>205.49432999999999</v>
      </c>
      <c r="FI12" s="184">
        <f t="shared" si="67"/>
        <v>-252.77699999999999</v>
      </c>
      <c r="FJ12" s="184">
        <v>0</v>
      </c>
      <c r="FK12" s="184">
        <v>0</v>
      </c>
      <c r="FL12" s="184">
        <f t="shared" si="68"/>
        <v>0</v>
      </c>
      <c r="FM12" s="184">
        <v>157.69999999999999</v>
      </c>
      <c r="FN12" s="184">
        <v>192.7</v>
      </c>
      <c r="FO12" s="184">
        <f t="shared" si="69"/>
        <v>35</v>
      </c>
      <c r="FP12" s="184">
        <f t="shared" si="70"/>
        <v>22.194039315155351</v>
      </c>
    </row>
    <row r="13" spans="1:172" s="184" customFormat="1" x14ac:dyDescent="0.25">
      <c r="A13" s="182" t="s">
        <v>163</v>
      </c>
      <c r="B13" s="183">
        <v>0</v>
      </c>
      <c r="C13" s="183">
        <v>697625.70261000004</v>
      </c>
      <c r="D13" s="183">
        <v>44980.895190000003</v>
      </c>
      <c r="E13" s="183">
        <v>45645.076350000003</v>
      </c>
      <c r="F13" s="184">
        <f t="shared" si="19"/>
        <v>788251.67414999998</v>
      </c>
      <c r="G13" s="183">
        <v>0</v>
      </c>
      <c r="H13" s="183">
        <v>356817.57578000001</v>
      </c>
      <c r="I13" s="183">
        <v>19344.110919999999</v>
      </c>
      <c r="J13" s="183">
        <v>20786.151519999999</v>
      </c>
      <c r="K13" s="184">
        <f t="shared" si="20"/>
        <v>396947.83822000003</v>
      </c>
      <c r="L13" s="183">
        <v>44809.436999999998</v>
      </c>
      <c r="M13" s="183">
        <v>0</v>
      </c>
      <c r="N13" s="183">
        <v>0</v>
      </c>
      <c r="O13" s="184">
        <f t="shared" si="21"/>
        <v>44809.436999999998</v>
      </c>
      <c r="P13" s="183">
        <v>19194.544970000003</v>
      </c>
      <c r="Q13" s="183">
        <v>0</v>
      </c>
      <c r="R13" s="183">
        <v>0</v>
      </c>
      <c r="S13" s="184">
        <f t="shared" si="22"/>
        <v>19194.544970000003</v>
      </c>
      <c r="T13" s="183">
        <v>0</v>
      </c>
      <c r="U13" s="183">
        <v>712857.79012000002</v>
      </c>
      <c r="V13" s="183">
        <v>50456.090409999997</v>
      </c>
      <c r="W13" s="183">
        <v>45983.076350000003</v>
      </c>
      <c r="X13" s="184">
        <f t="shared" si="23"/>
        <v>809296.95687999995</v>
      </c>
      <c r="Y13" s="183">
        <v>0</v>
      </c>
      <c r="Z13" s="183">
        <v>357422.13750000001</v>
      </c>
      <c r="AA13" s="183">
        <v>21864.71804</v>
      </c>
      <c r="AB13" s="183">
        <v>19477.34535</v>
      </c>
      <c r="AC13" s="184">
        <f t="shared" si="24"/>
        <v>398764.20089000004</v>
      </c>
      <c r="AD13" s="184">
        <f t="shared" si="0"/>
        <v>743442.23714999994</v>
      </c>
      <c r="AE13" s="184">
        <f t="shared" si="1"/>
        <v>377753.29325000005</v>
      </c>
      <c r="AF13" s="184">
        <f t="shared" si="25"/>
        <v>50.811384445700114</v>
      </c>
      <c r="AG13" s="185">
        <v>743442</v>
      </c>
      <c r="AH13" s="185">
        <f t="shared" si="26"/>
        <v>-0.23714999994263053</v>
      </c>
      <c r="AI13" s="185">
        <v>378007</v>
      </c>
      <c r="AJ13" s="185">
        <f t="shared" si="27"/>
        <v>253.7067499999539</v>
      </c>
      <c r="AK13" s="184">
        <f t="shared" si="2"/>
        <v>764487.51987999992</v>
      </c>
      <c r="AL13" s="184">
        <f t="shared" si="3"/>
        <v>379569.65592000005</v>
      </c>
      <c r="AM13" s="184">
        <f t="shared" si="28"/>
        <v>49.650209591332548</v>
      </c>
      <c r="AN13" s="183">
        <v>0</v>
      </c>
      <c r="AO13" s="183">
        <v>583500.26766000001</v>
      </c>
      <c r="AP13" s="183">
        <v>11194.398649999999</v>
      </c>
      <c r="AQ13" s="183">
        <v>33615.038350000003</v>
      </c>
      <c r="AR13" s="407">
        <f t="shared" si="4"/>
        <v>0</v>
      </c>
      <c r="AS13" s="184">
        <f t="shared" si="29"/>
        <v>628309.70466000005</v>
      </c>
      <c r="AT13" s="183">
        <v>0</v>
      </c>
      <c r="AU13" s="183">
        <v>303563.18648999999</v>
      </c>
      <c r="AV13" s="183">
        <v>4020.3082599999998</v>
      </c>
      <c r="AW13" s="183">
        <v>14920.93671</v>
      </c>
      <c r="AX13" s="186">
        <f t="shared" si="5"/>
        <v>253.30000000000291</v>
      </c>
      <c r="AY13" s="184">
        <f t="shared" si="30"/>
        <v>322504.43145999999</v>
      </c>
      <c r="AZ13" s="184">
        <f t="shared" si="6"/>
        <v>583500.26766000001</v>
      </c>
      <c r="BA13" s="184">
        <f t="shared" si="7"/>
        <v>303309.88649</v>
      </c>
      <c r="BB13" s="184">
        <f t="shared" si="31"/>
        <v>51.98110494556547</v>
      </c>
      <c r="BC13" s="183">
        <v>0</v>
      </c>
      <c r="BD13" s="183">
        <v>114134</v>
      </c>
      <c r="BE13" s="183">
        <v>35682</v>
      </c>
      <c r="BF13" s="183">
        <v>12030.038</v>
      </c>
      <c r="BG13" s="184">
        <f t="shared" si="32"/>
        <v>161846.038</v>
      </c>
      <c r="BH13" s="183">
        <v>0</v>
      </c>
      <c r="BI13" s="183">
        <v>53262.954339999997</v>
      </c>
      <c r="BJ13" s="183">
        <v>17298.997879999999</v>
      </c>
      <c r="BK13" s="183">
        <v>5865.2148100000004</v>
      </c>
      <c r="BL13" s="184">
        <f t="shared" si="33"/>
        <v>76427.167029999997</v>
      </c>
      <c r="BM13" s="187">
        <v>18019</v>
      </c>
      <c r="BN13" s="184">
        <f t="shared" si="34"/>
        <v>18019</v>
      </c>
      <c r="BO13" s="187">
        <v>8602.8494900000005</v>
      </c>
      <c r="BP13" s="184">
        <f t="shared" si="35"/>
        <v>8602.8494900000005</v>
      </c>
      <c r="BQ13" s="184">
        <f t="shared" si="8"/>
        <v>47.743212664409796</v>
      </c>
      <c r="BR13" s="187">
        <v>6326</v>
      </c>
      <c r="BS13" s="184">
        <f t="shared" si="36"/>
        <v>6326</v>
      </c>
      <c r="BT13" s="327">
        <v>1538.0496700000001</v>
      </c>
      <c r="BU13" s="184">
        <f t="shared" si="37"/>
        <v>1538.0496700000001</v>
      </c>
      <c r="BV13" s="184">
        <f t="shared" si="9"/>
        <v>24.313146854252295</v>
      </c>
      <c r="BW13" s="187">
        <v>10440</v>
      </c>
      <c r="BX13" s="184">
        <f t="shared" si="38"/>
        <v>10440</v>
      </c>
      <c r="BY13" s="187">
        <v>3423.1976500000001</v>
      </c>
      <c r="BZ13" s="184">
        <f t="shared" si="39"/>
        <v>3423.1976500000001</v>
      </c>
      <c r="CA13" s="187">
        <v>5408.2183299999997</v>
      </c>
      <c r="CB13" s="184">
        <f t="shared" si="40"/>
        <v>5408.2183299999997</v>
      </c>
      <c r="CC13" s="184">
        <f t="shared" si="10"/>
        <v>51.802857567049806</v>
      </c>
      <c r="CD13" s="184">
        <f>CB13-BZ13</f>
        <v>1985.0206799999996</v>
      </c>
      <c r="CE13" s="184">
        <f t="shared" si="42"/>
        <v>57.987323051591829</v>
      </c>
      <c r="CF13" s="187">
        <v>13080.038</v>
      </c>
      <c r="CG13" s="184">
        <f t="shared" si="43"/>
        <v>13080.038</v>
      </c>
      <c r="CH13" s="187">
        <v>4246.8801899999999</v>
      </c>
      <c r="CI13" s="184">
        <f t="shared" si="44"/>
        <v>4246.8801899999999</v>
      </c>
      <c r="CJ13" s="184">
        <f t="shared" si="11"/>
        <v>32.468408654470267</v>
      </c>
      <c r="CK13" s="184">
        <v>16827.526030000001</v>
      </c>
      <c r="CL13" s="184">
        <v>1984.9266299999999</v>
      </c>
      <c r="CM13" s="187">
        <v>22336014.890000001</v>
      </c>
      <c r="CN13" s="184">
        <f t="shared" si="45"/>
        <v>22336.014890000002</v>
      </c>
      <c r="CO13" s="187">
        <v>1707331.79</v>
      </c>
      <c r="CP13" s="184">
        <f t="shared" si="46"/>
        <v>1707.33179</v>
      </c>
      <c r="CQ13" s="184">
        <f t="shared" si="12"/>
        <v>5508.4888600000013</v>
      </c>
      <c r="CR13" s="184">
        <f t="shared" si="13"/>
        <v>-277.59483999999998</v>
      </c>
      <c r="CS13" s="184">
        <f t="shared" si="14"/>
        <v>-21045.282729999977</v>
      </c>
      <c r="CT13" s="184">
        <f t="shared" si="15"/>
        <v>-1816.3626700000023</v>
      </c>
      <c r="CW13" s="184">
        <f t="shared" si="47"/>
        <v>0</v>
      </c>
      <c r="CX13" s="183">
        <v>0</v>
      </c>
      <c r="CY13" s="183">
        <v>583491.70261000004</v>
      </c>
      <c r="CZ13" s="183">
        <v>9298.8951899999993</v>
      </c>
      <c r="DA13" s="183">
        <v>33615.038350000003</v>
      </c>
      <c r="DB13" s="184">
        <f t="shared" si="48"/>
        <v>626405.63615000003</v>
      </c>
      <c r="DC13" s="183">
        <v>0</v>
      </c>
      <c r="DD13" s="183">
        <v>303554.62144000002</v>
      </c>
      <c r="DE13" s="183">
        <v>2045.11304</v>
      </c>
      <c r="DF13" s="183">
        <v>14920.93671</v>
      </c>
      <c r="DG13" s="184">
        <f t="shared" si="49"/>
        <v>320520.67119000002</v>
      </c>
      <c r="DH13" s="188">
        <f t="shared" si="16"/>
        <v>581596.19915</v>
      </c>
      <c r="DI13" s="188">
        <f t="shared" si="17"/>
        <v>301326.12622000003</v>
      </c>
      <c r="DJ13" s="184">
        <f t="shared" si="50"/>
        <v>51.810195228302156</v>
      </c>
      <c r="DK13" s="183">
        <v>96173</v>
      </c>
      <c r="DL13" s="184">
        <f t="shared" si="51"/>
        <v>96173</v>
      </c>
      <c r="DM13" s="183">
        <v>47994.747380000001</v>
      </c>
      <c r="DN13" s="184">
        <f t="shared" si="52"/>
        <v>47994.747380000001</v>
      </c>
      <c r="DO13" s="187">
        <v>172568</v>
      </c>
      <c r="DP13" s="184">
        <f t="shared" si="53"/>
        <v>172.56800000000001</v>
      </c>
      <c r="DQ13" s="408">
        <v>263</v>
      </c>
      <c r="DR13" s="184">
        <v>158.33799999999999</v>
      </c>
      <c r="DS13" s="184">
        <f t="shared" si="18"/>
        <v>-14.230000000000018</v>
      </c>
      <c r="DT13" s="184">
        <v>30269.45004</v>
      </c>
      <c r="DU13" s="184">
        <v>15909.975259999999</v>
      </c>
      <c r="DV13" s="184">
        <v>35845.582620000001</v>
      </c>
      <c r="DW13" s="184">
        <v>15849.365830000001</v>
      </c>
      <c r="DX13" s="184">
        <f t="shared" si="54"/>
        <v>5576.1325800000013</v>
      </c>
      <c r="DY13" s="184">
        <f t="shared" si="55"/>
        <v>-60.609429999998611</v>
      </c>
      <c r="DZ13" s="184">
        <v>18701.747800000001</v>
      </c>
      <c r="EA13" s="184">
        <v>2330.5945999999999</v>
      </c>
      <c r="EB13" s="184">
        <v>16893.179359999998</v>
      </c>
      <c r="EC13" s="184">
        <v>1695.57861</v>
      </c>
      <c r="ED13" s="184">
        <f t="shared" si="56"/>
        <v>-1808.5684400000027</v>
      </c>
      <c r="EE13" s="184">
        <f t="shared" si="57"/>
        <v>-635.01598999999987</v>
      </c>
      <c r="EF13" s="184">
        <v>5259.5581000000002</v>
      </c>
      <c r="EG13" s="184">
        <v>2325.5945999999999</v>
      </c>
      <c r="EH13" s="184">
        <v>3415.61429</v>
      </c>
      <c r="EI13" s="184">
        <v>1690.57861</v>
      </c>
      <c r="EJ13" s="184">
        <f t="shared" si="58"/>
        <v>-1843.9438100000002</v>
      </c>
      <c r="EK13" s="184">
        <f t="shared" si="59"/>
        <v>-635.01598999999987</v>
      </c>
      <c r="EL13" s="184">
        <v>1529.01019</v>
      </c>
      <c r="EM13" s="184">
        <v>0</v>
      </c>
      <c r="EN13" s="184">
        <v>627.95885999999996</v>
      </c>
      <c r="EO13" s="184">
        <v>0</v>
      </c>
      <c r="EP13" s="184">
        <f t="shared" si="60"/>
        <v>-901.05133000000001</v>
      </c>
      <c r="EQ13" s="184">
        <f t="shared" si="61"/>
        <v>0</v>
      </c>
      <c r="ER13" s="184">
        <v>0</v>
      </c>
      <c r="ES13" s="184">
        <v>0</v>
      </c>
      <c r="ET13" s="184">
        <v>0</v>
      </c>
      <c r="EU13" s="184">
        <v>0</v>
      </c>
      <c r="EV13" s="184">
        <f t="shared" si="62"/>
        <v>0</v>
      </c>
      <c r="EW13" s="184">
        <f t="shared" si="63"/>
        <v>0</v>
      </c>
      <c r="EX13" s="184">
        <v>0</v>
      </c>
      <c r="EY13" s="184">
        <v>0</v>
      </c>
      <c r="EZ13" s="184">
        <v>0</v>
      </c>
      <c r="FA13" s="184">
        <v>0</v>
      </c>
      <c r="FB13" s="184">
        <f t="shared" si="64"/>
        <v>0</v>
      </c>
      <c r="FC13" s="184">
        <f t="shared" si="65"/>
        <v>0</v>
      </c>
      <c r="FD13" s="184">
        <v>9895.5377200000003</v>
      </c>
      <c r="FE13" s="416">
        <v>12102.015530000001</v>
      </c>
      <c r="FF13" s="184">
        <f t="shared" si="66"/>
        <v>2206.4778100000003</v>
      </c>
      <c r="FG13" s="184">
        <v>0</v>
      </c>
      <c r="FH13" s="184">
        <v>0</v>
      </c>
      <c r="FI13" s="184">
        <f t="shared" si="67"/>
        <v>0</v>
      </c>
      <c r="FJ13" s="184">
        <v>3124.4888000000001</v>
      </c>
      <c r="FK13" s="184">
        <v>0</v>
      </c>
      <c r="FL13" s="184">
        <f t="shared" si="68"/>
        <v>-3124.4888000000001</v>
      </c>
      <c r="FM13" s="184">
        <v>855.47969999999998</v>
      </c>
      <c r="FN13" s="184">
        <v>779.90732000000003</v>
      </c>
      <c r="FO13" s="184">
        <f t="shared" si="69"/>
        <v>-75.572379999999953</v>
      </c>
      <c r="FP13" s="184">
        <f t="shared" si="70"/>
        <v>-8.8339185605456265</v>
      </c>
    </row>
    <row r="14" spans="1:172" s="184" customFormat="1" x14ac:dyDescent="0.25">
      <c r="A14" s="182" t="s">
        <v>164</v>
      </c>
      <c r="B14" s="183">
        <v>0</v>
      </c>
      <c r="C14" s="183">
        <v>524500.77956000005</v>
      </c>
      <c r="D14" s="183">
        <v>109188.86499</v>
      </c>
      <c r="E14" s="183">
        <v>17938.573240000002</v>
      </c>
      <c r="F14" s="184">
        <f t="shared" si="19"/>
        <v>651628.21779000014</v>
      </c>
      <c r="G14" s="183">
        <v>0</v>
      </c>
      <c r="H14" s="183">
        <v>301122.16438999999</v>
      </c>
      <c r="I14" s="183">
        <v>47834.034050000002</v>
      </c>
      <c r="J14" s="183">
        <v>6353.5056999999997</v>
      </c>
      <c r="K14" s="184">
        <f t="shared" si="20"/>
        <v>355309.70413999999</v>
      </c>
      <c r="L14" s="183">
        <v>43156.850860000006</v>
      </c>
      <c r="M14" s="183">
        <v>0</v>
      </c>
      <c r="N14" s="183">
        <v>0</v>
      </c>
      <c r="O14" s="184">
        <f t="shared" si="21"/>
        <v>43156.850860000006</v>
      </c>
      <c r="P14" s="183">
        <v>17627.875</v>
      </c>
      <c r="Q14" s="183">
        <v>0</v>
      </c>
      <c r="R14" s="183">
        <v>0</v>
      </c>
      <c r="S14" s="184">
        <f t="shared" si="22"/>
        <v>17627.875</v>
      </c>
      <c r="T14" s="183">
        <v>0</v>
      </c>
      <c r="U14" s="183">
        <v>549701.01794000005</v>
      </c>
      <c r="V14" s="183">
        <v>118172.89677000001</v>
      </c>
      <c r="W14" s="183">
        <v>19049.51182</v>
      </c>
      <c r="X14" s="184">
        <f t="shared" si="23"/>
        <v>686923.42653000006</v>
      </c>
      <c r="Y14" s="183">
        <v>0</v>
      </c>
      <c r="Z14" s="183">
        <v>314096.43948</v>
      </c>
      <c r="AA14" s="183">
        <v>46429.55975</v>
      </c>
      <c r="AB14" s="183">
        <v>7181.7146400000001</v>
      </c>
      <c r="AC14" s="184">
        <f t="shared" si="24"/>
        <v>367707.71387000004</v>
      </c>
      <c r="AD14" s="184">
        <f t="shared" si="0"/>
        <v>608471.36693000013</v>
      </c>
      <c r="AE14" s="184">
        <f t="shared" si="1"/>
        <v>337681.82913999999</v>
      </c>
      <c r="AF14" s="184">
        <f t="shared" si="25"/>
        <v>55.496749311927381</v>
      </c>
      <c r="AG14" s="185">
        <v>608471</v>
      </c>
      <c r="AH14" s="185">
        <f t="shared" si="26"/>
        <v>-0.36693000013474375</v>
      </c>
      <c r="AI14" s="185">
        <v>337682</v>
      </c>
      <c r="AJ14" s="185">
        <f t="shared" si="27"/>
        <v>0.17086000001290813</v>
      </c>
      <c r="AK14" s="184">
        <f t="shared" si="2"/>
        <v>643766.57567000005</v>
      </c>
      <c r="AL14" s="184">
        <f t="shared" si="3"/>
        <v>350079.83887000004</v>
      </c>
      <c r="AM14" s="184">
        <f t="shared" si="28"/>
        <v>54.379933985490702</v>
      </c>
      <c r="AN14" s="183">
        <v>0</v>
      </c>
      <c r="AO14" s="183">
        <v>409262.54171000002</v>
      </c>
      <c r="AP14" s="183">
        <v>31721.018120000001</v>
      </c>
      <c r="AQ14" s="183">
        <v>11435.83274</v>
      </c>
      <c r="AR14" s="407">
        <f t="shared" si="4"/>
        <v>0</v>
      </c>
      <c r="AS14" s="184">
        <f t="shared" si="29"/>
        <v>452419.39257000003</v>
      </c>
      <c r="AT14" s="183">
        <v>0</v>
      </c>
      <c r="AU14" s="183">
        <v>229457.13592</v>
      </c>
      <c r="AV14" s="183">
        <v>12805.633</v>
      </c>
      <c r="AW14" s="183">
        <v>4822.2420000000002</v>
      </c>
      <c r="AX14" s="186">
        <f t="shared" si="5"/>
        <v>0</v>
      </c>
      <c r="AY14" s="184">
        <f t="shared" si="30"/>
        <v>247085.01092</v>
      </c>
      <c r="AZ14" s="184">
        <f t="shared" si="6"/>
        <v>409262.54171000002</v>
      </c>
      <c r="BA14" s="184">
        <f t="shared" si="7"/>
        <v>229457.13592</v>
      </c>
      <c r="BB14" s="184">
        <f t="shared" si="31"/>
        <v>56.065999825264093</v>
      </c>
      <c r="BC14" s="183">
        <v>0</v>
      </c>
      <c r="BD14" s="183">
        <v>115487.79597000001</v>
      </c>
      <c r="BE14" s="183">
        <v>77977.338579999996</v>
      </c>
      <c r="BF14" s="183">
        <v>7135.4629999999997</v>
      </c>
      <c r="BG14" s="184">
        <f t="shared" si="32"/>
        <v>200600.59755000001</v>
      </c>
      <c r="BH14" s="183">
        <v>0</v>
      </c>
      <c r="BI14" s="183">
        <v>71839.728310000006</v>
      </c>
      <c r="BJ14" s="183">
        <v>35216.112760000004</v>
      </c>
      <c r="BK14" s="183">
        <v>1693.09698</v>
      </c>
      <c r="BL14" s="184">
        <f t="shared" si="33"/>
        <v>108748.93805000001</v>
      </c>
      <c r="BM14" s="187">
        <v>7265.4</v>
      </c>
      <c r="BN14" s="184">
        <f t="shared" si="34"/>
        <v>7265.4</v>
      </c>
      <c r="BO14" s="187">
        <v>3805.4092300000002</v>
      </c>
      <c r="BP14" s="184">
        <f t="shared" si="35"/>
        <v>3805.4092300000002</v>
      </c>
      <c r="BQ14" s="184">
        <f t="shared" si="8"/>
        <v>52.377146887989653</v>
      </c>
      <c r="BR14" s="187">
        <v>2438.0583099999999</v>
      </c>
      <c r="BS14" s="184">
        <f t="shared" si="36"/>
        <v>2438.0583099999999</v>
      </c>
      <c r="BT14" s="327">
        <v>1038.3955000000001</v>
      </c>
      <c r="BU14" s="184">
        <f t="shared" si="37"/>
        <v>1038.3955000000001</v>
      </c>
      <c r="BV14" s="184">
        <f t="shared" si="9"/>
        <v>42.591085526580379</v>
      </c>
      <c r="BW14" s="187">
        <v>22896.9</v>
      </c>
      <c r="BX14" s="184">
        <f t="shared" si="38"/>
        <v>22896.9</v>
      </c>
      <c r="BY14" s="187">
        <v>1690.27782</v>
      </c>
      <c r="BZ14" s="184">
        <f t="shared" si="39"/>
        <v>1690.27782</v>
      </c>
      <c r="CA14" s="187">
        <v>5564.1777599999996</v>
      </c>
      <c r="CB14" s="184">
        <f t="shared" si="40"/>
        <v>5564.1777599999996</v>
      </c>
      <c r="CC14" s="184">
        <f t="shared" si="10"/>
        <v>24.301009132240605</v>
      </c>
      <c r="CD14" s="184">
        <f>CB14-BZ14</f>
        <v>3873.8999399999993</v>
      </c>
      <c r="CE14" s="184">
        <f>CB14/BZ14%-100</f>
        <v>229.18717231940008</v>
      </c>
      <c r="CF14" s="187">
        <v>22972.243009999998</v>
      </c>
      <c r="CG14" s="184">
        <f t="shared" si="43"/>
        <v>22972.243009999998</v>
      </c>
      <c r="CH14" s="187">
        <v>9620.7178299999996</v>
      </c>
      <c r="CI14" s="184">
        <f t="shared" si="44"/>
        <v>9620.7178299999996</v>
      </c>
      <c r="CJ14" s="184">
        <f t="shared" si="11"/>
        <v>41.879749512540087</v>
      </c>
      <c r="CK14" s="184">
        <v>20817.462390000001</v>
      </c>
      <c r="CL14" s="184">
        <v>630.23258999999996</v>
      </c>
      <c r="CM14" s="187">
        <v>9921386.8900000006</v>
      </c>
      <c r="CN14" s="184">
        <f t="shared" si="45"/>
        <v>9921.3868899999998</v>
      </c>
      <c r="CO14" s="187">
        <v>1403600.02</v>
      </c>
      <c r="CP14" s="184">
        <f t="shared" si="46"/>
        <v>1403.6000200000001</v>
      </c>
      <c r="CQ14" s="184">
        <f t="shared" si="12"/>
        <v>-10896.075500000001</v>
      </c>
      <c r="CR14" s="184">
        <f t="shared" si="13"/>
        <v>773.36743000000013</v>
      </c>
      <c r="CS14" s="184">
        <f t="shared" si="14"/>
        <v>-35295.208739999915</v>
      </c>
      <c r="CT14" s="184">
        <f t="shared" si="15"/>
        <v>-12398.009730000049</v>
      </c>
      <c r="CU14" s="184">
        <v>47342.9</v>
      </c>
      <c r="CV14" s="184">
        <v>24100</v>
      </c>
      <c r="CW14" s="184">
        <f t="shared" si="47"/>
        <v>-23242.9</v>
      </c>
      <c r="CX14" s="183">
        <v>0</v>
      </c>
      <c r="CY14" s="183">
        <v>409012.98359000002</v>
      </c>
      <c r="CZ14" s="183">
        <v>31211.526409999999</v>
      </c>
      <c r="DA14" s="183">
        <v>10803.11024</v>
      </c>
      <c r="DB14" s="184">
        <f t="shared" si="48"/>
        <v>451027.62024000002</v>
      </c>
      <c r="DC14" s="183">
        <v>0</v>
      </c>
      <c r="DD14" s="183">
        <v>229282.43608000001</v>
      </c>
      <c r="DE14" s="183">
        <v>12617.92129</v>
      </c>
      <c r="DF14" s="183">
        <v>4660.4087200000004</v>
      </c>
      <c r="DG14" s="184">
        <f t="shared" si="49"/>
        <v>246560.76609000002</v>
      </c>
      <c r="DH14" s="188">
        <f t="shared" si="16"/>
        <v>407870.76938000001</v>
      </c>
      <c r="DI14" s="188">
        <f t="shared" si="17"/>
        <v>228932.89109000002</v>
      </c>
      <c r="DJ14" s="184">
        <f t="shared" si="50"/>
        <v>56.128781044544688</v>
      </c>
      <c r="DK14" s="183">
        <v>122253.42057</v>
      </c>
      <c r="DL14" s="184">
        <f t="shared" si="51"/>
        <v>122253.42057</v>
      </c>
      <c r="DM14" s="183">
        <v>75874.766740000006</v>
      </c>
      <c r="DN14" s="184">
        <f t="shared" si="52"/>
        <v>75874.766740000006</v>
      </c>
      <c r="DO14" s="187">
        <v>404759.09</v>
      </c>
      <c r="DP14" s="184">
        <f t="shared" si="53"/>
        <v>404.75909000000001</v>
      </c>
      <c r="DQ14" s="408">
        <v>548.4</v>
      </c>
      <c r="DR14" s="184">
        <v>460.55504000000002</v>
      </c>
      <c r="DS14" s="184">
        <f t="shared" si="18"/>
        <v>55.795950000000005</v>
      </c>
      <c r="DT14" s="184">
        <v>56594.036139999997</v>
      </c>
      <c r="DU14" s="184">
        <v>33649.094400000002</v>
      </c>
      <c r="DV14" s="184">
        <v>65723.825209999995</v>
      </c>
      <c r="DW14" s="184">
        <v>42579.575680000002</v>
      </c>
      <c r="DX14" s="184">
        <f t="shared" si="54"/>
        <v>9129.7890699999989</v>
      </c>
      <c r="DY14" s="184">
        <f t="shared" si="55"/>
        <v>8930.48128</v>
      </c>
      <c r="DZ14" s="184">
        <v>34143.181960000002</v>
      </c>
      <c r="EA14" s="184">
        <v>8746.0429299999996</v>
      </c>
      <c r="EB14" s="184">
        <v>30026.989750000004</v>
      </c>
      <c r="EC14" s="184">
        <v>10986.74216</v>
      </c>
      <c r="ED14" s="184">
        <f t="shared" si="56"/>
        <v>-4116.1922099999974</v>
      </c>
      <c r="EE14" s="184">
        <f t="shared" si="57"/>
        <v>2240.6992300000002</v>
      </c>
      <c r="EF14" s="184">
        <v>8294.0591299999996</v>
      </c>
      <c r="EG14" s="184">
        <v>8294.0591299999996</v>
      </c>
      <c r="EH14" s="184">
        <v>6021.5870599999998</v>
      </c>
      <c r="EI14" s="184">
        <v>6021.5870599999998</v>
      </c>
      <c r="EJ14" s="184">
        <f t="shared" si="58"/>
        <v>-2272.4720699999998</v>
      </c>
      <c r="EK14" s="184">
        <f t="shared" si="59"/>
        <v>-2272.4720699999998</v>
      </c>
      <c r="EL14" s="184">
        <v>22799.577979999998</v>
      </c>
      <c r="EM14" s="184">
        <v>0</v>
      </c>
      <c r="EN14" s="184">
        <v>21437.831689999999</v>
      </c>
      <c r="EO14" s="184">
        <v>4513.1713</v>
      </c>
      <c r="EP14" s="184">
        <f t="shared" si="60"/>
        <v>-1361.7462899999991</v>
      </c>
      <c r="EQ14" s="184">
        <f t="shared" si="61"/>
        <v>4513.1713</v>
      </c>
      <c r="ER14" s="184">
        <v>0</v>
      </c>
      <c r="ES14" s="184">
        <v>0</v>
      </c>
      <c r="ET14" s="184">
        <v>0</v>
      </c>
      <c r="EU14" s="184">
        <v>0</v>
      </c>
      <c r="EV14" s="184">
        <f t="shared" si="62"/>
        <v>0</v>
      </c>
      <c r="EW14" s="184">
        <f t="shared" si="63"/>
        <v>0</v>
      </c>
      <c r="EX14" s="184">
        <v>0</v>
      </c>
      <c r="EY14" s="184">
        <v>0</v>
      </c>
      <c r="EZ14" s="184">
        <v>0</v>
      </c>
      <c r="FA14" s="184">
        <v>0</v>
      </c>
      <c r="FB14" s="184">
        <f t="shared" si="64"/>
        <v>0</v>
      </c>
      <c r="FC14" s="184">
        <f t="shared" si="65"/>
        <v>0</v>
      </c>
      <c r="FD14" s="184">
        <v>1863.30007</v>
      </c>
      <c r="FE14" s="184">
        <v>4135.77736</v>
      </c>
      <c r="FF14" s="184">
        <f t="shared" si="66"/>
        <v>2272.4772899999998</v>
      </c>
      <c r="FG14" s="184">
        <v>0</v>
      </c>
      <c r="FH14" s="184">
        <v>0</v>
      </c>
      <c r="FI14" s="184">
        <f t="shared" si="67"/>
        <v>0</v>
      </c>
      <c r="FJ14" s="184">
        <v>13.5015</v>
      </c>
      <c r="FK14" s="184">
        <v>13.5015</v>
      </c>
      <c r="FL14" s="184">
        <f t="shared" si="68"/>
        <v>0</v>
      </c>
      <c r="FM14" s="184">
        <v>31058.203450000001</v>
      </c>
      <c r="FN14" s="184">
        <v>35189.969360000003</v>
      </c>
      <c r="FO14" s="184">
        <f t="shared" si="69"/>
        <v>4131.7659100000019</v>
      </c>
      <c r="FP14" s="184">
        <f t="shared" si="70"/>
        <v>13.303299776021007</v>
      </c>
    </row>
    <row r="15" spans="1:172" s="184" customFormat="1" x14ac:dyDescent="0.25">
      <c r="A15" s="182" t="s">
        <v>165</v>
      </c>
      <c r="B15" s="183">
        <v>0</v>
      </c>
      <c r="C15" s="183">
        <v>590383.65677</v>
      </c>
      <c r="D15" s="183">
        <v>0</v>
      </c>
      <c r="E15" s="183">
        <v>49911.819900000002</v>
      </c>
      <c r="F15" s="184">
        <f t="shared" si="19"/>
        <v>640295.47667</v>
      </c>
      <c r="G15" s="183">
        <v>0</v>
      </c>
      <c r="H15" s="183">
        <v>323340.96711000003</v>
      </c>
      <c r="I15" s="183">
        <v>0</v>
      </c>
      <c r="J15" s="183">
        <v>18628.91446</v>
      </c>
      <c r="K15" s="184">
        <f t="shared" si="20"/>
        <v>341969.88157000003</v>
      </c>
      <c r="L15" s="183">
        <v>33987.707260000003</v>
      </c>
      <c r="M15" s="183">
        <v>0</v>
      </c>
      <c r="N15" s="183">
        <v>350</v>
      </c>
      <c r="O15" s="184">
        <f t="shared" si="21"/>
        <v>34337.707260000003</v>
      </c>
      <c r="P15" s="183">
        <v>13307.307000000001</v>
      </c>
      <c r="Q15" s="183">
        <v>0</v>
      </c>
      <c r="R15" s="183">
        <v>100</v>
      </c>
      <c r="S15" s="184">
        <f t="shared" si="22"/>
        <v>13407.307000000001</v>
      </c>
      <c r="T15" s="183">
        <v>0</v>
      </c>
      <c r="U15" s="183">
        <v>599229.57904999994</v>
      </c>
      <c r="V15" s="183">
        <v>0</v>
      </c>
      <c r="W15" s="183">
        <v>51252.856240000001</v>
      </c>
      <c r="X15" s="184">
        <f t="shared" si="23"/>
        <v>650482.43528999994</v>
      </c>
      <c r="Y15" s="183">
        <v>0</v>
      </c>
      <c r="Z15" s="183">
        <v>328232.27327000001</v>
      </c>
      <c r="AA15" s="183">
        <v>0</v>
      </c>
      <c r="AB15" s="183">
        <v>19698.22496</v>
      </c>
      <c r="AC15" s="184">
        <f t="shared" si="24"/>
        <v>347930.49823000003</v>
      </c>
      <c r="AD15" s="184">
        <f t="shared" si="0"/>
        <v>605957.76940999995</v>
      </c>
      <c r="AE15" s="184">
        <f t="shared" si="1"/>
        <v>328562.57457000006</v>
      </c>
      <c r="AF15" s="184">
        <f t="shared" si="25"/>
        <v>54.222025222963978</v>
      </c>
      <c r="AG15" s="185">
        <v>605958</v>
      </c>
      <c r="AH15" s="185">
        <f t="shared" si="26"/>
        <v>0.23059000005014241</v>
      </c>
      <c r="AI15" s="185">
        <v>328563</v>
      </c>
      <c r="AJ15" s="185">
        <f t="shared" si="27"/>
        <v>0.42542999994475394</v>
      </c>
      <c r="AK15" s="184">
        <f t="shared" si="2"/>
        <v>616144.72802999988</v>
      </c>
      <c r="AL15" s="184">
        <f t="shared" si="3"/>
        <v>334523.19123</v>
      </c>
      <c r="AM15" s="184">
        <f t="shared" si="28"/>
        <v>54.292956834925995</v>
      </c>
      <c r="AN15" s="183">
        <v>0</v>
      </c>
      <c r="AO15" s="183">
        <v>505747.46719</v>
      </c>
      <c r="AP15" s="183">
        <v>0</v>
      </c>
      <c r="AQ15" s="183">
        <v>33987.707260000003</v>
      </c>
      <c r="AR15" s="407">
        <f t="shared" si="4"/>
        <v>0</v>
      </c>
      <c r="AS15" s="184">
        <f t="shared" si="29"/>
        <v>539735.17445000005</v>
      </c>
      <c r="AT15" s="183">
        <v>0</v>
      </c>
      <c r="AU15" s="183">
        <v>283531.06741999998</v>
      </c>
      <c r="AV15" s="183">
        <v>0</v>
      </c>
      <c r="AW15" s="183">
        <v>13307.307000000001</v>
      </c>
      <c r="AX15" s="186">
        <f t="shared" si="5"/>
        <v>0</v>
      </c>
      <c r="AY15" s="184">
        <f t="shared" si="30"/>
        <v>296838.37442000001</v>
      </c>
      <c r="AZ15" s="184">
        <f t="shared" si="6"/>
        <v>505397.46719000005</v>
      </c>
      <c r="BA15" s="184">
        <f t="shared" si="7"/>
        <v>283431.06741999998</v>
      </c>
      <c r="BB15" s="184">
        <f t="shared" si="31"/>
        <v>56.080824661799582</v>
      </c>
      <c r="BC15" s="183">
        <v>0</v>
      </c>
      <c r="BD15" s="183">
        <v>84617.657260000007</v>
      </c>
      <c r="BE15" s="183">
        <v>0</v>
      </c>
      <c r="BF15" s="183">
        <v>15572.920400000001</v>
      </c>
      <c r="BG15" s="184">
        <f t="shared" si="32"/>
        <v>100190.57766000001</v>
      </c>
      <c r="BH15" s="183">
        <v>0</v>
      </c>
      <c r="BI15" s="183">
        <v>39791.36737</v>
      </c>
      <c r="BJ15" s="183">
        <v>0</v>
      </c>
      <c r="BK15" s="183">
        <v>4944.21522</v>
      </c>
      <c r="BL15" s="184">
        <f t="shared" si="33"/>
        <v>44735.582589999998</v>
      </c>
      <c r="BM15" s="187">
        <v>10682</v>
      </c>
      <c r="BN15" s="184">
        <f t="shared" si="34"/>
        <v>10682</v>
      </c>
      <c r="BO15" s="187">
        <v>5177.5547800000004</v>
      </c>
      <c r="BP15" s="184">
        <f t="shared" si="35"/>
        <v>5177.5547800000004</v>
      </c>
      <c r="BQ15" s="184">
        <f t="shared" si="8"/>
        <v>48.469900580415661</v>
      </c>
      <c r="BR15" s="187">
        <v>998</v>
      </c>
      <c r="BS15" s="184">
        <f t="shared" si="36"/>
        <v>998</v>
      </c>
      <c r="BT15" s="327">
        <v>874.51125999999999</v>
      </c>
      <c r="BU15" s="184">
        <f t="shared" si="37"/>
        <v>874.51125999999999</v>
      </c>
      <c r="BV15" s="184">
        <f t="shared" si="9"/>
        <v>87.626378757515027</v>
      </c>
      <c r="BW15" s="187">
        <v>9762.0720000000001</v>
      </c>
      <c r="BX15" s="184">
        <f t="shared" si="38"/>
        <v>9762.0720000000001</v>
      </c>
      <c r="BY15" s="187">
        <v>1448.86031</v>
      </c>
      <c r="BZ15" s="184">
        <f t="shared" si="39"/>
        <v>1448.86031</v>
      </c>
      <c r="CA15" s="187">
        <v>2012.46723</v>
      </c>
      <c r="CB15" s="184">
        <f t="shared" si="40"/>
        <v>2012.46723</v>
      </c>
      <c r="CC15" s="184">
        <f t="shared" si="10"/>
        <v>20.615164792884134</v>
      </c>
      <c r="CD15" s="184">
        <f t="shared" si="41"/>
        <v>563.60691999999995</v>
      </c>
      <c r="CE15" s="184">
        <f t="shared" si="42"/>
        <v>38.900017904417581</v>
      </c>
      <c r="CF15" s="187">
        <v>9762.9416399999991</v>
      </c>
      <c r="CG15" s="184">
        <f t="shared" si="43"/>
        <v>9762.9416399999991</v>
      </c>
      <c r="CH15" s="187">
        <v>3411.69</v>
      </c>
      <c r="CI15" s="184">
        <f t="shared" si="44"/>
        <v>3411.69</v>
      </c>
      <c r="CJ15" s="184">
        <f t="shared" si="11"/>
        <v>34.945307734114451</v>
      </c>
      <c r="CK15" s="184">
        <v>13590.038689999999</v>
      </c>
      <c r="CL15" s="184">
        <v>494.46868000000001</v>
      </c>
      <c r="CM15" s="187">
        <v>19587145.41</v>
      </c>
      <c r="CN15" s="184">
        <f t="shared" si="45"/>
        <v>19587.145410000001</v>
      </c>
      <c r="CO15" s="187">
        <v>361897.17</v>
      </c>
      <c r="CP15" s="184">
        <f t="shared" si="46"/>
        <v>361.89716999999996</v>
      </c>
      <c r="CQ15" s="184">
        <f t="shared" si="12"/>
        <v>5997.1067200000016</v>
      </c>
      <c r="CR15" s="184">
        <f t="shared" si="13"/>
        <v>-132.57151000000005</v>
      </c>
      <c r="CS15" s="184">
        <f t="shared" si="14"/>
        <v>-10186.958619999932</v>
      </c>
      <c r="CT15" s="184">
        <f t="shared" si="15"/>
        <v>-5960.6166599999415</v>
      </c>
      <c r="CV15" s="184">
        <v>0</v>
      </c>
      <c r="CW15" s="184">
        <f t="shared" si="47"/>
        <v>0</v>
      </c>
      <c r="CX15" s="183">
        <v>0</v>
      </c>
      <c r="CY15" s="183">
        <v>505765.99950999999</v>
      </c>
      <c r="CZ15" s="183">
        <v>0</v>
      </c>
      <c r="DA15" s="183">
        <v>34338.8995</v>
      </c>
      <c r="DB15" s="184">
        <f t="shared" si="48"/>
        <v>540104.89901000005</v>
      </c>
      <c r="DC15" s="183">
        <v>0</v>
      </c>
      <c r="DD15" s="183">
        <v>283549.59973999998</v>
      </c>
      <c r="DE15" s="183">
        <v>0</v>
      </c>
      <c r="DF15" s="183">
        <v>13684.69924</v>
      </c>
      <c r="DG15" s="184">
        <f t="shared" si="49"/>
        <v>297234.29897999996</v>
      </c>
      <c r="DH15" s="188">
        <f t="shared" si="16"/>
        <v>505767.19175000006</v>
      </c>
      <c r="DI15" s="188">
        <f t="shared" si="17"/>
        <v>283826.99197999993</v>
      </c>
      <c r="DJ15" s="184">
        <f t="shared" si="50"/>
        <v>56.1181105871919</v>
      </c>
      <c r="DK15" s="183">
        <v>51291.91186</v>
      </c>
      <c r="DL15" s="184">
        <f t="shared" si="51"/>
        <v>51291.91186</v>
      </c>
      <c r="DM15" s="183">
        <v>23989.61536</v>
      </c>
      <c r="DN15" s="184">
        <f t="shared" si="52"/>
        <v>23989.61536</v>
      </c>
      <c r="DO15" s="187">
        <v>0</v>
      </c>
      <c r="DP15" s="184">
        <f t="shared" si="53"/>
        <v>0</v>
      </c>
      <c r="DQ15" s="408">
        <v>45</v>
      </c>
      <c r="DR15" s="184">
        <v>0</v>
      </c>
      <c r="DS15" s="184">
        <f t="shared" si="18"/>
        <v>0</v>
      </c>
      <c r="DT15" s="184">
        <v>13738.57223</v>
      </c>
      <c r="DU15" s="184">
        <v>5567.6757600000001</v>
      </c>
      <c r="DV15" s="184">
        <v>13331.690850000001</v>
      </c>
      <c r="DW15" s="184">
        <v>7612.9223400000001</v>
      </c>
      <c r="DX15" s="184">
        <f t="shared" si="54"/>
        <v>-406.8813799999989</v>
      </c>
      <c r="DY15" s="184">
        <f t="shared" si="55"/>
        <v>2045.24658</v>
      </c>
      <c r="DZ15" s="184">
        <v>5089.0628799999995</v>
      </c>
      <c r="EA15" s="184">
        <v>2939.1760100000001</v>
      </c>
      <c r="EB15" s="184">
        <v>8488.8502399999998</v>
      </c>
      <c r="EC15" s="184">
        <v>1952.18308</v>
      </c>
      <c r="ED15" s="184">
        <f t="shared" si="56"/>
        <v>3399.7873600000003</v>
      </c>
      <c r="EE15" s="184">
        <f t="shared" si="57"/>
        <v>-986.99293000000011</v>
      </c>
      <c r="EF15" s="184">
        <v>2919.6668100000002</v>
      </c>
      <c r="EG15" s="184">
        <v>2915.6668100000002</v>
      </c>
      <c r="EH15" s="184">
        <v>1990.06629</v>
      </c>
      <c r="EI15" s="184">
        <v>1952.18308</v>
      </c>
      <c r="EJ15" s="184">
        <f t="shared" si="58"/>
        <v>-929.60052000000019</v>
      </c>
      <c r="EK15" s="184">
        <f t="shared" si="59"/>
        <v>-963.48373000000015</v>
      </c>
      <c r="EL15" s="184">
        <v>385.96625</v>
      </c>
      <c r="EM15" s="184">
        <v>23.5092</v>
      </c>
      <c r="EN15" s="184">
        <v>571.55071999999996</v>
      </c>
      <c r="EO15" s="184">
        <v>0</v>
      </c>
      <c r="EP15" s="184">
        <f t="shared" si="60"/>
        <v>185.58446999999995</v>
      </c>
      <c r="EQ15" s="184">
        <f t="shared" si="61"/>
        <v>-23.5092</v>
      </c>
      <c r="ER15" s="184">
        <v>0</v>
      </c>
      <c r="ES15" s="184">
        <v>0</v>
      </c>
      <c r="ET15" s="184">
        <v>0</v>
      </c>
      <c r="EU15" s="184">
        <v>0</v>
      </c>
      <c r="EV15" s="184">
        <f t="shared" si="62"/>
        <v>0</v>
      </c>
      <c r="EW15" s="184">
        <f t="shared" si="63"/>
        <v>0</v>
      </c>
      <c r="EX15" s="184">
        <v>180.9487</v>
      </c>
      <c r="EY15" s="184">
        <v>0</v>
      </c>
      <c r="EZ15" s="184">
        <v>0</v>
      </c>
      <c r="FA15" s="184">
        <v>0</v>
      </c>
      <c r="FB15" s="184">
        <f t="shared" si="64"/>
        <v>-180.9487</v>
      </c>
      <c r="FC15" s="184">
        <f t="shared" si="65"/>
        <v>0</v>
      </c>
      <c r="FD15" s="184">
        <v>928.67012999999997</v>
      </c>
      <c r="FE15" s="184">
        <v>756.34798000000001</v>
      </c>
      <c r="FF15" s="184">
        <f t="shared" si="66"/>
        <v>-172.32214999999997</v>
      </c>
      <c r="FG15" s="184">
        <v>4595.3436000000002</v>
      </c>
      <c r="FH15" s="184">
        <v>6725.3005499999999</v>
      </c>
      <c r="FI15" s="184">
        <f t="shared" si="67"/>
        <v>2129.9569499999998</v>
      </c>
      <c r="FJ15" s="184">
        <v>0</v>
      </c>
      <c r="FK15" s="184">
        <v>0</v>
      </c>
      <c r="FL15" s="184">
        <f t="shared" si="68"/>
        <v>0</v>
      </c>
      <c r="FM15" s="184">
        <v>23.168030000000002</v>
      </c>
      <c r="FN15" s="184">
        <v>3.3</v>
      </c>
      <c r="FO15" s="184">
        <f t="shared" si="69"/>
        <v>-19.868030000000001</v>
      </c>
      <c r="FP15" s="184">
        <f t="shared" si="70"/>
        <v>-85.756233913716443</v>
      </c>
    </row>
    <row r="16" spans="1:172" s="184" customFormat="1" x14ac:dyDescent="0.25">
      <c r="A16" s="182" t="s">
        <v>166</v>
      </c>
      <c r="B16" s="183">
        <v>0</v>
      </c>
      <c r="C16" s="183">
        <v>553937.97557999997</v>
      </c>
      <c r="D16" s="183">
        <v>36549.09734</v>
      </c>
      <c r="E16" s="183">
        <v>15359.570089999999</v>
      </c>
      <c r="F16" s="184">
        <f t="shared" si="19"/>
        <v>605846.64301</v>
      </c>
      <c r="G16" s="183">
        <v>0</v>
      </c>
      <c r="H16" s="183">
        <v>315965.70646999998</v>
      </c>
      <c r="I16" s="183">
        <v>19802.30991</v>
      </c>
      <c r="J16" s="183">
        <v>6016.5905400000001</v>
      </c>
      <c r="K16" s="184">
        <f t="shared" si="20"/>
        <v>341784.60691999999</v>
      </c>
      <c r="L16" s="183">
        <v>16435.027430000002</v>
      </c>
      <c r="M16" s="183">
        <v>0</v>
      </c>
      <c r="N16" s="183">
        <v>465.3</v>
      </c>
      <c r="O16" s="184">
        <f t="shared" si="21"/>
        <v>16900.327430000001</v>
      </c>
      <c r="P16" s="183">
        <v>5911.5464300000003</v>
      </c>
      <c r="Q16" s="183">
        <v>0</v>
      </c>
      <c r="R16" s="183">
        <v>136</v>
      </c>
      <c r="S16" s="184">
        <f t="shared" si="22"/>
        <v>6047.5464300000003</v>
      </c>
      <c r="T16" s="183">
        <v>0</v>
      </c>
      <c r="U16" s="183">
        <v>563050.33640000003</v>
      </c>
      <c r="V16" s="183">
        <v>42921.791270000002</v>
      </c>
      <c r="W16" s="183">
        <v>15409.419680000001</v>
      </c>
      <c r="X16" s="184">
        <f t="shared" si="23"/>
        <v>621381.54735000012</v>
      </c>
      <c r="Y16" s="183">
        <v>0</v>
      </c>
      <c r="Z16" s="183">
        <v>315197.03568999999</v>
      </c>
      <c r="AA16" s="183">
        <v>16200.603220000001</v>
      </c>
      <c r="AB16" s="183">
        <v>5628.9200099999998</v>
      </c>
      <c r="AC16" s="184">
        <f t="shared" si="24"/>
        <v>337026.55891999998</v>
      </c>
      <c r="AD16" s="184">
        <f t="shared" si="0"/>
        <v>588946.31558000005</v>
      </c>
      <c r="AE16" s="184">
        <f t="shared" si="1"/>
        <v>335737.06049</v>
      </c>
      <c r="AF16" s="184">
        <f t="shared" si="25"/>
        <v>57.006394574242798</v>
      </c>
      <c r="AG16" s="185">
        <v>588946</v>
      </c>
      <c r="AH16" s="185">
        <f t="shared" si="26"/>
        <v>-0.31558000005315989</v>
      </c>
      <c r="AI16" s="185">
        <v>335737</v>
      </c>
      <c r="AJ16" s="185">
        <f t="shared" si="27"/>
        <v>-6.0490000003483146E-2</v>
      </c>
      <c r="AK16" s="184">
        <f t="shared" si="2"/>
        <v>604481.21992000018</v>
      </c>
      <c r="AL16" s="184">
        <f t="shared" si="3"/>
        <v>330979.01248999999</v>
      </c>
      <c r="AM16" s="184">
        <f t="shared" si="28"/>
        <v>54.754225868886927</v>
      </c>
      <c r="AN16" s="183">
        <v>0</v>
      </c>
      <c r="AO16" s="183">
        <v>451467.27558000002</v>
      </c>
      <c r="AP16" s="183">
        <v>8796.9973399999999</v>
      </c>
      <c r="AQ16" s="183">
        <v>7638.0300900000002</v>
      </c>
      <c r="AR16" s="407">
        <f t="shared" si="4"/>
        <v>0</v>
      </c>
      <c r="AS16" s="184">
        <f t="shared" si="29"/>
        <v>467902.30301000003</v>
      </c>
      <c r="AT16" s="183">
        <v>0</v>
      </c>
      <c r="AU16" s="183">
        <v>256143.15536999999</v>
      </c>
      <c r="AV16" s="183">
        <v>2556.7600000000002</v>
      </c>
      <c r="AW16" s="183">
        <v>3354.7864300000001</v>
      </c>
      <c r="AX16" s="186">
        <f t="shared" si="5"/>
        <v>0</v>
      </c>
      <c r="AY16" s="184">
        <f t="shared" si="30"/>
        <v>262054.70180000001</v>
      </c>
      <c r="AZ16" s="184">
        <f t="shared" si="6"/>
        <v>451001.97558000003</v>
      </c>
      <c r="BA16" s="184">
        <f t="shared" si="7"/>
        <v>256007.15537000002</v>
      </c>
      <c r="BB16" s="184">
        <f t="shared" si="31"/>
        <v>56.764087350342159</v>
      </c>
      <c r="BC16" s="183">
        <v>0</v>
      </c>
      <c r="BD16" s="183">
        <v>102145.7</v>
      </c>
      <c r="BE16" s="183">
        <v>27752.1</v>
      </c>
      <c r="BF16" s="183">
        <v>7712.34</v>
      </c>
      <c r="BG16" s="184">
        <f t="shared" si="32"/>
        <v>137610.13999999998</v>
      </c>
      <c r="BH16" s="183">
        <v>0</v>
      </c>
      <c r="BI16" s="183">
        <v>59567.051099999997</v>
      </c>
      <c r="BJ16" s="183">
        <v>17245.549910000002</v>
      </c>
      <c r="BK16" s="183">
        <v>2653.9591099999998</v>
      </c>
      <c r="BL16" s="184">
        <f t="shared" si="33"/>
        <v>79466.560119999995</v>
      </c>
      <c r="BM16" s="187">
        <v>9390</v>
      </c>
      <c r="BN16" s="184">
        <f t="shared" si="34"/>
        <v>9390</v>
      </c>
      <c r="BO16" s="187">
        <v>4281.5264299999999</v>
      </c>
      <c r="BP16" s="184">
        <f t="shared" si="35"/>
        <v>4281.5264299999999</v>
      </c>
      <c r="BQ16" s="184">
        <f t="shared" si="8"/>
        <v>45.596660596379124</v>
      </c>
      <c r="BR16" s="187">
        <v>1293</v>
      </c>
      <c r="BS16" s="184">
        <f t="shared" si="36"/>
        <v>1293</v>
      </c>
      <c r="BT16" s="327">
        <v>343.00227000000001</v>
      </c>
      <c r="BU16" s="184">
        <f t="shared" si="37"/>
        <v>343.00227000000001</v>
      </c>
      <c r="BV16" s="184">
        <f t="shared" si="9"/>
        <v>26.52763109048724</v>
      </c>
      <c r="BW16" s="187">
        <v>9753</v>
      </c>
      <c r="BX16" s="184">
        <f t="shared" si="38"/>
        <v>9753</v>
      </c>
      <c r="BY16" s="187">
        <v>1757.7474</v>
      </c>
      <c r="BZ16" s="184">
        <f t="shared" si="39"/>
        <v>1757.7474</v>
      </c>
      <c r="CA16" s="187">
        <v>2296.3863099999999</v>
      </c>
      <c r="CB16" s="184">
        <f t="shared" si="40"/>
        <v>2296.3863099999999</v>
      </c>
      <c r="CC16" s="184">
        <f t="shared" si="10"/>
        <v>23.545435353224647</v>
      </c>
      <c r="CD16" s="184">
        <f t="shared" si="41"/>
        <v>538.6389099999999</v>
      </c>
      <c r="CE16" s="184">
        <f t="shared" si="42"/>
        <v>30.643703981584622</v>
      </c>
      <c r="CF16" s="187">
        <v>14278.5</v>
      </c>
      <c r="CG16" s="184">
        <f t="shared" si="43"/>
        <v>14278.5</v>
      </c>
      <c r="CH16" s="187">
        <v>10731.53636</v>
      </c>
      <c r="CI16" s="184">
        <f t="shared" si="44"/>
        <v>10731.53636</v>
      </c>
      <c r="CJ16" s="184">
        <f t="shared" si="11"/>
        <v>75.158709668382542</v>
      </c>
      <c r="CK16" s="184">
        <v>8159.2236000000003</v>
      </c>
      <c r="CL16" s="184">
        <v>100</v>
      </c>
      <c r="CM16" s="187">
        <v>45100553.460000001</v>
      </c>
      <c r="CN16" s="184">
        <f t="shared" si="45"/>
        <v>45100.553460000003</v>
      </c>
      <c r="CO16" s="187">
        <v>183062.96</v>
      </c>
      <c r="CP16" s="184">
        <f t="shared" si="46"/>
        <v>183.06296</v>
      </c>
      <c r="CQ16" s="184">
        <f t="shared" si="12"/>
        <v>36941.329860000005</v>
      </c>
      <c r="CR16" s="184">
        <f t="shared" si="13"/>
        <v>83.062960000000004</v>
      </c>
      <c r="CS16" s="184">
        <f t="shared" si="14"/>
        <v>-15534.904340000125</v>
      </c>
      <c r="CT16" s="184">
        <f t="shared" si="15"/>
        <v>4758.0480000000098</v>
      </c>
      <c r="CU16" s="184">
        <v>18144.099999999999</v>
      </c>
      <c r="CV16" s="184">
        <v>19041.8</v>
      </c>
      <c r="CW16" s="184">
        <f t="shared" si="47"/>
        <v>897.70000000000073</v>
      </c>
      <c r="CX16" s="183">
        <v>0</v>
      </c>
      <c r="CY16" s="183">
        <v>451792.27558000002</v>
      </c>
      <c r="CZ16" s="183">
        <v>8796.9973399999999</v>
      </c>
      <c r="DA16" s="183">
        <v>7647.23009</v>
      </c>
      <c r="DB16" s="184">
        <f t="shared" si="48"/>
        <v>468236.50301000004</v>
      </c>
      <c r="DC16" s="183">
        <v>0</v>
      </c>
      <c r="DD16" s="183">
        <v>256398.65536999999</v>
      </c>
      <c r="DE16" s="183">
        <v>2556.7600000000002</v>
      </c>
      <c r="DF16" s="183">
        <v>3362.6314299999999</v>
      </c>
      <c r="DG16" s="184">
        <f t="shared" si="49"/>
        <v>262318.04680000001</v>
      </c>
      <c r="DH16" s="188">
        <f t="shared" si="16"/>
        <v>451336.17558000004</v>
      </c>
      <c r="DI16" s="188">
        <f t="shared" si="17"/>
        <v>256270.50037000002</v>
      </c>
      <c r="DJ16" s="184">
        <f t="shared" si="50"/>
        <v>56.780403219545533</v>
      </c>
      <c r="DK16" s="183">
        <v>92426.9</v>
      </c>
      <c r="DL16" s="184">
        <f t="shared" si="51"/>
        <v>92426.9</v>
      </c>
      <c r="DM16" s="183">
        <v>56524.775430000002</v>
      </c>
      <c r="DN16" s="184">
        <f t="shared" si="52"/>
        <v>56524.775430000002</v>
      </c>
      <c r="DO16" s="187">
        <v>23489</v>
      </c>
      <c r="DP16" s="184">
        <f t="shared" si="53"/>
        <v>23.489000000000001</v>
      </c>
      <c r="DQ16" s="408">
        <v>25</v>
      </c>
      <c r="DR16" s="184">
        <v>9.3740000000000006</v>
      </c>
      <c r="DS16" s="184">
        <f t="shared" si="18"/>
        <v>-14.115</v>
      </c>
      <c r="DT16" s="184">
        <v>25046.990040000001</v>
      </c>
      <c r="DU16" s="184">
        <v>19028.30759</v>
      </c>
      <c r="DV16" s="184">
        <v>24494.05183</v>
      </c>
      <c r="DW16" s="184">
        <v>16777.544010000001</v>
      </c>
      <c r="DX16" s="184">
        <f t="shared" si="54"/>
        <v>-552.93821000000025</v>
      </c>
      <c r="DY16" s="184">
        <f t="shared" si="55"/>
        <v>-2250.7635799999989</v>
      </c>
      <c r="DZ16" s="184">
        <v>7603.0048800000004</v>
      </c>
      <c r="EA16" s="184">
        <v>1677.48486</v>
      </c>
      <c r="EB16" s="184">
        <v>6584.6679400000003</v>
      </c>
      <c r="EC16" s="184">
        <v>578.50193999999999</v>
      </c>
      <c r="ED16" s="184">
        <f t="shared" si="56"/>
        <v>-1018.3369400000001</v>
      </c>
      <c r="EE16" s="184">
        <f t="shared" si="57"/>
        <v>-1098.9829199999999</v>
      </c>
      <c r="EF16" s="184">
        <v>1531.2927999999999</v>
      </c>
      <c r="EG16" s="184">
        <v>928.54513999999995</v>
      </c>
      <c r="EH16" s="184">
        <v>1083.84169</v>
      </c>
      <c r="EI16" s="184">
        <v>574.39994000000002</v>
      </c>
      <c r="EJ16" s="184">
        <f t="shared" si="58"/>
        <v>-447.45110999999997</v>
      </c>
      <c r="EK16" s="184">
        <f t="shared" si="59"/>
        <v>-354.14519999999993</v>
      </c>
      <c r="EL16" s="184">
        <v>5565.8774299999995</v>
      </c>
      <c r="EM16" s="184">
        <v>747.93971999999997</v>
      </c>
      <c r="EN16" s="184">
        <v>4894.1805299999996</v>
      </c>
      <c r="EO16" s="184">
        <v>3.1019999999999999</v>
      </c>
      <c r="EP16" s="184">
        <f t="shared" si="60"/>
        <v>-671.69689999999991</v>
      </c>
      <c r="EQ16" s="184">
        <f t="shared" si="61"/>
        <v>-744.83771999999999</v>
      </c>
      <c r="ER16" s="184">
        <v>32.367609999999999</v>
      </c>
      <c r="ES16" s="184">
        <v>1</v>
      </c>
      <c r="ET16" s="184">
        <v>32.367609999999999</v>
      </c>
      <c r="EU16" s="184">
        <v>1</v>
      </c>
      <c r="EV16" s="184">
        <f t="shared" si="62"/>
        <v>0</v>
      </c>
      <c r="EW16" s="184">
        <f t="shared" si="63"/>
        <v>0</v>
      </c>
      <c r="EX16" s="184">
        <v>0</v>
      </c>
      <c r="EY16" s="184">
        <v>0</v>
      </c>
      <c r="EZ16" s="184">
        <v>0</v>
      </c>
      <c r="FA16" s="184">
        <v>0</v>
      </c>
      <c r="FB16" s="184">
        <f t="shared" si="64"/>
        <v>0</v>
      </c>
      <c r="FC16" s="184">
        <f t="shared" si="65"/>
        <v>0</v>
      </c>
      <c r="FD16" s="184">
        <v>19028.30759</v>
      </c>
      <c r="FE16" s="416">
        <v>16645.477159999999</v>
      </c>
      <c r="FF16" s="184">
        <f t="shared" si="66"/>
        <v>-2382.8304300000018</v>
      </c>
      <c r="FG16" s="184">
        <v>0</v>
      </c>
      <c r="FH16" s="184">
        <v>0</v>
      </c>
      <c r="FI16" s="184">
        <f t="shared" si="67"/>
        <v>0</v>
      </c>
      <c r="FJ16" s="184">
        <v>0</v>
      </c>
      <c r="FK16" s="184">
        <v>0</v>
      </c>
      <c r="FL16" s="184">
        <f t="shared" si="68"/>
        <v>0</v>
      </c>
      <c r="FM16" s="184">
        <v>0</v>
      </c>
      <c r="FN16" s="184">
        <v>0</v>
      </c>
      <c r="FO16" s="184">
        <f t="shared" si="69"/>
        <v>0</v>
      </c>
      <c r="FP16" s="184" t="e">
        <f t="shared" si="70"/>
        <v>#DIV/0!</v>
      </c>
    </row>
    <row r="17" spans="1:172" s="184" customFormat="1" x14ac:dyDescent="0.25">
      <c r="A17" s="182" t="s">
        <v>167</v>
      </c>
      <c r="B17" s="183">
        <v>0</v>
      </c>
      <c r="C17" s="183">
        <v>393672.62248999998</v>
      </c>
      <c r="D17" s="183">
        <v>0</v>
      </c>
      <c r="E17" s="183">
        <v>38147.676590000003</v>
      </c>
      <c r="F17" s="184">
        <f t="shared" si="19"/>
        <v>431820.29907999997</v>
      </c>
      <c r="G17" s="183">
        <v>0</v>
      </c>
      <c r="H17" s="183">
        <v>215729.95319</v>
      </c>
      <c r="I17" s="183">
        <v>0</v>
      </c>
      <c r="J17" s="183">
        <v>17757.699540000001</v>
      </c>
      <c r="K17" s="184">
        <f t="shared" si="20"/>
        <v>233487.65273</v>
      </c>
      <c r="L17" s="183">
        <v>31912.74293</v>
      </c>
      <c r="M17" s="183">
        <v>0</v>
      </c>
      <c r="N17" s="183">
        <v>3224</v>
      </c>
      <c r="O17" s="184">
        <f t="shared" si="21"/>
        <v>35136.74293</v>
      </c>
      <c r="P17" s="183">
        <v>13972.974999999999</v>
      </c>
      <c r="Q17" s="183">
        <v>0</v>
      </c>
      <c r="R17" s="183">
        <v>1552.5</v>
      </c>
      <c r="S17" s="184">
        <f t="shared" si="22"/>
        <v>15525.474999999999</v>
      </c>
      <c r="T17" s="183">
        <v>0</v>
      </c>
      <c r="U17" s="183">
        <v>399915.82156000001</v>
      </c>
      <c r="V17" s="183">
        <v>0</v>
      </c>
      <c r="W17" s="183">
        <v>39721.458200000001</v>
      </c>
      <c r="X17" s="184">
        <f t="shared" si="23"/>
        <v>439637.27976</v>
      </c>
      <c r="Y17" s="183">
        <v>0</v>
      </c>
      <c r="Z17" s="183">
        <v>232421.20551</v>
      </c>
      <c r="AA17" s="183">
        <v>0</v>
      </c>
      <c r="AB17" s="183">
        <v>16365.343150000001</v>
      </c>
      <c r="AC17" s="184">
        <f t="shared" si="24"/>
        <v>248786.54866</v>
      </c>
      <c r="AD17" s="184">
        <f t="shared" si="0"/>
        <v>396683.55614999996</v>
      </c>
      <c r="AE17" s="184">
        <f t="shared" si="1"/>
        <v>217962.17773</v>
      </c>
      <c r="AF17" s="184">
        <f t="shared" si="25"/>
        <v>54.946108642723992</v>
      </c>
      <c r="AG17" s="185">
        <v>396684</v>
      </c>
      <c r="AH17" s="185">
        <f t="shared" si="26"/>
        <v>0.44385000003967434</v>
      </c>
      <c r="AI17" s="185">
        <v>217962</v>
      </c>
      <c r="AJ17" s="185">
        <f t="shared" si="27"/>
        <v>-0.17772999999579042</v>
      </c>
      <c r="AK17" s="184">
        <f t="shared" si="2"/>
        <v>404500.53683</v>
      </c>
      <c r="AL17" s="184">
        <f t="shared" si="3"/>
        <v>233261.07365999999</v>
      </c>
      <c r="AM17" s="184">
        <f t="shared" si="28"/>
        <v>57.666443532566419</v>
      </c>
      <c r="AN17" s="183">
        <v>0</v>
      </c>
      <c r="AO17" s="183">
        <v>347156.05278000003</v>
      </c>
      <c r="AP17" s="183">
        <v>0</v>
      </c>
      <c r="AQ17" s="183">
        <v>31912.74293</v>
      </c>
      <c r="AR17" s="407">
        <f t="shared" si="4"/>
        <v>0</v>
      </c>
      <c r="AS17" s="184">
        <f t="shared" si="29"/>
        <v>379068.79571000003</v>
      </c>
      <c r="AT17" s="183">
        <v>0</v>
      </c>
      <c r="AU17" s="183">
        <v>194222.20746000001</v>
      </c>
      <c r="AV17" s="183">
        <v>0</v>
      </c>
      <c r="AW17" s="183">
        <v>13972.975</v>
      </c>
      <c r="AX17" s="186">
        <f t="shared" si="5"/>
        <v>0</v>
      </c>
      <c r="AY17" s="184">
        <f t="shared" si="30"/>
        <v>208195.18246000001</v>
      </c>
      <c r="AZ17" s="184">
        <f t="shared" si="6"/>
        <v>343932.05278000003</v>
      </c>
      <c r="BA17" s="184">
        <f t="shared" si="7"/>
        <v>192669.70746000001</v>
      </c>
      <c r="BB17" s="184">
        <f t="shared" si="31"/>
        <v>56.019700956236065</v>
      </c>
      <c r="BC17" s="183">
        <v>0</v>
      </c>
      <c r="BD17" s="183">
        <v>46479.5</v>
      </c>
      <c r="BE17" s="183">
        <v>0</v>
      </c>
      <c r="BF17" s="183">
        <v>6272.0033700000004</v>
      </c>
      <c r="BG17" s="184">
        <f t="shared" si="32"/>
        <v>52751.503369999999</v>
      </c>
      <c r="BH17" s="183">
        <v>0</v>
      </c>
      <c r="BI17" s="183">
        <v>21470.676019999999</v>
      </c>
      <c r="BJ17" s="183">
        <v>0</v>
      </c>
      <c r="BK17" s="183">
        <v>3821.7942499999999</v>
      </c>
      <c r="BL17" s="184">
        <f t="shared" si="33"/>
        <v>25292.470269999998</v>
      </c>
      <c r="BM17" s="187">
        <v>3082</v>
      </c>
      <c r="BN17" s="184">
        <f t="shared" si="34"/>
        <v>3082</v>
      </c>
      <c r="BO17" s="187">
        <v>1547.50891</v>
      </c>
      <c r="BP17" s="184">
        <f t="shared" si="35"/>
        <v>1547.50891</v>
      </c>
      <c r="BQ17" s="184">
        <f t="shared" si="8"/>
        <v>50.211191109669045</v>
      </c>
      <c r="BR17" s="187">
        <v>2438</v>
      </c>
      <c r="BS17" s="184">
        <f t="shared" si="36"/>
        <v>2438</v>
      </c>
      <c r="BT17" s="327">
        <v>127.46165999999999</v>
      </c>
      <c r="BU17" s="184">
        <f t="shared" si="37"/>
        <v>127.46165999999999</v>
      </c>
      <c r="BV17" s="184">
        <f t="shared" si="9"/>
        <v>5.2281238720262513</v>
      </c>
      <c r="BW17" s="187">
        <v>1168</v>
      </c>
      <c r="BX17" s="184">
        <f t="shared" si="38"/>
        <v>1168</v>
      </c>
      <c r="BY17" s="187">
        <v>675.53268999999989</v>
      </c>
      <c r="BZ17" s="184">
        <f t="shared" si="39"/>
        <v>675.53268999999989</v>
      </c>
      <c r="CA17" s="187">
        <v>709.93451000000005</v>
      </c>
      <c r="CB17" s="184">
        <f t="shared" si="40"/>
        <v>709.93451000000005</v>
      </c>
      <c r="CC17" s="184">
        <f t="shared" si="10"/>
        <v>60.78206421232877</v>
      </c>
      <c r="CD17" s="184">
        <f t="shared" si="41"/>
        <v>34.401820000000157</v>
      </c>
      <c r="CE17" s="184">
        <f t="shared" si="42"/>
        <v>5.0925470386932972</v>
      </c>
      <c r="CF17" s="187">
        <v>9722</v>
      </c>
      <c r="CG17" s="184">
        <f t="shared" si="43"/>
        <v>9722</v>
      </c>
      <c r="CH17" s="187">
        <v>4256.70309</v>
      </c>
      <c r="CI17" s="184">
        <f t="shared" si="44"/>
        <v>4256.70309</v>
      </c>
      <c r="CJ17" s="184">
        <f t="shared" si="11"/>
        <v>43.784232565315776</v>
      </c>
      <c r="CK17" s="184">
        <v>5616.9806799999997</v>
      </c>
      <c r="CL17" s="184">
        <v>1223.8128000000002</v>
      </c>
      <c r="CM17" s="187">
        <v>16170657.859999999</v>
      </c>
      <c r="CN17" s="184">
        <f t="shared" si="45"/>
        <v>16170.657859999999</v>
      </c>
      <c r="CO17" s="187">
        <v>2015053.19</v>
      </c>
      <c r="CP17" s="184">
        <f t="shared" si="46"/>
        <v>2015.0531899999999</v>
      </c>
      <c r="CQ17" s="184">
        <f t="shared" si="12"/>
        <v>10553.677179999999</v>
      </c>
      <c r="CR17" s="184">
        <f t="shared" si="13"/>
        <v>791.24038999999971</v>
      </c>
      <c r="CS17" s="184">
        <f t="shared" si="14"/>
        <v>-7816.980680000037</v>
      </c>
      <c r="CT17" s="184">
        <f t="shared" si="15"/>
        <v>-15298.895929999999</v>
      </c>
      <c r="CU17" s="184">
        <v>8300</v>
      </c>
      <c r="CV17" s="184">
        <v>15320</v>
      </c>
      <c r="CW17" s="184">
        <f t="shared" si="47"/>
        <v>7020</v>
      </c>
      <c r="CX17" s="183">
        <v>0</v>
      </c>
      <c r="CY17" s="183">
        <v>347193.12248999998</v>
      </c>
      <c r="CZ17" s="183">
        <v>0</v>
      </c>
      <c r="DA17" s="183">
        <v>31875.673220000001</v>
      </c>
      <c r="DB17" s="184">
        <f t="shared" si="48"/>
        <v>379068.79570999998</v>
      </c>
      <c r="DC17" s="183">
        <v>0</v>
      </c>
      <c r="DD17" s="183">
        <v>194259.27716999999</v>
      </c>
      <c r="DE17" s="183">
        <v>0</v>
      </c>
      <c r="DF17" s="183">
        <v>13935.905290000001</v>
      </c>
      <c r="DG17" s="184">
        <f t="shared" si="49"/>
        <v>208195.18245999998</v>
      </c>
      <c r="DH17" s="188">
        <f t="shared" si="16"/>
        <v>343932.05277999997</v>
      </c>
      <c r="DI17" s="188">
        <f t="shared" si="17"/>
        <v>192669.70745999998</v>
      </c>
      <c r="DJ17" s="184">
        <f t="shared" si="50"/>
        <v>56.019700956236072</v>
      </c>
      <c r="DK17" s="183">
        <v>29429.1</v>
      </c>
      <c r="DL17" s="184">
        <f t="shared" si="51"/>
        <v>29429.1</v>
      </c>
      <c r="DM17" s="183">
        <v>15317.40201</v>
      </c>
      <c r="DN17" s="184">
        <f t="shared" si="52"/>
        <v>15317.40201</v>
      </c>
      <c r="DO17" s="187">
        <v>0</v>
      </c>
      <c r="DP17" s="184">
        <f t="shared" si="53"/>
        <v>0</v>
      </c>
      <c r="DQ17" s="408">
        <v>0</v>
      </c>
      <c r="DR17" s="184">
        <v>0</v>
      </c>
      <c r="DS17" s="184">
        <f t="shared" si="18"/>
        <v>0</v>
      </c>
      <c r="DT17" s="184">
        <v>6362.7908500000003</v>
      </c>
      <c r="DU17" s="184">
        <v>1901.8915300000001</v>
      </c>
      <c r="DV17" s="184">
        <v>8109.8684700000003</v>
      </c>
      <c r="DW17" s="184">
        <v>1892.33716</v>
      </c>
      <c r="DX17" s="184">
        <f t="shared" si="54"/>
        <v>1747.07762</v>
      </c>
      <c r="DY17" s="184">
        <f t="shared" si="55"/>
        <v>-9.5543700000000626</v>
      </c>
      <c r="DZ17" s="184">
        <v>5385.6218600000002</v>
      </c>
      <c r="EA17" s="184">
        <v>2814.0549299999998</v>
      </c>
      <c r="EB17" s="184">
        <v>5810.9439499999999</v>
      </c>
      <c r="EC17" s="184">
        <v>98.190349999999995</v>
      </c>
      <c r="ED17" s="184">
        <f t="shared" si="56"/>
        <v>425.32208999999966</v>
      </c>
      <c r="EE17" s="184">
        <f t="shared" si="57"/>
        <v>-2715.8645799999999</v>
      </c>
      <c r="EF17" s="184">
        <v>642.13486</v>
      </c>
      <c r="EG17" s="184">
        <v>642.13486</v>
      </c>
      <c r="EH17" s="184">
        <v>134.77551</v>
      </c>
      <c r="EI17" s="184">
        <v>98.190349999999995</v>
      </c>
      <c r="EJ17" s="184">
        <f t="shared" si="58"/>
        <v>-507.35935000000001</v>
      </c>
      <c r="EK17" s="184">
        <f t="shared" si="59"/>
        <v>-543.94451000000004</v>
      </c>
      <c r="EL17" s="184">
        <v>3943.6026099999999</v>
      </c>
      <c r="EM17" s="184">
        <v>2171.9200700000001</v>
      </c>
      <c r="EN17" s="184">
        <v>4487.5717599999998</v>
      </c>
      <c r="EO17" s="184">
        <v>0</v>
      </c>
      <c r="EP17" s="184">
        <f t="shared" si="60"/>
        <v>543.9691499999999</v>
      </c>
      <c r="EQ17" s="184">
        <f t="shared" si="61"/>
        <v>-2171.9200700000001</v>
      </c>
      <c r="ER17" s="184">
        <v>0</v>
      </c>
      <c r="ES17" s="184">
        <v>0</v>
      </c>
      <c r="ET17" s="184">
        <v>0</v>
      </c>
      <c r="EU17" s="184">
        <v>0</v>
      </c>
      <c r="EV17" s="184">
        <f t="shared" si="62"/>
        <v>0</v>
      </c>
      <c r="EW17" s="184">
        <f t="shared" si="63"/>
        <v>0</v>
      </c>
      <c r="EX17" s="184">
        <v>0</v>
      </c>
      <c r="EY17" s="184">
        <v>0</v>
      </c>
      <c r="EZ17" s="184">
        <v>0</v>
      </c>
      <c r="FA17" s="184">
        <v>0</v>
      </c>
      <c r="FB17" s="184">
        <f t="shared" si="64"/>
        <v>0</v>
      </c>
      <c r="FC17" s="184">
        <f t="shared" si="65"/>
        <v>0</v>
      </c>
      <c r="FD17" s="184">
        <v>1552.47918</v>
      </c>
      <c r="FE17" s="184">
        <v>773.24874999999997</v>
      </c>
      <c r="FF17" s="184">
        <f t="shared" si="66"/>
        <v>-779.23043000000007</v>
      </c>
      <c r="FG17" s="184">
        <v>2.6139999999999999</v>
      </c>
      <c r="FH17" s="184">
        <v>0</v>
      </c>
      <c r="FI17" s="184">
        <f t="shared" si="67"/>
        <v>-2.6139999999999999</v>
      </c>
      <c r="FJ17" s="184">
        <v>0</v>
      </c>
      <c r="FK17" s="184">
        <v>0</v>
      </c>
      <c r="FL17" s="184">
        <f t="shared" si="68"/>
        <v>0</v>
      </c>
      <c r="FM17" s="184">
        <v>0</v>
      </c>
      <c r="FN17" s="184">
        <v>0</v>
      </c>
      <c r="FO17" s="184">
        <f t="shared" si="69"/>
        <v>0</v>
      </c>
      <c r="FP17" s="184" t="e">
        <f t="shared" si="70"/>
        <v>#DIV/0!</v>
      </c>
    </row>
    <row r="18" spans="1:172" s="184" customFormat="1" x14ac:dyDescent="0.25">
      <c r="A18" s="182" t="s">
        <v>168</v>
      </c>
      <c r="B18" s="183">
        <v>0</v>
      </c>
      <c r="C18" s="183">
        <v>667418.08106999996</v>
      </c>
      <c r="D18" s="183">
        <v>57862.294309999997</v>
      </c>
      <c r="E18" s="183">
        <v>50652.184029999997</v>
      </c>
      <c r="F18" s="184">
        <f t="shared" si="19"/>
        <v>775932.55940999999</v>
      </c>
      <c r="G18" s="183">
        <v>0</v>
      </c>
      <c r="H18" s="183">
        <v>297417.30930000002</v>
      </c>
      <c r="I18" s="183">
        <v>19634.474760000001</v>
      </c>
      <c r="J18" s="183">
        <v>23979.495709999999</v>
      </c>
      <c r="K18" s="184">
        <f t="shared" si="20"/>
        <v>341031.27977000002</v>
      </c>
      <c r="L18" s="183">
        <v>71882.318280000007</v>
      </c>
      <c r="M18" s="183">
        <v>69.989999999999995</v>
      </c>
      <c r="N18" s="183">
        <v>5661.98</v>
      </c>
      <c r="O18" s="184">
        <f t="shared" si="21"/>
        <v>77614.288280000008</v>
      </c>
      <c r="P18" s="183">
        <v>27494.047299999998</v>
      </c>
      <c r="Q18" s="183">
        <v>0</v>
      </c>
      <c r="R18" s="183">
        <v>1643.54</v>
      </c>
      <c r="S18" s="184">
        <f t="shared" si="22"/>
        <v>29137.587299999999</v>
      </c>
      <c r="T18" s="183">
        <v>0</v>
      </c>
      <c r="U18" s="183">
        <v>680333.24985999998</v>
      </c>
      <c r="V18" s="183">
        <v>58736.627809999998</v>
      </c>
      <c r="W18" s="183">
        <v>53423.477899999998</v>
      </c>
      <c r="X18" s="184">
        <f t="shared" si="23"/>
        <v>792493.3555699999</v>
      </c>
      <c r="Y18" s="183">
        <v>0</v>
      </c>
      <c r="Z18" s="183">
        <v>306075.53116000001</v>
      </c>
      <c r="AA18" s="183">
        <v>18958.42093</v>
      </c>
      <c r="AB18" s="183">
        <v>23077.7467</v>
      </c>
      <c r="AC18" s="184">
        <f t="shared" si="24"/>
        <v>348111.69879000005</v>
      </c>
      <c r="AD18" s="184">
        <f t="shared" si="0"/>
        <v>698318.27113000001</v>
      </c>
      <c r="AE18" s="184">
        <f t="shared" si="1"/>
        <v>311893.69247000001</v>
      </c>
      <c r="AF18" s="184">
        <f t="shared" si="25"/>
        <v>44.663544599126979</v>
      </c>
      <c r="AG18" s="185">
        <v>698532</v>
      </c>
      <c r="AH18" s="185">
        <f t="shared" si="26"/>
        <v>213.72886999999173</v>
      </c>
      <c r="AI18" s="185">
        <v>311894</v>
      </c>
      <c r="AJ18" s="185">
        <f t="shared" si="27"/>
        <v>0.30752999999094754</v>
      </c>
      <c r="AK18" s="184">
        <f t="shared" si="2"/>
        <v>714879.06728999992</v>
      </c>
      <c r="AL18" s="184">
        <f t="shared" si="3"/>
        <v>318974.11149000004</v>
      </c>
      <c r="AM18" s="184">
        <f t="shared" si="28"/>
        <v>44.61931060580406</v>
      </c>
      <c r="AN18" s="183">
        <v>0</v>
      </c>
      <c r="AO18" s="183">
        <v>523759.05728000001</v>
      </c>
      <c r="AP18" s="183">
        <v>36432.014309999999</v>
      </c>
      <c r="AQ18" s="183">
        <v>35236.445910000002</v>
      </c>
      <c r="AR18" s="407">
        <f t="shared" si="4"/>
        <v>213.85805999999866</v>
      </c>
      <c r="AS18" s="184">
        <f t="shared" si="29"/>
        <v>595427.51750000007</v>
      </c>
      <c r="AT18" s="183">
        <v>0</v>
      </c>
      <c r="AU18" s="183">
        <v>220562.97842</v>
      </c>
      <c r="AV18" s="183">
        <v>10792.30428</v>
      </c>
      <c r="AW18" s="183">
        <v>16701.743020000002</v>
      </c>
      <c r="AX18" s="186">
        <f t="shared" si="5"/>
        <v>0</v>
      </c>
      <c r="AY18" s="184">
        <f t="shared" si="30"/>
        <v>248057.02572000001</v>
      </c>
      <c r="AZ18" s="184">
        <f t="shared" si="6"/>
        <v>517813.2292200001</v>
      </c>
      <c r="BA18" s="184">
        <f t="shared" si="7"/>
        <v>218919.43842000002</v>
      </c>
      <c r="BB18" s="184">
        <f t="shared" si="31"/>
        <v>42.277683548132963</v>
      </c>
      <c r="BC18" s="183">
        <v>0</v>
      </c>
      <c r="BD18" s="183">
        <v>142230.049</v>
      </c>
      <c r="BE18" s="183">
        <v>21430.28</v>
      </c>
      <c r="BF18" s="183">
        <v>15415.73812</v>
      </c>
      <c r="BG18" s="184">
        <f t="shared" si="32"/>
        <v>179076.06711999999</v>
      </c>
      <c r="BH18" s="183">
        <v>0</v>
      </c>
      <c r="BI18" s="183">
        <v>75425.356090000001</v>
      </c>
      <c r="BJ18" s="183">
        <v>8842.1704800000007</v>
      </c>
      <c r="BK18" s="183">
        <v>7277.7526900000003</v>
      </c>
      <c r="BL18" s="184">
        <f t="shared" si="33"/>
        <v>91545.279259999996</v>
      </c>
      <c r="BM18" s="187">
        <v>35094</v>
      </c>
      <c r="BN18" s="184">
        <f t="shared" si="34"/>
        <v>35094</v>
      </c>
      <c r="BO18" s="187">
        <v>15124.132030000001</v>
      </c>
      <c r="BP18" s="184">
        <f t="shared" si="35"/>
        <v>15124.132030000001</v>
      </c>
      <c r="BQ18" s="184">
        <f t="shared" si="8"/>
        <v>43.096062090385821</v>
      </c>
      <c r="BR18" s="187">
        <v>2170</v>
      </c>
      <c r="BS18" s="184">
        <f t="shared" si="36"/>
        <v>2170</v>
      </c>
      <c r="BT18" s="327">
        <v>7103.91302</v>
      </c>
      <c r="BU18" s="184">
        <f t="shared" si="37"/>
        <v>7103.91302</v>
      </c>
      <c r="BV18" s="184">
        <f t="shared" si="9"/>
        <v>327.36926359447006</v>
      </c>
      <c r="BW18" s="187">
        <v>2851.86834</v>
      </c>
      <c r="BX18" s="184">
        <f t="shared" si="38"/>
        <v>2851.86834</v>
      </c>
      <c r="BY18" s="187">
        <v>553.79555000000005</v>
      </c>
      <c r="BZ18" s="184">
        <f t="shared" si="39"/>
        <v>553.79555000000005</v>
      </c>
      <c r="CA18" s="187">
        <v>689.36559999999997</v>
      </c>
      <c r="CB18" s="184">
        <f t="shared" si="40"/>
        <v>689.36559999999997</v>
      </c>
      <c r="CC18" s="184">
        <f t="shared" si="10"/>
        <v>24.172420245739673</v>
      </c>
      <c r="CD18" s="184">
        <f t="shared" si="41"/>
        <v>135.57004999999992</v>
      </c>
      <c r="CE18" s="184">
        <f t="shared" si="42"/>
        <v>24.480162399282534</v>
      </c>
      <c r="CF18" s="187">
        <v>12104</v>
      </c>
      <c r="CG18" s="184">
        <f t="shared" si="43"/>
        <v>12104</v>
      </c>
      <c r="CH18" s="187">
        <v>4898.7887700000001</v>
      </c>
      <c r="CI18" s="184">
        <f t="shared" si="44"/>
        <v>4898.7887700000001</v>
      </c>
      <c r="CJ18" s="184">
        <f t="shared" si="11"/>
        <v>40.472478271645734</v>
      </c>
      <c r="CK18" s="184">
        <v>9303.3286900000003</v>
      </c>
      <c r="CL18" s="184">
        <v>617.02521000000002</v>
      </c>
      <c r="CM18" s="187">
        <v>15411523.859999999</v>
      </c>
      <c r="CN18" s="184">
        <f t="shared" si="45"/>
        <v>15411.523859999999</v>
      </c>
      <c r="CO18" s="187">
        <v>3593835.25</v>
      </c>
      <c r="CP18" s="184">
        <f t="shared" si="46"/>
        <v>3593.8352500000001</v>
      </c>
      <c r="CQ18" s="184">
        <f t="shared" si="12"/>
        <v>6108.1951699999991</v>
      </c>
      <c r="CR18" s="184">
        <f t="shared" si="13"/>
        <v>2976.8100400000003</v>
      </c>
      <c r="CS18" s="184">
        <f t="shared" si="14"/>
        <v>-16560.796159999911</v>
      </c>
      <c r="CT18" s="184">
        <f t="shared" si="15"/>
        <v>-7080.4190200000303</v>
      </c>
      <c r="CU18" s="184">
        <v>21500</v>
      </c>
      <c r="CV18" s="184">
        <v>24500</v>
      </c>
      <c r="CW18" s="184">
        <f t="shared" si="47"/>
        <v>3000</v>
      </c>
      <c r="CX18" s="183">
        <v>0</v>
      </c>
      <c r="CY18" s="183">
        <v>525188.03206999996</v>
      </c>
      <c r="CZ18" s="183">
        <v>36432.014309999999</v>
      </c>
      <c r="DA18" s="183">
        <v>35236.445910000002</v>
      </c>
      <c r="DB18" s="184">
        <f t="shared" si="48"/>
        <v>596856.49228999997</v>
      </c>
      <c r="DC18" s="183">
        <v>0</v>
      </c>
      <c r="DD18" s="183">
        <v>221991.95321000001</v>
      </c>
      <c r="DE18" s="183">
        <v>10792.30428</v>
      </c>
      <c r="DF18" s="183">
        <v>16701.743020000002</v>
      </c>
      <c r="DG18" s="184">
        <f t="shared" si="49"/>
        <v>249486.00051000001</v>
      </c>
      <c r="DH18" s="188">
        <f t="shared" si="16"/>
        <v>519242.20400999999</v>
      </c>
      <c r="DI18" s="188">
        <f t="shared" si="17"/>
        <v>220348.41321000003</v>
      </c>
      <c r="DJ18" s="184">
        <f t="shared" si="50"/>
        <v>42.436537613525026</v>
      </c>
      <c r="DK18" s="183">
        <v>110729.1</v>
      </c>
      <c r="DL18" s="184">
        <f t="shared" si="51"/>
        <v>110729.1</v>
      </c>
      <c r="DM18" s="183">
        <v>54419.626029999999</v>
      </c>
      <c r="DN18" s="184">
        <f t="shared" si="52"/>
        <v>54419.626029999999</v>
      </c>
      <c r="DO18" s="187">
        <v>11931153.32</v>
      </c>
      <c r="DP18" s="184">
        <f t="shared" si="53"/>
        <v>11931.153319999999</v>
      </c>
      <c r="DQ18" s="408">
        <v>29212</v>
      </c>
      <c r="DR18" s="184">
        <v>12233.604020000001</v>
      </c>
      <c r="DS18" s="184">
        <f t="shared" si="18"/>
        <v>302.45070000000123</v>
      </c>
      <c r="DT18" s="184">
        <v>21673.73717</v>
      </c>
      <c r="DU18" s="184">
        <f>11800.47523-1709.254</f>
        <v>10091.221229999999</v>
      </c>
      <c r="DV18" s="184">
        <v>34729.465949999998</v>
      </c>
      <c r="DW18" s="184">
        <f>15776.06484-1363.654</f>
        <v>14412.410839999999</v>
      </c>
      <c r="DX18" s="184">
        <f t="shared" si="54"/>
        <v>13055.728779999998</v>
      </c>
      <c r="DY18" s="184">
        <f t="shared" si="55"/>
        <v>4321.1896099999994</v>
      </c>
      <c r="DZ18" s="184">
        <v>10714.21243</v>
      </c>
      <c r="EA18" s="184">
        <v>1062.1632999999999</v>
      </c>
      <c r="EB18" s="184">
        <v>10478.926040000002</v>
      </c>
      <c r="EC18" s="184">
        <v>7909.2365999999993</v>
      </c>
      <c r="ED18" s="184">
        <f t="shared" si="56"/>
        <v>-235.28638999999748</v>
      </c>
      <c r="EE18" s="184">
        <f t="shared" si="57"/>
        <v>6847.0732999999991</v>
      </c>
      <c r="EF18" s="184">
        <v>1005.9444099999999</v>
      </c>
      <c r="EG18" s="184">
        <v>993.66371000000004</v>
      </c>
      <c r="EH18" s="184">
        <v>660.03075999999999</v>
      </c>
      <c r="EI18" s="184">
        <v>388.19425000000001</v>
      </c>
      <c r="EJ18" s="184">
        <f t="shared" si="58"/>
        <v>-345.91364999999996</v>
      </c>
      <c r="EK18" s="184">
        <f t="shared" si="59"/>
        <v>-605.46946000000003</v>
      </c>
      <c r="EL18" s="184">
        <v>6784.80206</v>
      </c>
      <c r="EM18" s="184">
        <v>10.00159</v>
      </c>
      <c r="EN18" s="184">
        <v>7119.74773</v>
      </c>
      <c r="EO18" s="184">
        <v>6785.98</v>
      </c>
      <c r="EP18" s="184">
        <f t="shared" si="60"/>
        <v>334.94567000000006</v>
      </c>
      <c r="EQ18" s="184">
        <f t="shared" si="61"/>
        <v>6775.9784099999997</v>
      </c>
      <c r="ER18" s="184">
        <v>10</v>
      </c>
      <c r="ES18" s="184">
        <v>10</v>
      </c>
      <c r="ET18" s="184">
        <v>10</v>
      </c>
      <c r="EU18" s="184">
        <v>0</v>
      </c>
      <c r="EV18" s="184">
        <f t="shared" si="62"/>
        <v>0</v>
      </c>
      <c r="EW18" s="184">
        <f t="shared" si="63"/>
        <v>-10</v>
      </c>
      <c r="EX18" s="184">
        <v>1.0690999999999999</v>
      </c>
      <c r="EY18" s="184">
        <v>0</v>
      </c>
      <c r="EZ18" s="184">
        <v>1.0690999999999999</v>
      </c>
      <c r="FA18" s="184">
        <v>1.0690999999999999</v>
      </c>
      <c r="FB18" s="184">
        <f t="shared" si="64"/>
        <v>0</v>
      </c>
      <c r="FC18" s="184">
        <f t="shared" si="65"/>
        <v>1.0690999999999999</v>
      </c>
      <c r="FD18" s="184">
        <v>5468.6845000000003</v>
      </c>
      <c r="FE18" s="184">
        <v>8103.77826</v>
      </c>
      <c r="FF18" s="184">
        <f t="shared" si="66"/>
        <v>2635.0937599999997</v>
      </c>
      <c r="FG18" s="184">
        <v>1489.0259599999999</v>
      </c>
      <c r="FH18" s="184">
        <v>2864.7500300000002</v>
      </c>
      <c r="FI18" s="184">
        <f t="shared" si="67"/>
        <v>1375.7240700000002</v>
      </c>
      <c r="FJ18" s="184">
        <v>0</v>
      </c>
      <c r="FK18" s="184">
        <v>0</v>
      </c>
      <c r="FL18" s="184">
        <f t="shared" si="68"/>
        <v>0</v>
      </c>
      <c r="FM18" s="184">
        <v>844.04714000000001</v>
      </c>
      <c r="FN18" s="184">
        <v>885.48175000000003</v>
      </c>
      <c r="FO18" s="184">
        <f t="shared" si="69"/>
        <v>41.434610000000021</v>
      </c>
      <c r="FP18" s="184">
        <f t="shared" si="70"/>
        <v>4.9090397960474093</v>
      </c>
    </row>
    <row r="19" spans="1:172" s="184" customFormat="1" x14ac:dyDescent="0.25">
      <c r="A19" s="182" t="s">
        <v>169</v>
      </c>
      <c r="B19" s="183">
        <v>0</v>
      </c>
      <c r="C19" s="183">
        <v>737774.67284000001</v>
      </c>
      <c r="D19" s="183">
        <v>110357.82259</v>
      </c>
      <c r="E19" s="183">
        <v>8731.9743500000004</v>
      </c>
      <c r="F19" s="184">
        <f t="shared" si="19"/>
        <v>856864.46978000004</v>
      </c>
      <c r="G19" s="183">
        <v>0</v>
      </c>
      <c r="H19" s="183">
        <v>382956.03857999999</v>
      </c>
      <c r="I19" s="183">
        <v>44369.838049999998</v>
      </c>
      <c r="J19" s="183">
        <v>3969.6889500000002</v>
      </c>
      <c r="K19" s="184">
        <f t="shared" si="20"/>
        <v>431295.56557999999</v>
      </c>
      <c r="L19" s="183">
        <v>43428.132240000006</v>
      </c>
      <c r="M19" s="183">
        <v>47124.113999999994</v>
      </c>
      <c r="N19" s="183">
        <v>100.7</v>
      </c>
      <c r="O19" s="184">
        <f t="shared" si="21"/>
        <v>90652.946240000005</v>
      </c>
      <c r="P19" s="183">
        <v>11811.3</v>
      </c>
      <c r="Q19" s="183">
        <v>23214.532959999997</v>
      </c>
      <c r="R19" s="183">
        <v>88.9</v>
      </c>
      <c r="S19" s="184">
        <f t="shared" si="22"/>
        <v>35114.732960000001</v>
      </c>
      <c r="T19" s="183">
        <v>0</v>
      </c>
      <c r="U19" s="183">
        <v>757943.92680999998</v>
      </c>
      <c r="V19" s="183">
        <v>118626.43259</v>
      </c>
      <c r="W19" s="183">
        <v>9650.0356800000009</v>
      </c>
      <c r="X19" s="184">
        <f t="shared" si="23"/>
        <v>886220.39507999993</v>
      </c>
      <c r="Y19" s="183">
        <v>0</v>
      </c>
      <c r="Z19" s="183">
        <v>392909.71908000001</v>
      </c>
      <c r="AA19" s="183">
        <v>40336.649969999999</v>
      </c>
      <c r="AB19" s="183">
        <v>4311.64851</v>
      </c>
      <c r="AC19" s="184">
        <f t="shared" si="24"/>
        <v>437558.01756000001</v>
      </c>
      <c r="AD19" s="184">
        <f t="shared" si="0"/>
        <v>766211.52354000008</v>
      </c>
      <c r="AE19" s="184">
        <f t="shared" si="1"/>
        <v>396180.83262</v>
      </c>
      <c r="AF19" s="184">
        <f t="shared" si="25"/>
        <v>51.706457087670962</v>
      </c>
      <c r="AG19" s="185">
        <v>767342</v>
      </c>
      <c r="AH19" s="185">
        <f t="shared" si="26"/>
        <v>1130.476459999918</v>
      </c>
      <c r="AI19" s="185">
        <v>396181</v>
      </c>
      <c r="AJ19" s="185">
        <f t="shared" si="27"/>
        <v>0.16737999999895692</v>
      </c>
      <c r="AK19" s="184">
        <f t="shared" si="2"/>
        <v>795567.44883999997</v>
      </c>
      <c r="AL19" s="184">
        <f t="shared" si="3"/>
        <v>402443.28460000001</v>
      </c>
      <c r="AM19" s="184">
        <f t="shared" si="28"/>
        <v>50.585690149439124</v>
      </c>
      <c r="AN19" s="183">
        <v>0</v>
      </c>
      <c r="AO19" s="183">
        <v>569972.61681000004</v>
      </c>
      <c r="AP19" s="183">
        <v>38570.930890000003</v>
      </c>
      <c r="AQ19" s="183">
        <v>3727.2013499999998</v>
      </c>
      <c r="AR19" s="407">
        <f t="shared" si="4"/>
        <v>1130</v>
      </c>
      <c r="AS19" s="184">
        <f t="shared" si="29"/>
        <v>612270.74904999998</v>
      </c>
      <c r="AT19" s="183">
        <v>0</v>
      </c>
      <c r="AU19" s="183">
        <v>293749.60470999999</v>
      </c>
      <c r="AV19" s="183">
        <v>9909.1640000000007</v>
      </c>
      <c r="AW19" s="183">
        <v>1902.136</v>
      </c>
      <c r="AX19" s="186">
        <f t="shared" si="5"/>
        <v>0</v>
      </c>
      <c r="AY19" s="184">
        <f t="shared" si="30"/>
        <v>305560.90470999997</v>
      </c>
      <c r="AZ19" s="184">
        <f t="shared" si="6"/>
        <v>521617.80280999996</v>
      </c>
      <c r="BA19" s="184">
        <f t="shared" si="7"/>
        <v>270446.17174999998</v>
      </c>
      <c r="BB19" s="184">
        <f t="shared" si="31"/>
        <v>51.847573125971394</v>
      </c>
      <c r="BC19" s="183">
        <v>0</v>
      </c>
      <c r="BD19" s="183">
        <v>168101.6</v>
      </c>
      <c r="BE19" s="183">
        <v>71487.100000000006</v>
      </c>
      <c r="BF19" s="183">
        <v>5004.7730000000001</v>
      </c>
      <c r="BG19" s="184">
        <f t="shared" si="32"/>
        <v>244593.473</v>
      </c>
      <c r="BH19" s="183">
        <v>0</v>
      </c>
      <c r="BI19" s="183">
        <v>89507.626319999996</v>
      </c>
      <c r="BJ19" s="183">
        <v>34160.88235</v>
      </c>
      <c r="BK19" s="183">
        <v>2067.5529499999998</v>
      </c>
      <c r="BL19" s="184">
        <f t="shared" si="33"/>
        <v>125736.06161999999</v>
      </c>
      <c r="BM19" s="187">
        <v>30543</v>
      </c>
      <c r="BN19" s="184">
        <f t="shared" si="34"/>
        <v>30543</v>
      </c>
      <c r="BO19" s="187">
        <v>15146.274069999999</v>
      </c>
      <c r="BP19" s="184">
        <f t="shared" si="35"/>
        <v>15146.274069999999</v>
      </c>
      <c r="BQ19" s="184">
        <f t="shared" si="8"/>
        <v>49.590001211406864</v>
      </c>
      <c r="BR19" s="187">
        <v>3055</v>
      </c>
      <c r="BS19" s="184">
        <f t="shared" si="36"/>
        <v>3055</v>
      </c>
      <c r="BT19" s="327">
        <v>2909.9996799999999</v>
      </c>
      <c r="BU19" s="184">
        <f t="shared" si="37"/>
        <v>2909.9996799999999</v>
      </c>
      <c r="BV19" s="184">
        <f t="shared" si="9"/>
        <v>95.253672013093279</v>
      </c>
      <c r="BW19" s="187">
        <v>19065</v>
      </c>
      <c r="BX19" s="184">
        <f t="shared" si="38"/>
        <v>19065</v>
      </c>
      <c r="BY19" s="187">
        <v>4393.4560000000001</v>
      </c>
      <c r="BZ19" s="184">
        <f t="shared" si="39"/>
        <v>4393.4560000000001</v>
      </c>
      <c r="CA19" s="187">
        <v>4988.4862800000001</v>
      </c>
      <c r="CB19" s="184">
        <f t="shared" si="40"/>
        <v>4988.4862800000001</v>
      </c>
      <c r="CC19" s="184">
        <f t="shared" si="10"/>
        <v>26.16567678992919</v>
      </c>
      <c r="CD19" s="184">
        <f t="shared" si="41"/>
        <v>595.03027999999995</v>
      </c>
      <c r="CE19" s="184">
        <f t="shared" si="42"/>
        <v>13.543558419613163</v>
      </c>
      <c r="CF19" s="187">
        <v>25338.073</v>
      </c>
      <c r="CG19" s="184">
        <f t="shared" si="43"/>
        <v>25338.073</v>
      </c>
      <c r="CH19" s="187">
        <v>10836.823979999999</v>
      </c>
      <c r="CI19" s="184">
        <f t="shared" si="44"/>
        <v>10836.823979999999</v>
      </c>
      <c r="CJ19" s="184">
        <f t="shared" si="11"/>
        <v>42.768935033062689</v>
      </c>
      <c r="CK19" s="184">
        <v>5995.1658299999999</v>
      </c>
      <c r="CL19" s="184">
        <v>349.54396999999994</v>
      </c>
      <c r="CM19" s="187">
        <v>22409025.23</v>
      </c>
      <c r="CN19" s="184">
        <f t="shared" si="45"/>
        <v>22409.025229999999</v>
      </c>
      <c r="CO19" s="187">
        <v>3198463.06</v>
      </c>
      <c r="CP19" s="184">
        <f t="shared" si="46"/>
        <v>3198.46306</v>
      </c>
      <c r="CQ19" s="184">
        <f t="shared" si="12"/>
        <v>16413.859400000001</v>
      </c>
      <c r="CR19" s="184">
        <f t="shared" si="13"/>
        <v>2848.9190900000003</v>
      </c>
      <c r="CS19" s="184">
        <f t="shared" si="14"/>
        <v>-29355.925299999886</v>
      </c>
      <c r="CT19" s="184">
        <f t="shared" si="15"/>
        <v>-6262.4519800000126</v>
      </c>
      <c r="CU19" s="184">
        <v>119700</v>
      </c>
      <c r="CV19" s="184">
        <v>138693</v>
      </c>
      <c r="CW19" s="184">
        <f t="shared" si="47"/>
        <v>18993</v>
      </c>
      <c r="CX19" s="183">
        <v>0</v>
      </c>
      <c r="CY19" s="183">
        <v>569673.07284000004</v>
      </c>
      <c r="CZ19" s="183">
        <v>38870.722589999998</v>
      </c>
      <c r="DA19" s="183">
        <v>3727.2013499999998</v>
      </c>
      <c r="DB19" s="184">
        <f t="shared" si="48"/>
        <v>612270.99678000004</v>
      </c>
      <c r="DC19" s="183">
        <v>0</v>
      </c>
      <c r="DD19" s="183">
        <v>293448.41226000001</v>
      </c>
      <c r="DE19" s="183">
        <v>10208.9557</v>
      </c>
      <c r="DF19" s="183">
        <v>1902.136</v>
      </c>
      <c r="DG19" s="184">
        <f t="shared" si="49"/>
        <v>305559.50396</v>
      </c>
      <c r="DH19" s="188">
        <f t="shared" si="16"/>
        <v>521618.05054000003</v>
      </c>
      <c r="DI19" s="188">
        <f t="shared" si="17"/>
        <v>270444.77100000001</v>
      </c>
      <c r="DJ19" s="184">
        <f t="shared" si="50"/>
        <v>51.847279962805096</v>
      </c>
      <c r="DK19" s="183">
        <v>151074</v>
      </c>
      <c r="DL19" s="184">
        <f t="shared" si="51"/>
        <v>151074</v>
      </c>
      <c r="DM19" s="183">
        <v>82063.568450000006</v>
      </c>
      <c r="DN19" s="184">
        <f t="shared" si="52"/>
        <v>82063.568450000006</v>
      </c>
      <c r="DO19" s="187">
        <v>6946</v>
      </c>
      <c r="DP19" s="184">
        <f t="shared" si="53"/>
        <v>6.9459999999999997</v>
      </c>
      <c r="DQ19" s="408">
        <v>157</v>
      </c>
      <c r="DR19" s="184">
        <v>16.596900000000002</v>
      </c>
      <c r="DS19" s="184">
        <f t="shared" si="18"/>
        <v>9.6509000000000018</v>
      </c>
      <c r="DT19" s="184">
        <v>17722.747039999998</v>
      </c>
      <c r="DU19" s="184">
        <v>8471.2423299999991</v>
      </c>
      <c r="DV19" s="184">
        <v>493222.33416000003</v>
      </c>
      <c r="DW19" s="184">
        <v>8851.3270799999991</v>
      </c>
      <c r="DX19" s="184">
        <f t="shared" si="54"/>
        <v>475499.58712000004</v>
      </c>
      <c r="DY19" s="184">
        <f t="shared" si="55"/>
        <v>380.08474999999999</v>
      </c>
      <c r="DZ19" s="184">
        <v>70869.09534</v>
      </c>
      <c r="EA19" s="184">
        <v>3531.4137599999999</v>
      </c>
      <c r="EB19" s="184">
        <v>70262.767589999989</v>
      </c>
      <c r="EC19" s="184">
        <v>6355.69776</v>
      </c>
      <c r="ED19" s="184">
        <f t="shared" si="56"/>
        <v>-606.32775000001129</v>
      </c>
      <c r="EE19" s="184">
        <f t="shared" si="57"/>
        <v>2824.2840000000001</v>
      </c>
      <c r="EF19" s="184">
        <v>5865.8949199999997</v>
      </c>
      <c r="EG19" s="184">
        <v>726.45434</v>
      </c>
      <c r="EH19" s="184">
        <v>3887.3513400000002</v>
      </c>
      <c r="EI19" s="184">
        <v>3887.3513400000002</v>
      </c>
      <c r="EJ19" s="184">
        <f t="shared" si="58"/>
        <v>-1978.5435799999996</v>
      </c>
      <c r="EK19" s="184">
        <f t="shared" si="59"/>
        <v>3160.8969999999999</v>
      </c>
      <c r="EL19" s="184">
        <v>57955.265240000001</v>
      </c>
      <c r="EM19" s="184">
        <v>2784.5385200000001</v>
      </c>
      <c r="EN19" s="184">
        <v>59707.629970000002</v>
      </c>
      <c r="EO19" s="184">
        <v>2447.9255199999998</v>
      </c>
      <c r="EP19" s="184">
        <f t="shared" si="60"/>
        <v>1752.3647300000011</v>
      </c>
      <c r="EQ19" s="184">
        <f t="shared" si="61"/>
        <v>-336.61300000000028</v>
      </c>
      <c r="ER19" s="184">
        <v>2012.3011200000001</v>
      </c>
      <c r="ES19" s="184">
        <v>20.4209</v>
      </c>
      <c r="ET19" s="184">
        <v>2070.9856799999998</v>
      </c>
      <c r="EU19" s="184">
        <v>20.4209</v>
      </c>
      <c r="EV19" s="184">
        <f t="shared" si="62"/>
        <v>58.684559999999692</v>
      </c>
      <c r="EW19" s="184">
        <f t="shared" si="63"/>
        <v>0</v>
      </c>
      <c r="EX19" s="184">
        <v>46.864190000000001</v>
      </c>
      <c r="EY19" s="184">
        <v>0</v>
      </c>
      <c r="EZ19" s="184">
        <v>0</v>
      </c>
      <c r="FA19" s="184">
        <v>0</v>
      </c>
      <c r="FB19" s="184">
        <f t="shared" si="64"/>
        <v>-46.864190000000001</v>
      </c>
      <c r="FC19" s="184">
        <f t="shared" si="65"/>
        <v>0</v>
      </c>
      <c r="FD19" s="184">
        <v>7947.3650100000004</v>
      </c>
      <c r="FE19" s="184">
        <v>8431.3675399999993</v>
      </c>
      <c r="FF19" s="184">
        <f t="shared" si="66"/>
        <v>484.00252999999884</v>
      </c>
      <c r="FG19" s="184">
        <v>5.915</v>
      </c>
      <c r="FH19" s="184">
        <v>5.915</v>
      </c>
      <c r="FI19" s="184">
        <f t="shared" si="67"/>
        <v>0</v>
      </c>
      <c r="FJ19" s="184">
        <v>0</v>
      </c>
      <c r="FK19" s="184">
        <v>0</v>
      </c>
      <c r="FL19" s="184">
        <f t="shared" si="68"/>
        <v>0</v>
      </c>
      <c r="FM19" s="184">
        <v>6.1550000000000002</v>
      </c>
      <c r="FN19" s="184">
        <v>6.1550000000000002</v>
      </c>
      <c r="FO19" s="184">
        <f t="shared" si="69"/>
        <v>0</v>
      </c>
      <c r="FP19" s="184">
        <f t="shared" si="70"/>
        <v>0</v>
      </c>
    </row>
    <row r="20" spans="1:172" s="184" customFormat="1" x14ac:dyDescent="0.25">
      <c r="A20" s="182" t="s">
        <v>170</v>
      </c>
      <c r="B20" s="183">
        <v>0</v>
      </c>
      <c r="C20" s="183">
        <v>774038.53917999996</v>
      </c>
      <c r="D20" s="183">
        <v>96329.339940000005</v>
      </c>
      <c r="E20" s="183">
        <v>46843.232450000003</v>
      </c>
      <c r="F20" s="184">
        <f t="shared" si="19"/>
        <v>917211.11156999995</v>
      </c>
      <c r="G20" s="183">
        <v>0</v>
      </c>
      <c r="H20" s="183">
        <v>437835.58231999999</v>
      </c>
      <c r="I20" s="183">
        <v>27991.50459</v>
      </c>
      <c r="J20" s="183">
        <v>22269.01843</v>
      </c>
      <c r="K20" s="184">
        <f t="shared" si="20"/>
        <v>488096.10534000001</v>
      </c>
      <c r="L20" s="183">
        <v>81864.654689999996</v>
      </c>
      <c r="M20" s="183">
        <v>0</v>
      </c>
      <c r="N20" s="183">
        <v>0</v>
      </c>
      <c r="O20" s="184">
        <f t="shared" si="21"/>
        <v>81864.654689999996</v>
      </c>
      <c r="P20" s="183">
        <v>29534.196000000004</v>
      </c>
      <c r="Q20" s="183">
        <v>0</v>
      </c>
      <c r="R20" s="183">
        <v>0</v>
      </c>
      <c r="S20" s="184">
        <f t="shared" si="22"/>
        <v>29534.196000000004</v>
      </c>
      <c r="T20" s="183">
        <v>0</v>
      </c>
      <c r="U20" s="183">
        <v>790764.02291000006</v>
      </c>
      <c r="V20" s="183">
        <v>121617.33254</v>
      </c>
      <c r="W20" s="183">
        <v>49101.986109999998</v>
      </c>
      <c r="X20" s="184">
        <f t="shared" si="23"/>
        <v>961483.34156000009</v>
      </c>
      <c r="Y20" s="183">
        <v>0</v>
      </c>
      <c r="Z20" s="183">
        <v>438830.04959000001</v>
      </c>
      <c r="AA20" s="183">
        <v>47273.356350000002</v>
      </c>
      <c r="AB20" s="183">
        <v>23034.38523</v>
      </c>
      <c r="AC20" s="184">
        <f t="shared" si="24"/>
        <v>509137.79117000004</v>
      </c>
      <c r="AD20" s="184">
        <f t="shared" si="0"/>
        <v>835346.45687999995</v>
      </c>
      <c r="AE20" s="184">
        <f t="shared" si="1"/>
        <v>458561.90934000001</v>
      </c>
      <c r="AF20" s="184">
        <f t="shared" si="25"/>
        <v>54.894817062218507</v>
      </c>
      <c r="AG20" s="185">
        <v>835346</v>
      </c>
      <c r="AH20" s="185">
        <f t="shared" si="26"/>
        <v>-0.45687999995425344</v>
      </c>
      <c r="AI20" s="185">
        <v>458562</v>
      </c>
      <c r="AJ20" s="185">
        <f t="shared" si="27"/>
        <v>9.0659999987110496E-2</v>
      </c>
      <c r="AK20" s="184">
        <f t="shared" si="2"/>
        <v>879618.68687000009</v>
      </c>
      <c r="AL20" s="184">
        <f t="shared" si="3"/>
        <v>479603.59517000004</v>
      </c>
      <c r="AM20" s="184">
        <f t="shared" si="28"/>
        <v>54.524034371825621</v>
      </c>
      <c r="AN20" s="183">
        <v>0</v>
      </c>
      <c r="AO20" s="183">
        <v>609685.29896000004</v>
      </c>
      <c r="AP20" s="183">
        <v>41361.900609999997</v>
      </c>
      <c r="AQ20" s="183">
        <v>40502.754079999999</v>
      </c>
      <c r="AR20" s="407">
        <f t="shared" si="4"/>
        <v>0</v>
      </c>
      <c r="AS20" s="184">
        <f t="shared" si="29"/>
        <v>691549.95365000004</v>
      </c>
      <c r="AT20" s="183">
        <v>0</v>
      </c>
      <c r="AU20" s="183">
        <v>355019.32325999998</v>
      </c>
      <c r="AV20" s="183">
        <v>9414.52304</v>
      </c>
      <c r="AW20" s="183">
        <v>20119.67296</v>
      </c>
      <c r="AX20" s="186">
        <f t="shared" si="5"/>
        <v>0</v>
      </c>
      <c r="AY20" s="184">
        <f t="shared" si="30"/>
        <v>384553.51925999997</v>
      </c>
      <c r="AZ20" s="184">
        <f t="shared" si="6"/>
        <v>609685.29896000004</v>
      </c>
      <c r="BA20" s="184">
        <f t="shared" si="7"/>
        <v>355019.32325999998</v>
      </c>
      <c r="BB20" s="184">
        <f t="shared" si="31"/>
        <v>58.229930074678073</v>
      </c>
      <c r="BC20" s="183">
        <v>0</v>
      </c>
      <c r="BD20" s="183">
        <v>164692.45752</v>
      </c>
      <c r="BE20" s="183">
        <v>59161.914570000001</v>
      </c>
      <c r="BF20" s="183">
        <v>6299</v>
      </c>
      <c r="BG20" s="184">
        <f t="shared" si="32"/>
        <v>230153.37208999999</v>
      </c>
      <c r="BH20" s="183">
        <v>0</v>
      </c>
      <c r="BI20" s="183">
        <v>82713.437160000001</v>
      </c>
      <c r="BJ20" s="183">
        <v>22828.333470000001</v>
      </c>
      <c r="BK20" s="183">
        <v>1989.5465200000001</v>
      </c>
      <c r="BL20" s="184">
        <f t="shared" si="33"/>
        <v>107531.31715</v>
      </c>
      <c r="BM20" s="187">
        <v>24345</v>
      </c>
      <c r="BN20" s="184">
        <f t="shared" si="34"/>
        <v>24345</v>
      </c>
      <c r="BO20" s="187">
        <v>11826.840340000001</v>
      </c>
      <c r="BP20" s="184">
        <f t="shared" si="35"/>
        <v>11826.840340000001</v>
      </c>
      <c r="BQ20" s="184">
        <f t="shared" si="8"/>
        <v>48.580161593756422</v>
      </c>
      <c r="BR20" s="187">
        <v>4391.3</v>
      </c>
      <c r="BS20" s="184">
        <f t="shared" si="36"/>
        <v>4391.3</v>
      </c>
      <c r="BT20" s="327">
        <v>-1990.6773599999999</v>
      </c>
      <c r="BU20" s="184">
        <f t="shared" si="37"/>
        <v>-1990.6773599999999</v>
      </c>
      <c r="BV20" s="184">
        <f t="shared" si="9"/>
        <v>-45.332301596338205</v>
      </c>
      <c r="BW20" s="187">
        <v>13323</v>
      </c>
      <c r="BX20" s="184">
        <f t="shared" si="38"/>
        <v>13323</v>
      </c>
      <c r="BY20" s="187">
        <v>4428.7045499999995</v>
      </c>
      <c r="BZ20" s="184">
        <f t="shared" si="39"/>
        <v>4428.7045499999995</v>
      </c>
      <c r="CA20" s="187">
        <v>3204.9215800000002</v>
      </c>
      <c r="CB20" s="184">
        <f t="shared" si="40"/>
        <v>3204.9215800000002</v>
      </c>
      <c r="CC20" s="184">
        <f t="shared" si="10"/>
        <v>24.055554905051419</v>
      </c>
      <c r="CD20" s="184">
        <f t="shared" si="41"/>
        <v>-1223.7829699999993</v>
      </c>
      <c r="CE20" s="184">
        <f t="shared" si="42"/>
        <v>-27.632978361584307</v>
      </c>
      <c r="CF20" s="187">
        <v>27408.339189999999</v>
      </c>
      <c r="CG20" s="184">
        <f t="shared" si="43"/>
        <v>27408.339189999999</v>
      </c>
      <c r="CH20" s="187">
        <v>10971.26686</v>
      </c>
      <c r="CI20" s="184">
        <f t="shared" si="44"/>
        <v>10971.26686</v>
      </c>
      <c r="CJ20" s="184">
        <f t="shared" si="11"/>
        <v>40.028937119994829</v>
      </c>
      <c r="CK20" s="184">
        <v>23994.485629999999</v>
      </c>
      <c r="CL20" s="184">
        <v>14501.89121</v>
      </c>
      <c r="CM20" s="187">
        <v>24173360.09</v>
      </c>
      <c r="CN20" s="184">
        <f t="shared" si="45"/>
        <v>24173.360089999998</v>
      </c>
      <c r="CO20" s="187">
        <v>1073777.1299999999</v>
      </c>
      <c r="CP20" s="184">
        <f t="shared" si="46"/>
        <v>1073.7771299999999</v>
      </c>
      <c r="CQ20" s="184">
        <f t="shared" si="12"/>
        <v>178.87445999999909</v>
      </c>
      <c r="CR20" s="184">
        <f t="shared" si="13"/>
        <v>-13428.114079999999</v>
      </c>
      <c r="CS20" s="184">
        <f t="shared" si="14"/>
        <v>-44272.229990000138</v>
      </c>
      <c r="CT20" s="184">
        <f t="shared" si="15"/>
        <v>-21041.685830000031</v>
      </c>
      <c r="CU20" s="184">
        <v>21800</v>
      </c>
      <c r="CV20" s="184">
        <v>17800</v>
      </c>
      <c r="CW20" s="184">
        <f t="shared" si="47"/>
        <v>-4000</v>
      </c>
      <c r="CX20" s="183">
        <v>0</v>
      </c>
      <c r="CY20" s="183">
        <v>609346.08166000003</v>
      </c>
      <c r="CZ20" s="183">
        <v>37167.425369999997</v>
      </c>
      <c r="DA20" s="183">
        <v>40544.232450000003</v>
      </c>
      <c r="DB20" s="184">
        <f t="shared" si="48"/>
        <v>687057.73947999999</v>
      </c>
      <c r="DC20" s="183">
        <v>0</v>
      </c>
      <c r="DD20" s="183">
        <v>355122.14516000001</v>
      </c>
      <c r="DE20" s="183">
        <v>5163.17112</v>
      </c>
      <c r="DF20" s="183">
        <v>20279.47191</v>
      </c>
      <c r="DG20" s="184">
        <f t="shared" si="49"/>
        <v>380564.78819000005</v>
      </c>
      <c r="DH20" s="188">
        <f t="shared" si="16"/>
        <v>605193.08478999999</v>
      </c>
      <c r="DI20" s="188">
        <f t="shared" si="17"/>
        <v>351030.59219000005</v>
      </c>
      <c r="DJ20" s="184">
        <f t="shared" si="50"/>
        <v>58.003073896954142</v>
      </c>
      <c r="DK20" s="183">
        <v>137844.70000000001</v>
      </c>
      <c r="DL20" s="184">
        <f t="shared" si="51"/>
        <v>137844.70000000001</v>
      </c>
      <c r="DM20" s="183">
        <v>72165.36335</v>
      </c>
      <c r="DN20" s="184">
        <f t="shared" si="52"/>
        <v>72165.36335</v>
      </c>
      <c r="DO20" s="187">
        <v>2028843.01</v>
      </c>
      <c r="DP20" s="184">
        <f t="shared" si="53"/>
        <v>2028.84301</v>
      </c>
      <c r="DQ20" s="408">
        <v>2340</v>
      </c>
      <c r="DR20" s="184">
        <v>1699.26205</v>
      </c>
      <c r="DS20" s="184">
        <f t="shared" si="18"/>
        <v>-329.58096</v>
      </c>
      <c r="DT20" s="184">
        <v>54643.744440000002</v>
      </c>
      <c r="DU20" s="184">
        <v>2186.9348300000001</v>
      </c>
      <c r="DV20" s="184">
        <v>42953.280789999997</v>
      </c>
      <c r="DW20" s="184">
        <v>981.67340000000002</v>
      </c>
      <c r="DX20" s="184">
        <f t="shared" si="54"/>
        <v>-11690.463650000005</v>
      </c>
      <c r="DY20" s="184">
        <f t="shared" si="55"/>
        <v>-1205.26143</v>
      </c>
      <c r="DZ20" s="184">
        <v>77111.029689999996</v>
      </c>
      <c r="EA20" s="184">
        <v>52289.478060000001</v>
      </c>
      <c r="EB20" s="184">
        <v>73141.990879999998</v>
      </c>
      <c r="EC20" s="184">
        <v>2818.1424000000002</v>
      </c>
      <c r="ED20" s="184">
        <f t="shared" si="56"/>
        <v>-3969.0388099999982</v>
      </c>
      <c r="EE20" s="184">
        <f t="shared" si="57"/>
        <v>-49471.335660000004</v>
      </c>
      <c r="EF20" s="184">
        <v>4426.0716300000004</v>
      </c>
      <c r="EG20" s="184">
        <v>4426.0062200000002</v>
      </c>
      <c r="EH20" s="184">
        <v>2818.2078099999999</v>
      </c>
      <c r="EI20" s="184">
        <v>2818.1424000000002</v>
      </c>
      <c r="EJ20" s="184">
        <f t="shared" si="58"/>
        <v>-1607.8638200000005</v>
      </c>
      <c r="EK20" s="184">
        <f t="shared" si="59"/>
        <v>-1607.86382</v>
      </c>
      <c r="EL20" s="184">
        <v>21191.956740000001</v>
      </c>
      <c r="EM20" s="184">
        <v>0</v>
      </c>
      <c r="EN20" s="184">
        <v>19444.237249999998</v>
      </c>
      <c r="EO20" s="184">
        <v>0</v>
      </c>
      <c r="EP20" s="184">
        <f t="shared" si="60"/>
        <v>-1747.7194900000031</v>
      </c>
      <c r="EQ20" s="184">
        <f t="shared" si="61"/>
        <v>0</v>
      </c>
      <c r="ER20" s="184">
        <v>0</v>
      </c>
      <c r="ES20" s="184">
        <v>0</v>
      </c>
      <c r="ET20" s="184">
        <v>0.5</v>
      </c>
      <c r="EU20" s="184">
        <v>0</v>
      </c>
      <c r="EV20" s="184">
        <f t="shared" si="62"/>
        <v>0.5</v>
      </c>
      <c r="EW20" s="184">
        <f t="shared" si="63"/>
        <v>0</v>
      </c>
      <c r="EX20" s="184">
        <v>0</v>
      </c>
      <c r="EY20" s="184">
        <v>0</v>
      </c>
      <c r="EZ20" s="184">
        <v>140.49564000000001</v>
      </c>
      <c r="FA20" s="184">
        <v>0</v>
      </c>
      <c r="FB20" s="184">
        <f t="shared" si="64"/>
        <v>140.49564000000001</v>
      </c>
      <c r="FC20" s="184">
        <f t="shared" si="65"/>
        <v>0</v>
      </c>
      <c r="FD20" s="184">
        <v>819.91988000000003</v>
      </c>
      <c r="FE20" s="184">
        <v>104.13845999999999</v>
      </c>
      <c r="FF20" s="184">
        <f t="shared" si="66"/>
        <v>-715.78142000000003</v>
      </c>
      <c r="FG20" s="184">
        <v>0</v>
      </c>
      <c r="FH20" s="184">
        <v>0</v>
      </c>
      <c r="FI20" s="184">
        <f t="shared" si="67"/>
        <v>0</v>
      </c>
      <c r="FJ20" s="184">
        <v>0</v>
      </c>
      <c r="FK20" s="184">
        <v>0</v>
      </c>
      <c r="FL20" s="184">
        <f t="shared" si="68"/>
        <v>0</v>
      </c>
      <c r="FM20" s="184">
        <v>243.84084999999999</v>
      </c>
      <c r="FN20" s="184">
        <v>244.90170000000001</v>
      </c>
      <c r="FO20" s="184">
        <f t="shared" si="69"/>
        <v>1.0608500000000163</v>
      </c>
      <c r="FP20" s="184">
        <f t="shared" si="70"/>
        <v>0.43505835876146648</v>
      </c>
    </row>
    <row r="21" spans="1:172" s="184" customFormat="1" x14ac:dyDescent="0.25">
      <c r="A21" s="182" t="s">
        <v>171</v>
      </c>
      <c r="B21" s="183">
        <v>0</v>
      </c>
      <c r="C21" s="183">
        <v>1188089.51492</v>
      </c>
      <c r="D21" s="183">
        <v>0</v>
      </c>
      <c r="E21" s="183">
        <v>108346.15978</v>
      </c>
      <c r="F21" s="184">
        <f t="shared" si="19"/>
        <v>1296435.6747000001</v>
      </c>
      <c r="G21" s="183">
        <v>0</v>
      </c>
      <c r="H21" s="183">
        <v>578500.41463000001</v>
      </c>
      <c r="I21" s="183">
        <v>0</v>
      </c>
      <c r="J21" s="183">
        <v>51389.571709999997</v>
      </c>
      <c r="K21" s="184">
        <f t="shared" si="20"/>
        <v>629889.98634000006</v>
      </c>
      <c r="L21" s="183">
        <v>83124.082179999998</v>
      </c>
      <c r="M21" s="183">
        <v>0</v>
      </c>
      <c r="N21" s="183">
        <v>21812.400000000001</v>
      </c>
      <c r="O21" s="184">
        <f t="shared" si="21"/>
        <v>104936.48217999999</v>
      </c>
      <c r="P21" s="183">
        <v>42479.242460000001</v>
      </c>
      <c r="Q21" s="183">
        <v>0</v>
      </c>
      <c r="R21" s="183">
        <v>11399.7988</v>
      </c>
      <c r="S21" s="184">
        <f t="shared" si="22"/>
        <v>53879.041259999998</v>
      </c>
      <c r="T21" s="183">
        <v>0</v>
      </c>
      <c r="U21" s="183">
        <v>1217124.3665199999</v>
      </c>
      <c r="V21" s="183">
        <v>0</v>
      </c>
      <c r="W21" s="183">
        <v>110556.94763</v>
      </c>
      <c r="X21" s="184">
        <f t="shared" si="23"/>
        <v>1327681.31415</v>
      </c>
      <c r="Y21" s="183">
        <v>0</v>
      </c>
      <c r="Z21" s="183">
        <v>586722.11539000005</v>
      </c>
      <c r="AA21" s="183">
        <v>0</v>
      </c>
      <c r="AB21" s="183">
        <v>49243.012790000001</v>
      </c>
      <c r="AC21" s="184">
        <f t="shared" si="24"/>
        <v>635965.12818</v>
      </c>
      <c r="AD21" s="184">
        <f t="shared" si="0"/>
        <v>1191499.19252</v>
      </c>
      <c r="AE21" s="184">
        <f t="shared" si="1"/>
        <v>576010.94508000009</v>
      </c>
      <c r="AF21" s="184">
        <f t="shared" si="25"/>
        <v>48.343376873109499</v>
      </c>
      <c r="AG21" s="185">
        <v>1191499</v>
      </c>
      <c r="AH21" s="185">
        <f t="shared" si="26"/>
        <v>-0.19252000004053116</v>
      </c>
      <c r="AI21" s="185">
        <v>576033</v>
      </c>
      <c r="AJ21" s="185">
        <f t="shared" si="27"/>
        <v>22.054919999907725</v>
      </c>
      <c r="AK21" s="184">
        <f t="shared" si="2"/>
        <v>1222744.8319699999</v>
      </c>
      <c r="AL21" s="184">
        <f t="shared" si="3"/>
        <v>582086.08692000003</v>
      </c>
      <c r="AM21" s="184">
        <f t="shared" si="28"/>
        <v>47.60486993694213</v>
      </c>
      <c r="AN21" s="183">
        <v>0</v>
      </c>
      <c r="AO21" s="183">
        <v>1054127.8440700001</v>
      </c>
      <c r="AP21" s="183">
        <v>0</v>
      </c>
      <c r="AQ21" s="183">
        <v>83124.082179999998</v>
      </c>
      <c r="AR21" s="407">
        <f t="shared" si="4"/>
        <v>0</v>
      </c>
      <c r="AS21" s="184">
        <f t="shared" si="29"/>
        <v>1137251.92625</v>
      </c>
      <c r="AT21" s="183">
        <v>0</v>
      </c>
      <c r="AU21" s="183">
        <v>506117.45442000002</v>
      </c>
      <c r="AV21" s="183">
        <v>0</v>
      </c>
      <c r="AW21" s="183">
        <v>42457.542459999997</v>
      </c>
      <c r="AX21" s="186">
        <f t="shared" si="5"/>
        <v>21.700000000004366</v>
      </c>
      <c r="AY21" s="184">
        <f t="shared" si="30"/>
        <v>548574.99687999999</v>
      </c>
      <c r="AZ21" s="184">
        <f t="shared" si="6"/>
        <v>1032315.44407</v>
      </c>
      <c r="BA21" s="184">
        <f t="shared" si="7"/>
        <v>494695.95562000002</v>
      </c>
      <c r="BB21" s="184">
        <f t="shared" si="31"/>
        <v>47.921006942375584</v>
      </c>
      <c r="BC21" s="183">
        <v>0</v>
      </c>
      <c r="BD21" s="183">
        <v>133404.1</v>
      </c>
      <c r="BE21" s="183">
        <v>0</v>
      </c>
      <c r="BF21" s="183">
        <v>26063.03629</v>
      </c>
      <c r="BG21" s="184">
        <f t="shared" si="32"/>
        <v>159467.13628999999</v>
      </c>
      <c r="BH21" s="183">
        <v>0</v>
      </c>
      <c r="BI21" s="183">
        <v>71825.389360000001</v>
      </c>
      <c r="BJ21" s="183">
        <v>0</v>
      </c>
      <c r="BK21" s="183">
        <v>9741.9429400000008</v>
      </c>
      <c r="BL21" s="184">
        <f t="shared" si="33"/>
        <v>81567.332300000009</v>
      </c>
      <c r="BM21" s="187">
        <v>13463</v>
      </c>
      <c r="BN21" s="184">
        <f t="shared" si="34"/>
        <v>13463</v>
      </c>
      <c r="BO21" s="187">
        <v>6111.6960399999998</v>
      </c>
      <c r="BP21" s="184">
        <f t="shared" si="35"/>
        <v>6111.6960399999998</v>
      </c>
      <c r="BQ21" s="184">
        <f t="shared" si="8"/>
        <v>45.396241848027927</v>
      </c>
      <c r="BR21" s="187">
        <v>1696.3</v>
      </c>
      <c r="BS21" s="184">
        <f t="shared" si="36"/>
        <v>1696.3</v>
      </c>
      <c r="BT21" s="327">
        <v>858.89530999999999</v>
      </c>
      <c r="BU21" s="184">
        <f t="shared" si="37"/>
        <v>858.89530999999999</v>
      </c>
      <c r="BV21" s="184">
        <f t="shared" si="9"/>
        <v>50.633455756646818</v>
      </c>
      <c r="BW21" s="187">
        <v>14933.55629</v>
      </c>
      <c r="BX21" s="184">
        <f t="shared" si="38"/>
        <v>14933.55629</v>
      </c>
      <c r="BY21" s="187">
        <v>2088.9407299999998</v>
      </c>
      <c r="BZ21" s="184">
        <f t="shared" si="39"/>
        <v>2088.9407299999998</v>
      </c>
      <c r="CA21" s="187">
        <v>4441.6327799999999</v>
      </c>
      <c r="CB21" s="184">
        <f t="shared" si="40"/>
        <v>4441.6327799999999</v>
      </c>
      <c r="CC21" s="184">
        <f t="shared" si="10"/>
        <v>29.742632590297749</v>
      </c>
      <c r="CD21" s="184">
        <f t="shared" si="41"/>
        <v>2352.6920500000001</v>
      </c>
      <c r="CE21" s="184">
        <f t="shared" si="42"/>
        <v>112.62607963032059</v>
      </c>
      <c r="CF21" s="187">
        <v>11883.38</v>
      </c>
      <c r="CG21" s="184">
        <f t="shared" si="43"/>
        <v>11883.38</v>
      </c>
      <c r="CH21" s="187">
        <v>7172.1311800000003</v>
      </c>
      <c r="CI21" s="184">
        <f t="shared" si="44"/>
        <v>7172.1311800000003</v>
      </c>
      <c r="CJ21" s="184">
        <f t="shared" si="11"/>
        <v>60.354303068655554</v>
      </c>
      <c r="CK21" s="184">
        <v>38866.002189999999</v>
      </c>
      <c r="CL21" s="184">
        <v>945.94050000000004</v>
      </c>
      <c r="CM21" s="187">
        <v>71024909.599999994</v>
      </c>
      <c r="CN21" s="184">
        <f t="shared" si="45"/>
        <v>71024.909599999999</v>
      </c>
      <c r="CO21" s="187">
        <v>547109.31000000006</v>
      </c>
      <c r="CP21" s="184">
        <f t="shared" si="46"/>
        <v>547.10931000000005</v>
      </c>
      <c r="CQ21" s="184">
        <f t="shared" si="12"/>
        <v>32158.90741</v>
      </c>
      <c r="CR21" s="184">
        <f t="shared" si="13"/>
        <v>-398.83118999999999</v>
      </c>
      <c r="CS21" s="184">
        <f t="shared" si="14"/>
        <v>-31245.639449999901</v>
      </c>
      <c r="CT21" s="184">
        <f t="shared" si="15"/>
        <v>-6075.1418399999384</v>
      </c>
      <c r="CW21" s="184">
        <f t="shared" si="47"/>
        <v>0</v>
      </c>
      <c r="CX21" s="183">
        <v>0</v>
      </c>
      <c r="CY21" s="183">
        <v>1054685.4149199999</v>
      </c>
      <c r="CZ21" s="183">
        <v>0</v>
      </c>
      <c r="DA21" s="183">
        <v>82283.123489999998</v>
      </c>
      <c r="DB21" s="184">
        <f t="shared" si="48"/>
        <v>1136968.5384099998</v>
      </c>
      <c r="DC21" s="183">
        <v>0</v>
      </c>
      <c r="DD21" s="183">
        <v>506675.02526999998</v>
      </c>
      <c r="DE21" s="183">
        <v>0</v>
      </c>
      <c r="DF21" s="183">
        <v>41647.628770000003</v>
      </c>
      <c r="DG21" s="184">
        <f t="shared" si="49"/>
        <v>548322.65403999994</v>
      </c>
      <c r="DH21" s="188">
        <f t="shared" si="16"/>
        <v>1032032.0562299998</v>
      </c>
      <c r="DI21" s="188">
        <f t="shared" si="17"/>
        <v>494443.61277999997</v>
      </c>
      <c r="DJ21" s="184">
        <f t="shared" si="50"/>
        <v>47.909714605784274</v>
      </c>
      <c r="DK21" s="183">
        <v>96112.1</v>
      </c>
      <c r="DL21" s="184">
        <f t="shared" si="51"/>
        <v>96112.1</v>
      </c>
      <c r="DM21" s="183">
        <v>52696.264860000003</v>
      </c>
      <c r="DN21" s="184">
        <f t="shared" si="52"/>
        <v>52696.264860000003</v>
      </c>
      <c r="DO21" s="187">
        <v>11835.23</v>
      </c>
      <c r="DP21" s="184">
        <f t="shared" si="53"/>
        <v>11.835229999999999</v>
      </c>
      <c r="DQ21" s="408">
        <v>54</v>
      </c>
      <c r="DR21" s="184">
        <v>4.1889799999999999</v>
      </c>
      <c r="DS21" s="184">
        <f t="shared" si="18"/>
        <v>-7.6462499999999993</v>
      </c>
      <c r="DT21" s="184">
        <v>9994.8952599999993</v>
      </c>
      <c r="DU21" s="184">
        <v>619.9</v>
      </c>
      <c r="DV21" s="184">
        <v>339401.77902000002</v>
      </c>
      <c r="DW21" s="184">
        <v>1241.72918</v>
      </c>
      <c r="DX21" s="184">
        <f t="shared" si="54"/>
        <v>329406.88376</v>
      </c>
      <c r="DY21" s="184">
        <f t="shared" si="55"/>
        <v>621.82918000000006</v>
      </c>
      <c r="DZ21" s="184">
        <v>20605.95264</v>
      </c>
      <c r="EA21" s="184">
        <v>15378.38379</v>
      </c>
      <c r="EB21" s="184">
        <v>52966.200689999998</v>
      </c>
      <c r="EC21" s="184">
        <v>14603.125459999999</v>
      </c>
      <c r="ED21" s="184">
        <f t="shared" si="56"/>
        <v>32360.248049999998</v>
      </c>
      <c r="EE21" s="184">
        <f t="shared" si="57"/>
        <v>-775.25833000000057</v>
      </c>
      <c r="EF21" s="184">
        <v>3545.7409299999999</v>
      </c>
      <c r="EG21" s="184">
        <v>3545.7409299999999</v>
      </c>
      <c r="EH21" s="184">
        <v>2830.3662199999999</v>
      </c>
      <c r="EI21" s="184">
        <v>2649.1554000000001</v>
      </c>
      <c r="EJ21" s="184">
        <f t="shared" si="58"/>
        <v>-715.37471000000005</v>
      </c>
      <c r="EK21" s="184">
        <f t="shared" si="59"/>
        <v>-896.58552999999984</v>
      </c>
      <c r="EL21" s="184">
        <v>3752.2873399999999</v>
      </c>
      <c r="EM21" s="184">
        <v>485.51697999999999</v>
      </c>
      <c r="EN21" s="184">
        <v>9068.0740499999993</v>
      </c>
      <c r="EO21" s="184">
        <v>656.55552</v>
      </c>
      <c r="EP21" s="184">
        <f t="shared" si="60"/>
        <v>5315.7867099999994</v>
      </c>
      <c r="EQ21" s="184">
        <f t="shared" si="61"/>
        <v>171.03854000000001</v>
      </c>
      <c r="ER21" s="184">
        <v>985.66057000000001</v>
      </c>
      <c r="ES21" s="184">
        <v>355.15285999999998</v>
      </c>
      <c r="ET21" s="184">
        <v>1049.31187</v>
      </c>
      <c r="EU21" s="184">
        <v>305.44152000000003</v>
      </c>
      <c r="EV21" s="184">
        <f t="shared" si="62"/>
        <v>63.651299999999992</v>
      </c>
      <c r="EW21" s="184">
        <f t="shared" si="63"/>
        <v>-49.71133999999995</v>
      </c>
      <c r="EX21" s="184">
        <v>40.254350000000002</v>
      </c>
      <c r="EY21" s="184">
        <v>0</v>
      </c>
      <c r="EZ21" s="184">
        <v>0</v>
      </c>
      <c r="FA21" s="184">
        <v>0</v>
      </c>
      <c r="FB21" s="184">
        <f t="shared" si="64"/>
        <v>-40.254350000000002</v>
      </c>
      <c r="FC21" s="184">
        <f t="shared" si="65"/>
        <v>0</v>
      </c>
      <c r="FD21" s="184">
        <v>204</v>
      </c>
      <c r="FE21" s="184">
        <v>212.73247000000001</v>
      </c>
      <c r="FF21" s="184">
        <f t="shared" si="66"/>
        <v>8.7324700000000064</v>
      </c>
      <c r="FG21" s="184">
        <v>0</v>
      </c>
      <c r="FH21" s="184">
        <v>0</v>
      </c>
      <c r="FI21" s="184">
        <f t="shared" si="67"/>
        <v>0</v>
      </c>
      <c r="FJ21" s="184">
        <v>0</v>
      </c>
      <c r="FK21" s="184">
        <v>0</v>
      </c>
      <c r="FL21" s="184">
        <f t="shared" si="68"/>
        <v>0</v>
      </c>
      <c r="FM21" s="184">
        <v>0</v>
      </c>
      <c r="FN21" s="184">
        <v>0</v>
      </c>
      <c r="FO21" s="184">
        <f t="shared" si="69"/>
        <v>0</v>
      </c>
      <c r="FP21" s="184" t="e">
        <f t="shared" si="70"/>
        <v>#DIV/0!</v>
      </c>
    </row>
    <row r="22" spans="1:172" s="184" customFormat="1" x14ac:dyDescent="0.25">
      <c r="A22" s="182" t="s">
        <v>172</v>
      </c>
      <c r="B22" s="183">
        <v>0</v>
      </c>
      <c r="C22" s="183">
        <v>1023020.3311599999</v>
      </c>
      <c r="D22" s="183">
        <v>145020.36947999999</v>
      </c>
      <c r="E22" s="183">
        <v>37345.305610000003</v>
      </c>
      <c r="F22" s="184">
        <f t="shared" si="19"/>
        <v>1205386.0062499999</v>
      </c>
      <c r="G22" s="183">
        <v>0</v>
      </c>
      <c r="H22" s="183">
        <v>554945.98121</v>
      </c>
      <c r="I22" s="183">
        <v>66401.814450000005</v>
      </c>
      <c r="J22" s="183">
        <v>12311.51964</v>
      </c>
      <c r="K22" s="184">
        <f t="shared" si="20"/>
        <v>633659.31530000002</v>
      </c>
      <c r="L22" s="183">
        <v>58219.757900000011</v>
      </c>
      <c r="M22" s="183">
        <v>70.3</v>
      </c>
      <c r="N22" s="183">
        <v>43.2</v>
      </c>
      <c r="O22" s="184">
        <f t="shared" si="21"/>
        <v>58333.257900000011</v>
      </c>
      <c r="P22" s="183">
        <v>21713.461410000004</v>
      </c>
      <c r="Q22" s="183">
        <v>0</v>
      </c>
      <c r="R22" s="183">
        <v>0</v>
      </c>
      <c r="S22" s="184">
        <f t="shared" si="22"/>
        <v>21713.461410000004</v>
      </c>
      <c r="T22" s="183">
        <v>0</v>
      </c>
      <c r="U22" s="183">
        <v>1030733.2438000001</v>
      </c>
      <c r="V22" s="183">
        <v>156958.55643999999</v>
      </c>
      <c r="W22" s="183">
        <v>37237.249649999998</v>
      </c>
      <c r="X22" s="184">
        <f t="shared" si="23"/>
        <v>1224929.0498899999</v>
      </c>
      <c r="Y22" s="183">
        <v>0</v>
      </c>
      <c r="Z22" s="183">
        <v>562321.34524000005</v>
      </c>
      <c r="AA22" s="183">
        <v>58392.121760000002</v>
      </c>
      <c r="AB22" s="183">
        <v>11687.389880000001</v>
      </c>
      <c r="AC22" s="184">
        <f t="shared" si="24"/>
        <v>632400.85688000009</v>
      </c>
      <c r="AD22" s="184">
        <f t="shared" si="0"/>
        <v>1147052.7483499998</v>
      </c>
      <c r="AE22" s="184">
        <f t="shared" si="1"/>
        <v>611945.85389000003</v>
      </c>
      <c r="AF22" s="184">
        <f t="shared" si="25"/>
        <v>53.349408278761842</v>
      </c>
      <c r="AG22" s="185">
        <v>1147166</v>
      </c>
      <c r="AH22" s="185">
        <f t="shared" si="26"/>
        <v>113.25165000022389</v>
      </c>
      <c r="AI22" s="185">
        <v>611946</v>
      </c>
      <c r="AJ22" s="185">
        <f t="shared" si="27"/>
        <v>0.1461099999723956</v>
      </c>
      <c r="AK22" s="184">
        <f t="shared" si="2"/>
        <v>1166595.7919899998</v>
      </c>
      <c r="AL22" s="184">
        <f t="shared" si="3"/>
        <v>610687.3954700001</v>
      </c>
      <c r="AM22" s="184">
        <f t="shared" si="28"/>
        <v>52.347814012622031</v>
      </c>
      <c r="AN22" s="183">
        <v>0</v>
      </c>
      <c r="AO22" s="183">
        <v>820797.26586000004</v>
      </c>
      <c r="AP22" s="183">
        <v>32029.30285</v>
      </c>
      <c r="AQ22" s="183">
        <v>26190.45505</v>
      </c>
      <c r="AR22" s="407">
        <f t="shared" si="4"/>
        <v>0</v>
      </c>
      <c r="AS22" s="184">
        <f t="shared" si="29"/>
        <v>879017.02376000001</v>
      </c>
      <c r="AT22" s="183">
        <v>0</v>
      </c>
      <c r="AU22" s="183">
        <v>447349.25228999997</v>
      </c>
      <c r="AV22" s="183">
        <v>12285.992539999999</v>
      </c>
      <c r="AW22" s="183">
        <v>9427.4688700000006</v>
      </c>
      <c r="AX22" s="186">
        <f t="shared" si="5"/>
        <v>0</v>
      </c>
      <c r="AY22" s="184">
        <f t="shared" si="30"/>
        <v>469062.71369999996</v>
      </c>
      <c r="AZ22" s="184">
        <f t="shared" si="6"/>
        <v>820683.76586000004</v>
      </c>
      <c r="BA22" s="184">
        <f t="shared" si="7"/>
        <v>447349.25228999997</v>
      </c>
      <c r="BB22" s="184">
        <f t="shared" si="31"/>
        <v>54.509333667788546</v>
      </c>
      <c r="BC22" s="183">
        <v>0</v>
      </c>
      <c r="BD22" s="183">
        <v>202134.1</v>
      </c>
      <c r="BE22" s="183">
        <v>113681.40781999999</v>
      </c>
      <c r="BF22" s="183">
        <v>12072.18008</v>
      </c>
      <c r="BG22" s="184">
        <f t="shared" si="32"/>
        <v>327887.68790000002</v>
      </c>
      <c r="BH22" s="183">
        <v>0</v>
      </c>
      <c r="BI22" s="183">
        <v>107620.9175</v>
      </c>
      <c r="BJ22" s="183">
        <v>54861.453699999998</v>
      </c>
      <c r="BK22" s="183">
        <v>3524.6802899999998</v>
      </c>
      <c r="BL22" s="184">
        <f t="shared" si="33"/>
        <v>166007.05148999998</v>
      </c>
      <c r="BM22" s="187">
        <v>26558.604029999999</v>
      </c>
      <c r="BN22" s="184">
        <f t="shared" si="34"/>
        <v>26558.604029999999</v>
      </c>
      <c r="BO22" s="187">
        <v>13780.24871</v>
      </c>
      <c r="BP22" s="184">
        <f t="shared" si="35"/>
        <v>13780.24871</v>
      </c>
      <c r="BQ22" s="184">
        <f t="shared" si="8"/>
        <v>51.886193620847479</v>
      </c>
      <c r="BR22" s="187">
        <v>3681.0239999999999</v>
      </c>
      <c r="BS22" s="184">
        <f t="shared" si="36"/>
        <v>3681.0239999999999</v>
      </c>
      <c r="BT22" s="327">
        <v>2824.0790999999999</v>
      </c>
      <c r="BU22" s="184">
        <f t="shared" si="37"/>
        <v>2824.0790999999999</v>
      </c>
      <c r="BV22" s="184">
        <f t="shared" si="9"/>
        <v>76.7199317363864</v>
      </c>
      <c r="BW22" s="187">
        <v>37320.898999999998</v>
      </c>
      <c r="BX22" s="184">
        <f t="shared" si="38"/>
        <v>37320.898999999998</v>
      </c>
      <c r="BY22" s="187">
        <v>14094.51334</v>
      </c>
      <c r="BZ22" s="184">
        <f t="shared" si="39"/>
        <v>14094.51334</v>
      </c>
      <c r="CA22" s="187">
        <v>14039.792160000001</v>
      </c>
      <c r="CB22" s="184">
        <f t="shared" si="40"/>
        <v>14039.792160000001</v>
      </c>
      <c r="CC22" s="184">
        <f t="shared" si="10"/>
        <v>37.619115659566511</v>
      </c>
      <c r="CD22" s="184">
        <f t="shared" si="41"/>
        <v>-54.72117999999864</v>
      </c>
      <c r="CE22" s="184">
        <f t="shared" si="42"/>
        <v>-0.38824455076928643</v>
      </c>
      <c r="CF22" s="187">
        <v>31972.124</v>
      </c>
      <c r="CG22" s="184">
        <f t="shared" si="43"/>
        <v>31972.124</v>
      </c>
      <c r="CH22" s="187">
        <v>12954.02324</v>
      </c>
      <c r="CI22" s="184">
        <f t="shared" si="44"/>
        <v>12954.02324</v>
      </c>
      <c r="CJ22" s="184">
        <f t="shared" si="11"/>
        <v>40.516617663562172</v>
      </c>
      <c r="CK22" s="184">
        <v>19167.342519999998</v>
      </c>
      <c r="CL22" s="184">
        <v>53.480290000000004</v>
      </c>
      <c r="CM22" s="187">
        <v>78232814.549999997</v>
      </c>
      <c r="CN22" s="184">
        <f t="shared" si="45"/>
        <v>78232.814549999996</v>
      </c>
      <c r="CO22" s="187">
        <v>3578471.21</v>
      </c>
      <c r="CP22" s="184">
        <f t="shared" si="46"/>
        <v>3578.4712100000002</v>
      </c>
      <c r="CQ22" s="184">
        <f t="shared" si="12"/>
        <v>59065.472029999997</v>
      </c>
      <c r="CR22" s="184">
        <f t="shared" si="13"/>
        <v>3524.9909200000002</v>
      </c>
      <c r="CS22" s="184">
        <f t="shared" si="14"/>
        <v>-19543.043640000047</v>
      </c>
      <c r="CT22" s="184">
        <f t="shared" si="15"/>
        <v>1258.4584199999226</v>
      </c>
      <c r="CU22" s="184">
        <v>97000</v>
      </c>
      <c r="CV22" s="184">
        <v>85500</v>
      </c>
      <c r="CW22" s="184">
        <f t="shared" si="47"/>
        <v>-11500</v>
      </c>
      <c r="CX22" s="183">
        <v>0</v>
      </c>
      <c r="CY22" s="183">
        <v>820886.23115999997</v>
      </c>
      <c r="CZ22" s="183">
        <v>31338.961660000001</v>
      </c>
      <c r="DA22" s="183">
        <v>25273.125530000001</v>
      </c>
      <c r="DB22" s="184">
        <f t="shared" si="48"/>
        <v>877498.31834999996</v>
      </c>
      <c r="DC22" s="183">
        <v>0</v>
      </c>
      <c r="DD22" s="183">
        <v>447325.06371000002</v>
      </c>
      <c r="DE22" s="183">
        <v>11540.36075</v>
      </c>
      <c r="DF22" s="183">
        <v>8786.8393500000002</v>
      </c>
      <c r="DG22" s="184">
        <f t="shared" si="49"/>
        <v>467652.26381000003</v>
      </c>
      <c r="DH22" s="188">
        <f t="shared" si="16"/>
        <v>819165.06044999999</v>
      </c>
      <c r="DI22" s="188">
        <f t="shared" si="17"/>
        <v>445938.80240000004</v>
      </c>
      <c r="DJ22" s="184">
        <f t="shared" si="50"/>
        <v>54.438210799057778</v>
      </c>
      <c r="DK22" s="183">
        <v>200754.592</v>
      </c>
      <c r="DL22" s="184">
        <f t="shared" si="51"/>
        <v>200754.592</v>
      </c>
      <c r="DM22" s="183">
        <v>106879.56053</v>
      </c>
      <c r="DN22" s="184">
        <f t="shared" si="52"/>
        <v>106879.56053</v>
      </c>
      <c r="DO22" s="187">
        <v>11860.91</v>
      </c>
      <c r="DP22" s="184">
        <f t="shared" si="53"/>
        <v>11.860910000000001</v>
      </c>
      <c r="DQ22" s="408">
        <v>123.60402999999999</v>
      </c>
      <c r="DR22" s="184">
        <v>247.64008999999999</v>
      </c>
      <c r="DS22" s="184">
        <f t="shared" si="18"/>
        <v>235.77918</v>
      </c>
      <c r="DT22" s="184">
        <v>122004.61497</v>
      </c>
      <c r="DU22" s="184">
        <v>67968.822899999999</v>
      </c>
      <c r="DV22" s="184">
        <v>121809.05928</v>
      </c>
      <c r="DW22" s="184">
        <v>68156.855009999999</v>
      </c>
      <c r="DX22" s="184">
        <f t="shared" si="54"/>
        <v>-195.55568999999377</v>
      </c>
      <c r="DY22" s="184">
        <f t="shared" si="55"/>
        <v>188.0321100000001</v>
      </c>
      <c r="DZ22" s="184">
        <v>89813.445569999996</v>
      </c>
      <c r="EA22" s="184">
        <v>9390.6642900000006</v>
      </c>
      <c r="EB22" s="184">
        <v>78504.290720000005</v>
      </c>
      <c r="EC22" s="184">
        <v>13861.72514</v>
      </c>
      <c r="ED22" s="184">
        <f t="shared" si="56"/>
        <v>-11309.154849999992</v>
      </c>
      <c r="EE22" s="184">
        <f t="shared" si="57"/>
        <v>4471.0608499999998</v>
      </c>
      <c r="EF22" s="184">
        <v>25797.0933</v>
      </c>
      <c r="EG22" s="184">
        <v>8044.3591200000001</v>
      </c>
      <c r="EH22" s="184">
        <v>13489.46882</v>
      </c>
      <c r="EI22" s="184">
        <v>12579.6315</v>
      </c>
      <c r="EJ22" s="184">
        <f t="shared" si="58"/>
        <v>-12307.62448</v>
      </c>
      <c r="EK22" s="184">
        <f t="shared" si="59"/>
        <v>4535.2723799999994</v>
      </c>
      <c r="EL22" s="184">
        <v>37352.112699999998</v>
      </c>
      <c r="EM22" s="184">
        <v>1346.3051700000001</v>
      </c>
      <c r="EN22" s="184">
        <v>38262.519619999999</v>
      </c>
      <c r="EO22" s="184">
        <v>1183.4936399999999</v>
      </c>
      <c r="EP22" s="184">
        <f t="shared" si="60"/>
        <v>910.40692000000126</v>
      </c>
      <c r="EQ22" s="184">
        <f t="shared" si="61"/>
        <v>-162.81153000000018</v>
      </c>
      <c r="ER22" s="184">
        <v>103.6</v>
      </c>
      <c r="ES22" s="184">
        <v>0</v>
      </c>
      <c r="ET22" s="184">
        <v>98.6</v>
      </c>
      <c r="EU22" s="184">
        <v>98.6</v>
      </c>
      <c r="EV22" s="184">
        <f t="shared" si="62"/>
        <v>-5</v>
      </c>
      <c r="EW22" s="184">
        <f t="shared" si="63"/>
        <v>98.6</v>
      </c>
      <c r="EX22" s="184">
        <v>0</v>
      </c>
      <c r="EY22" s="184">
        <v>0</v>
      </c>
      <c r="EZ22" s="184">
        <v>0</v>
      </c>
      <c r="FA22" s="184">
        <v>0</v>
      </c>
      <c r="FB22" s="184">
        <f t="shared" si="64"/>
        <v>0</v>
      </c>
      <c r="FC22" s="184">
        <f t="shared" si="65"/>
        <v>0</v>
      </c>
      <c r="FD22" s="184">
        <v>17845.802640000002</v>
      </c>
      <c r="FE22" s="416">
        <v>19815.77115</v>
      </c>
      <c r="FF22" s="184">
        <f t="shared" si="66"/>
        <v>1969.9685099999988</v>
      </c>
      <c r="FG22" s="184">
        <v>1670.17912</v>
      </c>
      <c r="FH22" s="184">
        <v>925.95749000000001</v>
      </c>
      <c r="FI22" s="184">
        <f t="shared" si="67"/>
        <v>-744.22163</v>
      </c>
      <c r="FJ22" s="184">
        <v>0</v>
      </c>
      <c r="FK22" s="184">
        <v>0</v>
      </c>
      <c r="FL22" s="184">
        <f t="shared" si="68"/>
        <v>0</v>
      </c>
      <c r="FM22" s="184">
        <v>44338.957900000001</v>
      </c>
      <c r="FN22" s="184">
        <v>43281.376089999998</v>
      </c>
      <c r="FO22" s="184">
        <f t="shared" si="69"/>
        <v>-1057.5818100000033</v>
      </c>
      <c r="FP22" s="184">
        <f t="shared" si="70"/>
        <v>-2.3852202669833247</v>
      </c>
    </row>
    <row r="23" spans="1:172" s="184" customFormat="1" x14ac:dyDescent="0.25">
      <c r="A23" s="182" t="s">
        <v>173</v>
      </c>
      <c r="B23" s="183">
        <v>0</v>
      </c>
      <c r="C23" s="183">
        <v>1178349.1385300001</v>
      </c>
      <c r="D23" s="183">
        <v>0</v>
      </c>
      <c r="E23" s="183">
        <v>566967.86340999999</v>
      </c>
      <c r="F23" s="184">
        <f t="shared" si="19"/>
        <v>1745317.0019400001</v>
      </c>
      <c r="G23" s="183">
        <v>0</v>
      </c>
      <c r="H23" s="183">
        <v>469178.90947000001</v>
      </c>
      <c r="I23" s="183">
        <v>0</v>
      </c>
      <c r="J23" s="183">
        <v>72440.467180000007</v>
      </c>
      <c r="K23" s="184">
        <f t="shared" si="20"/>
        <v>541619.37664999999</v>
      </c>
      <c r="L23" s="183">
        <v>253368.31357</v>
      </c>
      <c r="M23" s="183">
        <v>0</v>
      </c>
      <c r="N23" s="183">
        <v>440</v>
      </c>
      <c r="O23" s="184">
        <f t="shared" si="21"/>
        <v>253808.31357</v>
      </c>
      <c r="P23" s="183">
        <v>34260.014380000001</v>
      </c>
      <c r="Q23" s="183">
        <v>0</v>
      </c>
      <c r="R23" s="183">
        <v>220</v>
      </c>
      <c r="S23" s="184">
        <f t="shared" si="22"/>
        <v>34480.014380000001</v>
      </c>
      <c r="T23" s="183">
        <v>0</v>
      </c>
      <c r="U23" s="183">
        <v>1250402.69894</v>
      </c>
      <c r="V23" s="183">
        <v>0</v>
      </c>
      <c r="W23" s="183">
        <v>590954.21518000006</v>
      </c>
      <c r="X23" s="184">
        <f t="shared" si="23"/>
        <v>1841356.9141200001</v>
      </c>
      <c r="Y23" s="183">
        <v>0</v>
      </c>
      <c r="Z23" s="183">
        <v>515567.52088000003</v>
      </c>
      <c r="AA23" s="183">
        <v>0</v>
      </c>
      <c r="AB23" s="183">
        <v>74932.087369999994</v>
      </c>
      <c r="AC23" s="184">
        <f t="shared" si="24"/>
        <v>590499.60825000005</v>
      </c>
      <c r="AD23" s="184">
        <f t="shared" si="0"/>
        <v>1491508.6883700001</v>
      </c>
      <c r="AE23" s="184">
        <f t="shared" si="1"/>
        <v>507139.36226999998</v>
      </c>
      <c r="AF23" s="184">
        <f t="shared" si="25"/>
        <v>34.001770571261559</v>
      </c>
      <c r="AG23" s="185">
        <v>1491509</v>
      </c>
      <c r="AH23" s="185">
        <f t="shared" si="26"/>
        <v>0.31162999989464879</v>
      </c>
      <c r="AI23" s="185">
        <v>507139</v>
      </c>
      <c r="AJ23" s="185">
        <f t="shared" si="27"/>
        <v>-0.36226999998325482</v>
      </c>
      <c r="AK23" s="184">
        <f t="shared" si="2"/>
        <v>1587548.6005500001</v>
      </c>
      <c r="AL23" s="184">
        <f t="shared" si="3"/>
        <v>556019.5938700001</v>
      </c>
      <c r="AM23" s="184">
        <f t="shared" si="28"/>
        <v>35.02378407044479</v>
      </c>
      <c r="AN23" s="183">
        <v>0</v>
      </c>
      <c r="AO23" s="183">
        <v>900111.77324999997</v>
      </c>
      <c r="AP23" s="183">
        <v>0</v>
      </c>
      <c r="AQ23" s="183">
        <v>253368.31357</v>
      </c>
      <c r="AR23" s="407">
        <f t="shared" si="4"/>
        <v>0</v>
      </c>
      <c r="AS23" s="184">
        <f t="shared" si="29"/>
        <v>1153480.0868199999</v>
      </c>
      <c r="AT23" s="183">
        <v>0</v>
      </c>
      <c r="AU23" s="183">
        <v>326431.72097000002</v>
      </c>
      <c r="AV23" s="183">
        <v>0</v>
      </c>
      <c r="AW23" s="183">
        <v>34260.014380000001</v>
      </c>
      <c r="AX23" s="186">
        <f t="shared" si="5"/>
        <v>0</v>
      </c>
      <c r="AY23" s="184">
        <f t="shared" si="30"/>
        <v>360691.73535000003</v>
      </c>
      <c r="AZ23" s="184">
        <f t="shared" si="6"/>
        <v>899671.77324999985</v>
      </c>
      <c r="BA23" s="184">
        <f t="shared" si="7"/>
        <v>326211.72097000002</v>
      </c>
      <c r="BB23" s="184">
        <f t="shared" si="31"/>
        <v>36.25897028997403</v>
      </c>
      <c r="BC23" s="183">
        <v>0</v>
      </c>
      <c r="BD23" s="183">
        <v>275025.81</v>
      </c>
      <c r="BE23" s="183">
        <v>0</v>
      </c>
      <c r="BF23" s="183">
        <v>315067.53357999999</v>
      </c>
      <c r="BG23" s="184">
        <f t="shared" si="32"/>
        <v>590093.34357999999</v>
      </c>
      <c r="BH23" s="183">
        <v>0</v>
      </c>
      <c r="BI23" s="183">
        <v>140240.63321999999</v>
      </c>
      <c r="BJ23" s="183">
        <v>0</v>
      </c>
      <c r="BK23" s="183">
        <v>40134.843370000002</v>
      </c>
      <c r="BL23" s="184">
        <f t="shared" si="33"/>
        <v>180375.47658999998</v>
      </c>
      <c r="BM23" s="187">
        <v>10460.250599999999</v>
      </c>
      <c r="BN23" s="184">
        <f t="shared" si="34"/>
        <v>10460.250599999999</v>
      </c>
      <c r="BO23" s="187">
        <v>4130.5054</v>
      </c>
      <c r="BP23" s="184">
        <f t="shared" si="35"/>
        <v>4130.5054</v>
      </c>
      <c r="BQ23" s="184">
        <f t="shared" si="8"/>
        <v>39.487633307752688</v>
      </c>
      <c r="BR23" s="187">
        <v>21166.123780000002</v>
      </c>
      <c r="BS23" s="184">
        <f t="shared" si="36"/>
        <v>21166.123780000002</v>
      </c>
      <c r="BT23" s="327">
        <v>16694.31755</v>
      </c>
      <c r="BU23" s="184">
        <f t="shared" si="37"/>
        <v>16694.31755</v>
      </c>
      <c r="BV23" s="184">
        <f t="shared" si="9"/>
        <v>78.872814519655037</v>
      </c>
      <c r="BW23" s="187">
        <v>35497.230000000003</v>
      </c>
      <c r="BX23" s="184">
        <f t="shared" si="38"/>
        <v>35497.230000000003</v>
      </c>
      <c r="BY23" s="187">
        <v>11056.696320000001</v>
      </c>
      <c r="BZ23" s="184">
        <f t="shared" si="39"/>
        <v>11056.696320000001</v>
      </c>
      <c r="CA23" s="187">
        <v>11111.923349999999</v>
      </c>
      <c r="CB23" s="184">
        <f t="shared" si="40"/>
        <v>11111.923349999999</v>
      </c>
      <c r="CC23" s="184">
        <f t="shared" si="10"/>
        <v>31.303635100541644</v>
      </c>
      <c r="CD23" s="184">
        <f t="shared" si="41"/>
        <v>55.227029999998194</v>
      </c>
      <c r="CE23" s="184">
        <f t="shared" si="42"/>
        <v>0.49948943519504496</v>
      </c>
      <c r="CF23" s="187">
        <v>31803.129229999999</v>
      </c>
      <c r="CG23" s="184">
        <f t="shared" si="43"/>
        <v>31803.129229999999</v>
      </c>
      <c r="CH23" s="187">
        <v>17980.641619999999</v>
      </c>
      <c r="CI23" s="184">
        <f t="shared" si="44"/>
        <v>17980.641619999999</v>
      </c>
      <c r="CJ23" s="184">
        <f t="shared" si="11"/>
        <v>56.537334706796088</v>
      </c>
      <c r="CK23" s="184">
        <v>70625.955369999996</v>
      </c>
      <c r="CL23" s="184">
        <v>3820.8740400000002</v>
      </c>
      <c r="CM23" s="187">
        <v>49703196.630000003</v>
      </c>
      <c r="CN23" s="184">
        <f t="shared" si="45"/>
        <v>49703.196630000006</v>
      </c>
      <c r="CO23" s="187">
        <v>1601170.6</v>
      </c>
      <c r="CP23" s="184">
        <f t="shared" si="46"/>
        <v>1601.1706000000001</v>
      </c>
      <c r="CQ23" s="184">
        <f t="shared" si="12"/>
        <v>-20922.75873999999</v>
      </c>
      <c r="CR23" s="184">
        <f t="shared" si="13"/>
        <v>-2219.7034400000002</v>
      </c>
      <c r="CS23" s="184">
        <f t="shared" si="14"/>
        <v>-96039.912179999985</v>
      </c>
      <c r="CT23" s="184">
        <f t="shared" si="15"/>
        <v>-48880.231600000116</v>
      </c>
      <c r="CU23" s="184">
        <v>0</v>
      </c>
      <c r="CW23" s="184">
        <f t="shared" si="47"/>
        <v>0</v>
      </c>
      <c r="CX23" s="183">
        <v>0</v>
      </c>
      <c r="CY23" s="183">
        <v>903323.32853000006</v>
      </c>
      <c r="CZ23" s="183">
        <v>0</v>
      </c>
      <c r="DA23" s="183">
        <v>251900.32983</v>
      </c>
      <c r="DB23" s="184">
        <f t="shared" si="48"/>
        <v>1155223.65836</v>
      </c>
      <c r="DC23" s="183">
        <v>0</v>
      </c>
      <c r="DD23" s="183">
        <v>328938.27625</v>
      </c>
      <c r="DE23" s="183">
        <v>0</v>
      </c>
      <c r="DF23" s="183">
        <v>32305.623810000001</v>
      </c>
      <c r="DG23" s="184">
        <f t="shared" si="49"/>
        <v>361243.90006000001</v>
      </c>
      <c r="DH23" s="188">
        <f t="shared" si="16"/>
        <v>901415.34479</v>
      </c>
      <c r="DI23" s="188">
        <f t="shared" si="17"/>
        <v>326763.88568000001</v>
      </c>
      <c r="DJ23" s="184">
        <f t="shared" si="50"/>
        <v>36.250091322344332</v>
      </c>
      <c r="DK23" s="183">
        <v>237303.08504999999</v>
      </c>
      <c r="DL23" s="184">
        <f t="shared" si="51"/>
        <v>237303.08504999999</v>
      </c>
      <c r="DM23" s="183">
        <v>116580.84224</v>
      </c>
      <c r="DN23" s="184">
        <f t="shared" si="52"/>
        <v>116580.84224</v>
      </c>
      <c r="DO23" s="187">
        <v>1130041.3899999999</v>
      </c>
      <c r="DP23" s="184">
        <f t="shared" si="53"/>
        <v>1130.0413899999999</v>
      </c>
      <c r="DQ23" s="408">
        <v>3413.1505999999999</v>
      </c>
      <c r="DR23" s="184">
        <v>1390.66418</v>
      </c>
      <c r="DS23" s="184">
        <f t="shared" si="18"/>
        <v>260.62279000000012</v>
      </c>
      <c r="DT23" s="184">
        <v>46348.302369999998</v>
      </c>
      <c r="DU23" s="184">
        <v>5827.5177000000003</v>
      </c>
      <c r="DV23" s="184">
        <v>295659.61100999999</v>
      </c>
      <c r="DW23" s="184">
        <v>5827.5177000000003</v>
      </c>
      <c r="DX23" s="184">
        <f t="shared" si="54"/>
        <v>249311.30864</v>
      </c>
      <c r="DY23" s="184">
        <f t="shared" si="55"/>
        <v>0</v>
      </c>
      <c r="DZ23" s="184">
        <v>67963.792390000002</v>
      </c>
      <c r="EA23" s="184">
        <v>13587.98149</v>
      </c>
      <c r="EB23" s="184">
        <v>67075.724660000007</v>
      </c>
      <c r="EC23" s="184">
        <v>3595.2923900000001</v>
      </c>
      <c r="ED23" s="184">
        <f t="shared" si="56"/>
        <v>-888.06772999999521</v>
      </c>
      <c r="EE23" s="184">
        <f t="shared" si="57"/>
        <v>-9992.6890999999996</v>
      </c>
      <c r="EF23" s="184">
        <v>13582.98149</v>
      </c>
      <c r="EG23" s="184">
        <v>13582.98149</v>
      </c>
      <c r="EH23" s="184">
        <v>12563.34714</v>
      </c>
      <c r="EI23" s="184">
        <v>3494.2923900000001</v>
      </c>
      <c r="EJ23" s="184">
        <f t="shared" si="58"/>
        <v>-1019.6343500000003</v>
      </c>
      <c r="EK23" s="184">
        <f t="shared" si="59"/>
        <v>-10088.6891</v>
      </c>
      <c r="EL23" s="184">
        <v>13425.81299</v>
      </c>
      <c r="EM23" s="184">
        <v>0</v>
      </c>
      <c r="EN23" s="184">
        <v>11060.138300000001</v>
      </c>
      <c r="EO23" s="184">
        <v>101</v>
      </c>
      <c r="EP23" s="184">
        <f t="shared" si="60"/>
        <v>-2365.6746899999998</v>
      </c>
      <c r="EQ23" s="184">
        <f t="shared" si="61"/>
        <v>101</v>
      </c>
      <c r="ER23" s="184">
        <v>5</v>
      </c>
      <c r="ES23" s="184">
        <v>5</v>
      </c>
      <c r="ET23" s="184">
        <v>5</v>
      </c>
      <c r="EU23" s="184">
        <v>0</v>
      </c>
      <c r="EV23" s="184">
        <f t="shared" si="62"/>
        <v>0</v>
      </c>
      <c r="EW23" s="184">
        <f t="shared" si="63"/>
        <v>-5</v>
      </c>
      <c r="EX23" s="184">
        <v>0</v>
      </c>
      <c r="EY23" s="184">
        <v>0</v>
      </c>
      <c r="EZ23" s="184">
        <v>726.66700000000003</v>
      </c>
      <c r="FA23" s="184">
        <v>0</v>
      </c>
      <c r="FB23" s="184">
        <f t="shared" si="64"/>
        <v>726.66700000000003</v>
      </c>
      <c r="FC23" s="184">
        <f t="shared" si="65"/>
        <v>0</v>
      </c>
      <c r="FD23" s="184">
        <v>2114.54801</v>
      </c>
      <c r="FE23" s="184">
        <v>2188.5547799999999</v>
      </c>
      <c r="FF23" s="184">
        <f t="shared" si="66"/>
        <v>74.00676999999996</v>
      </c>
      <c r="FG23" s="184">
        <v>0</v>
      </c>
      <c r="FH23" s="184">
        <v>0</v>
      </c>
      <c r="FI23" s="184">
        <f t="shared" si="67"/>
        <v>0</v>
      </c>
      <c r="FJ23" s="184">
        <v>0</v>
      </c>
      <c r="FK23" s="184">
        <v>0</v>
      </c>
      <c r="FL23" s="184">
        <f t="shared" si="68"/>
        <v>0</v>
      </c>
      <c r="FM23" s="184">
        <v>3712.9696899999999</v>
      </c>
      <c r="FN23" s="184">
        <v>3638.9629199999999</v>
      </c>
      <c r="FO23" s="184">
        <f t="shared" si="69"/>
        <v>-74.00676999999996</v>
      </c>
      <c r="FP23" s="184">
        <f t="shared" si="70"/>
        <v>-1.993196179309507</v>
      </c>
    </row>
    <row r="24" spans="1:172" s="184" customFormat="1" x14ac:dyDescent="0.25">
      <c r="A24" s="182" t="s">
        <v>174</v>
      </c>
      <c r="B24" s="183">
        <v>0</v>
      </c>
      <c r="C24" s="183">
        <v>1059057.1813000001</v>
      </c>
      <c r="D24" s="183">
        <v>56712.730940000001</v>
      </c>
      <c r="E24" s="183">
        <v>79826.465129999997</v>
      </c>
      <c r="F24" s="184">
        <f t="shared" si="19"/>
        <v>1195596.3773699999</v>
      </c>
      <c r="G24" s="183">
        <v>0</v>
      </c>
      <c r="H24" s="183">
        <v>570673.88214999996</v>
      </c>
      <c r="I24" s="183">
        <v>23299.041870000001</v>
      </c>
      <c r="J24" s="183">
        <v>30592.632109999999</v>
      </c>
      <c r="K24" s="184">
        <f t="shared" si="20"/>
        <v>624565.55612999992</v>
      </c>
      <c r="L24" s="183">
        <v>74920.695159999988</v>
      </c>
      <c r="M24" s="183">
        <v>66.744</v>
      </c>
      <c r="N24" s="183">
        <v>38.436</v>
      </c>
      <c r="O24" s="184">
        <f t="shared" si="21"/>
        <v>75025.875159999996</v>
      </c>
      <c r="P24" s="183">
        <v>27535.447490000002</v>
      </c>
      <c r="Q24" s="183">
        <v>34.134150000000005</v>
      </c>
      <c r="R24" s="183">
        <v>0.53625</v>
      </c>
      <c r="S24" s="184">
        <f t="shared" si="22"/>
        <v>27570.117890000005</v>
      </c>
      <c r="T24" s="183">
        <v>0</v>
      </c>
      <c r="U24" s="183">
        <v>1073781.72324</v>
      </c>
      <c r="V24" s="183">
        <v>63153.73532</v>
      </c>
      <c r="W24" s="183">
        <v>85040.258530000006</v>
      </c>
      <c r="X24" s="184">
        <f t="shared" si="23"/>
        <v>1221975.7170899999</v>
      </c>
      <c r="Y24" s="183">
        <v>0</v>
      </c>
      <c r="Z24" s="183">
        <v>574300.93143</v>
      </c>
      <c r="AA24" s="183">
        <v>24076.064160000002</v>
      </c>
      <c r="AB24" s="183">
        <v>34373.841869999997</v>
      </c>
      <c r="AC24" s="184">
        <f t="shared" si="24"/>
        <v>632750.83745999995</v>
      </c>
      <c r="AD24" s="184">
        <f t="shared" si="0"/>
        <v>1120570.5022099998</v>
      </c>
      <c r="AE24" s="184">
        <f t="shared" si="1"/>
        <v>596995.43823999993</v>
      </c>
      <c r="AF24" s="184">
        <f t="shared" si="25"/>
        <v>53.276026547423818</v>
      </c>
      <c r="AG24" s="185">
        <v>1120571</v>
      </c>
      <c r="AH24" s="185">
        <f t="shared" si="26"/>
        <v>0.49779000016860664</v>
      </c>
      <c r="AI24" s="185">
        <v>597060</v>
      </c>
      <c r="AJ24" s="185">
        <f t="shared" si="27"/>
        <v>64.561760000069626</v>
      </c>
      <c r="AK24" s="184">
        <f t="shared" si="2"/>
        <v>1146949.8419299999</v>
      </c>
      <c r="AL24" s="184">
        <f t="shared" si="3"/>
        <v>605180.71956999996</v>
      </c>
      <c r="AM24" s="184">
        <f t="shared" si="28"/>
        <v>52.76435790353726</v>
      </c>
      <c r="AN24" s="183">
        <v>0</v>
      </c>
      <c r="AO24" s="183">
        <v>858953.48447999998</v>
      </c>
      <c r="AP24" s="183">
        <v>15277.147859999999</v>
      </c>
      <c r="AQ24" s="183">
        <v>59643.547299999998</v>
      </c>
      <c r="AR24" s="407">
        <f t="shared" si="4"/>
        <v>0</v>
      </c>
      <c r="AS24" s="184">
        <f t="shared" si="29"/>
        <v>933874.17963999999</v>
      </c>
      <c r="AT24" s="183">
        <v>0</v>
      </c>
      <c r="AU24" s="183">
        <v>467235.99547000002</v>
      </c>
      <c r="AV24" s="183">
        <v>3516.3837800000001</v>
      </c>
      <c r="AW24" s="183">
        <v>23954.863710000001</v>
      </c>
      <c r="AX24" s="186">
        <f t="shared" si="5"/>
        <v>64.200000000000728</v>
      </c>
      <c r="AY24" s="184">
        <f t="shared" si="30"/>
        <v>494707.24296</v>
      </c>
      <c r="AZ24" s="184">
        <f t="shared" si="6"/>
        <v>858848.30447999993</v>
      </c>
      <c r="BA24" s="184">
        <f t="shared" si="7"/>
        <v>467137.12507000001</v>
      </c>
      <c r="BB24" s="184">
        <f t="shared" si="31"/>
        <v>54.391109889054718</v>
      </c>
      <c r="BC24" s="183">
        <v>0</v>
      </c>
      <c r="BD24" s="183">
        <v>194127.11141000001</v>
      </c>
      <c r="BE24" s="183">
        <v>42050.389000000003</v>
      </c>
      <c r="BF24" s="183">
        <v>21320.400000000001</v>
      </c>
      <c r="BG24" s="184">
        <f t="shared" si="32"/>
        <v>257497.90041</v>
      </c>
      <c r="BH24" s="183">
        <v>0</v>
      </c>
      <c r="BI24" s="183">
        <v>97461.301269999996</v>
      </c>
      <c r="BJ24" s="183">
        <v>20397.46401</v>
      </c>
      <c r="BK24" s="183">
        <v>7762.2505700000002</v>
      </c>
      <c r="BL24" s="184">
        <f t="shared" si="33"/>
        <v>125621.01585</v>
      </c>
      <c r="BM24" s="187">
        <v>23104.019</v>
      </c>
      <c r="BN24" s="184">
        <f t="shared" si="34"/>
        <v>23104.019</v>
      </c>
      <c r="BO24" s="187">
        <v>12153.53873</v>
      </c>
      <c r="BP24" s="184">
        <f t="shared" si="35"/>
        <v>12153.53873</v>
      </c>
      <c r="BQ24" s="184">
        <f t="shared" si="8"/>
        <v>52.603569664654451</v>
      </c>
      <c r="BR24" s="187">
        <v>5247.52</v>
      </c>
      <c r="BS24" s="184">
        <f t="shared" si="36"/>
        <v>5247.52</v>
      </c>
      <c r="BT24" s="327">
        <v>3837.1122</v>
      </c>
      <c r="BU24" s="184">
        <f t="shared" si="37"/>
        <v>3837.1122</v>
      </c>
      <c r="BV24" s="184">
        <f t="shared" si="9"/>
        <v>73.122393054242764</v>
      </c>
      <c r="BW24" s="187">
        <v>25687.352999999999</v>
      </c>
      <c r="BX24" s="184">
        <f t="shared" si="38"/>
        <v>25687.352999999999</v>
      </c>
      <c r="BY24" s="187">
        <v>7320.6053600000005</v>
      </c>
      <c r="BZ24" s="184">
        <f t="shared" si="39"/>
        <v>7320.6053600000005</v>
      </c>
      <c r="CA24" s="187">
        <v>9075.2394600000007</v>
      </c>
      <c r="CB24" s="184">
        <f t="shared" si="40"/>
        <v>9075.2394600000007</v>
      </c>
      <c r="CC24" s="184">
        <f t="shared" si="10"/>
        <v>35.329601535821929</v>
      </c>
      <c r="CD24" s="184">
        <f t="shared" si="41"/>
        <v>1754.6341000000002</v>
      </c>
      <c r="CE24" s="184">
        <f t="shared" si="42"/>
        <v>23.968429026202827</v>
      </c>
      <c r="CF24" s="187">
        <v>23937.198</v>
      </c>
      <c r="CG24" s="184">
        <f t="shared" si="43"/>
        <v>23937.198</v>
      </c>
      <c r="CH24" s="187">
        <v>11240.10958</v>
      </c>
      <c r="CI24" s="184">
        <f t="shared" si="44"/>
        <v>11240.10958</v>
      </c>
      <c r="CJ24" s="184">
        <f t="shared" si="11"/>
        <v>46.956663766577861</v>
      </c>
      <c r="CK24" s="184">
        <v>23387.76281</v>
      </c>
      <c r="CL24" s="184">
        <v>2532.2874900000002</v>
      </c>
      <c r="CM24" s="187">
        <v>63638625.950000003</v>
      </c>
      <c r="CN24" s="184">
        <f t="shared" si="45"/>
        <v>63638.625950000001</v>
      </c>
      <c r="CO24" s="187">
        <v>3798032.44</v>
      </c>
      <c r="CP24" s="184">
        <f t="shared" si="46"/>
        <v>3798.03244</v>
      </c>
      <c r="CQ24" s="184">
        <f t="shared" si="12"/>
        <v>40250.863140000001</v>
      </c>
      <c r="CR24" s="184">
        <f t="shared" si="13"/>
        <v>1265.7449499999998</v>
      </c>
      <c r="CS24" s="184">
        <f t="shared" si="14"/>
        <v>-26379.339720000047</v>
      </c>
      <c r="CT24" s="184">
        <f t="shared" si="15"/>
        <v>-8185.2813300000271</v>
      </c>
      <c r="CU24" s="184">
        <v>32600</v>
      </c>
      <c r="CV24" s="184">
        <v>53108</v>
      </c>
      <c r="CW24" s="184">
        <f t="shared" si="47"/>
        <v>20508</v>
      </c>
      <c r="CX24" s="183">
        <v>0</v>
      </c>
      <c r="CY24" s="183">
        <v>864930.06989000004</v>
      </c>
      <c r="CZ24" s="183">
        <v>14662.34194</v>
      </c>
      <c r="DA24" s="183">
        <v>58506.065130000003</v>
      </c>
      <c r="DB24" s="184">
        <f t="shared" si="48"/>
        <v>938098.47696</v>
      </c>
      <c r="DC24" s="183">
        <v>0</v>
      </c>
      <c r="DD24" s="183">
        <v>473212.58088000002</v>
      </c>
      <c r="DE24" s="183">
        <v>2901.5778599999999</v>
      </c>
      <c r="DF24" s="183">
        <v>22830.381539999998</v>
      </c>
      <c r="DG24" s="184">
        <f t="shared" si="49"/>
        <v>498944.54028000002</v>
      </c>
      <c r="DH24" s="188">
        <f t="shared" si="16"/>
        <v>863072.60180000006</v>
      </c>
      <c r="DI24" s="188">
        <f t="shared" si="17"/>
        <v>471374.42239000002</v>
      </c>
      <c r="DJ24" s="184">
        <f t="shared" si="50"/>
        <v>54.615848238828889</v>
      </c>
      <c r="DK24" s="183">
        <v>148869.21900000001</v>
      </c>
      <c r="DL24" s="184">
        <f t="shared" si="51"/>
        <v>148869.21900000001</v>
      </c>
      <c r="DM24" s="183">
        <v>74049.71501</v>
      </c>
      <c r="DN24" s="184">
        <f t="shared" si="52"/>
        <v>74049.71501</v>
      </c>
      <c r="DO24" s="187">
        <v>79527.509999999995</v>
      </c>
      <c r="DP24" s="184">
        <f t="shared" si="53"/>
        <v>79.527509999999992</v>
      </c>
      <c r="DQ24" s="408">
        <v>164.01900000000001</v>
      </c>
      <c r="DR24" s="184">
        <v>2.7909999999999999</v>
      </c>
      <c r="DS24" s="184">
        <f t="shared" si="18"/>
        <v>-76.736509999999996</v>
      </c>
      <c r="DT24" s="184">
        <v>35253.170140000002</v>
      </c>
      <c r="DU24" s="184">
        <v>6142.9548999999997</v>
      </c>
      <c r="DV24" s="184">
        <v>25259.551759999998</v>
      </c>
      <c r="DW24" s="184">
        <v>5688.2005699999991</v>
      </c>
      <c r="DX24" s="184">
        <f t="shared" si="54"/>
        <v>-9993.6183800000035</v>
      </c>
      <c r="DY24" s="184">
        <f t="shared" si="55"/>
        <v>-454.75433000000066</v>
      </c>
      <c r="DZ24" s="184">
        <v>47804.796159999998</v>
      </c>
      <c r="EA24" s="184">
        <v>13136.48899</v>
      </c>
      <c r="EB24" s="184">
        <v>49165.422559999999</v>
      </c>
      <c r="EC24" s="184">
        <v>10101.239939999999</v>
      </c>
      <c r="ED24" s="184">
        <f t="shared" si="56"/>
        <v>1360.626400000001</v>
      </c>
      <c r="EE24" s="184">
        <f t="shared" si="57"/>
        <v>-3035.2490500000004</v>
      </c>
      <c r="EF24" s="184">
        <v>5040.1819999999998</v>
      </c>
      <c r="EG24" s="184">
        <v>3671.82566</v>
      </c>
      <c r="EH24" s="184">
        <v>2595.6347099999998</v>
      </c>
      <c r="EI24" s="184">
        <v>1684.9217900000001</v>
      </c>
      <c r="EJ24" s="184">
        <f t="shared" si="58"/>
        <v>-2444.54729</v>
      </c>
      <c r="EK24" s="184">
        <f t="shared" si="59"/>
        <v>-1986.9038699999999</v>
      </c>
      <c r="EL24" s="184">
        <v>30592.904439999998</v>
      </c>
      <c r="EM24" s="184">
        <v>3629.3956899999998</v>
      </c>
      <c r="EN24" s="184">
        <v>33246.586969999997</v>
      </c>
      <c r="EO24" s="184">
        <v>2581.05051</v>
      </c>
      <c r="EP24" s="184">
        <f t="shared" si="60"/>
        <v>2653.6825299999982</v>
      </c>
      <c r="EQ24" s="184">
        <f t="shared" si="61"/>
        <v>-1048.3451799999998</v>
      </c>
      <c r="ER24" s="184">
        <v>5337.0953300000001</v>
      </c>
      <c r="ES24" s="184">
        <v>5337.0953300000001</v>
      </c>
      <c r="ET24" s="184">
        <v>5372.5953300000001</v>
      </c>
      <c r="EU24" s="184">
        <v>5337.0953300000001</v>
      </c>
      <c r="EV24" s="184">
        <f t="shared" si="62"/>
        <v>35.5</v>
      </c>
      <c r="EW24" s="184">
        <f t="shared" si="63"/>
        <v>0</v>
      </c>
      <c r="EX24" s="184">
        <v>0</v>
      </c>
      <c r="EY24" s="184">
        <v>0</v>
      </c>
      <c r="EZ24" s="184">
        <v>0</v>
      </c>
      <c r="FA24" s="184">
        <v>0</v>
      </c>
      <c r="FB24" s="184">
        <f t="shared" si="64"/>
        <v>0</v>
      </c>
      <c r="FC24" s="184">
        <f t="shared" si="65"/>
        <v>0</v>
      </c>
      <c r="FD24" s="184">
        <v>2397.4178200000001</v>
      </c>
      <c r="FE24" s="184">
        <v>2671.11591</v>
      </c>
      <c r="FF24" s="184">
        <f t="shared" si="66"/>
        <v>273.69808999999987</v>
      </c>
      <c r="FG24" s="184">
        <v>322.48302000000001</v>
      </c>
      <c r="FH24" s="184">
        <v>322.48302000000001</v>
      </c>
      <c r="FI24" s="184">
        <f t="shared" si="67"/>
        <v>0</v>
      </c>
      <c r="FJ24" s="184">
        <v>0</v>
      </c>
      <c r="FK24" s="184">
        <v>17.91207</v>
      </c>
      <c r="FL24" s="184">
        <f t="shared" si="68"/>
        <v>17.91207</v>
      </c>
      <c r="FM24" s="184">
        <v>285.05676</v>
      </c>
      <c r="FN24" s="184">
        <v>287.42676</v>
      </c>
      <c r="FO24" s="184">
        <f t="shared" si="69"/>
        <v>2.3700000000000045</v>
      </c>
      <c r="FP24" s="184">
        <f t="shared" si="70"/>
        <v>0.83141336483303974</v>
      </c>
    </row>
    <row r="25" spans="1:172" s="184" customFormat="1" x14ac:dyDescent="0.25">
      <c r="A25" s="182" t="s">
        <v>175</v>
      </c>
      <c r="B25" s="183">
        <v>0</v>
      </c>
      <c r="C25" s="183">
        <v>900671.89112000004</v>
      </c>
      <c r="D25" s="183">
        <v>0</v>
      </c>
      <c r="E25" s="183">
        <v>79659.425879999995</v>
      </c>
      <c r="F25" s="184">
        <f t="shared" si="19"/>
        <v>980331.31700000004</v>
      </c>
      <c r="G25" s="183">
        <v>0</v>
      </c>
      <c r="H25" s="183">
        <v>506540.45587000001</v>
      </c>
      <c r="I25" s="183">
        <v>0</v>
      </c>
      <c r="J25" s="183">
        <v>30589.5671</v>
      </c>
      <c r="K25" s="184">
        <f t="shared" si="20"/>
        <v>537130.02297000005</v>
      </c>
      <c r="L25" s="183">
        <v>36531.41833</v>
      </c>
      <c r="M25" s="183">
        <v>0</v>
      </c>
      <c r="N25" s="183">
        <v>66</v>
      </c>
      <c r="O25" s="184">
        <f t="shared" si="21"/>
        <v>36597.41833</v>
      </c>
      <c r="P25" s="183">
        <v>15410.34477</v>
      </c>
      <c r="Q25" s="183">
        <v>0</v>
      </c>
      <c r="R25" s="183">
        <v>66</v>
      </c>
      <c r="S25" s="184">
        <f t="shared" si="22"/>
        <v>15476.34477</v>
      </c>
      <c r="T25" s="183">
        <v>0</v>
      </c>
      <c r="U25" s="183">
        <v>910180.34724999999</v>
      </c>
      <c r="V25" s="183">
        <v>0</v>
      </c>
      <c r="W25" s="183">
        <v>82435.708790000004</v>
      </c>
      <c r="X25" s="184">
        <f t="shared" si="23"/>
        <v>992616.05603999994</v>
      </c>
      <c r="Y25" s="183">
        <v>0</v>
      </c>
      <c r="Z25" s="183">
        <v>507154.07221000001</v>
      </c>
      <c r="AA25" s="183">
        <v>0</v>
      </c>
      <c r="AB25" s="183">
        <v>32737.516950000001</v>
      </c>
      <c r="AC25" s="184">
        <f t="shared" si="24"/>
        <v>539891.58915999997</v>
      </c>
      <c r="AD25" s="184">
        <f t="shared" si="0"/>
        <v>943733.89867000002</v>
      </c>
      <c r="AE25" s="184">
        <f t="shared" si="1"/>
        <v>521653.67820000002</v>
      </c>
      <c r="AF25" s="184">
        <f t="shared" si="25"/>
        <v>55.275504984526272</v>
      </c>
      <c r="AG25" s="185">
        <v>943734</v>
      </c>
      <c r="AH25" s="185">
        <f t="shared" si="26"/>
        <v>0.10132999997586012</v>
      </c>
      <c r="AI25" s="185">
        <v>521654</v>
      </c>
      <c r="AJ25" s="185">
        <f t="shared" si="27"/>
        <v>0.32179999997606501</v>
      </c>
      <c r="AK25" s="184">
        <f t="shared" si="2"/>
        <v>956018.63770999992</v>
      </c>
      <c r="AL25" s="184">
        <f t="shared" si="3"/>
        <v>524415.24439000001</v>
      </c>
      <c r="AM25" s="184">
        <f t="shared" si="28"/>
        <v>54.854081678382187</v>
      </c>
      <c r="AN25" s="183">
        <v>0</v>
      </c>
      <c r="AO25" s="183">
        <v>779900.43039999995</v>
      </c>
      <c r="AP25" s="183">
        <v>0</v>
      </c>
      <c r="AQ25" s="183">
        <v>36531.41833</v>
      </c>
      <c r="AR25" s="407">
        <f t="shared" si="4"/>
        <v>0</v>
      </c>
      <c r="AS25" s="184">
        <f t="shared" si="29"/>
        <v>816431.84872999997</v>
      </c>
      <c r="AT25" s="183">
        <v>0</v>
      </c>
      <c r="AU25" s="183">
        <v>442167.60915999999</v>
      </c>
      <c r="AV25" s="183">
        <v>0</v>
      </c>
      <c r="AW25" s="183">
        <v>15410.34477</v>
      </c>
      <c r="AX25" s="186">
        <f t="shared" si="5"/>
        <v>0</v>
      </c>
      <c r="AY25" s="184">
        <f t="shared" si="30"/>
        <v>457577.95393000002</v>
      </c>
      <c r="AZ25" s="184">
        <f t="shared" si="6"/>
        <v>779834.43039999995</v>
      </c>
      <c r="BA25" s="184">
        <f t="shared" si="7"/>
        <v>442101.60915999999</v>
      </c>
      <c r="BB25" s="184">
        <f t="shared" si="31"/>
        <v>56.691727362336785</v>
      </c>
      <c r="BC25" s="183">
        <v>0</v>
      </c>
      <c r="BD25" s="183">
        <v>122881</v>
      </c>
      <c r="BE25" s="183">
        <v>0</v>
      </c>
      <c r="BF25" s="183">
        <v>43030.377549999997</v>
      </c>
      <c r="BG25" s="184">
        <f t="shared" si="32"/>
        <v>165911.37755</v>
      </c>
      <c r="BH25" s="183">
        <v>0</v>
      </c>
      <c r="BI25" s="183">
        <v>66482.385989999995</v>
      </c>
      <c r="BJ25" s="183">
        <v>0</v>
      </c>
      <c r="BK25" s="183">
        <v>15081.592329999999</v>
      </c>
      <c r="BL25" s="184">
        <f t="shared" si="33"/>
        <v>81563.978319999995</v>
      </c>
      <c r="BM25" s="187">
        <v>16160</v>
      </c>
      <c r="BN25" s="184">
        <f t="shared" si="34"/>
        <v>16160</v>
      </c>
      <c r="BO25" s="187">
        <v>7818.77963</v>
      </c>
      <c r="BP25" s="184">
        <f t="shared" si="35"/>
        <v>7818.77963</v>
      </c>
      <c r="BQ25" s="184">
        <f t="shared" si="8"/>
        <v>48.383537314356438</v>
      </c>
      <c r="BR25" s="187">
        <v>10931.45</v>
      </c>
      <c r="BS25" s="184">
        <f t="shared" si="36"/>
        <v>10931.45</v>
      </c>
      <c r="BT25" s="327">
        <v>6300.44697</v>
      </c>
      <c r="BU25" s="184">
        <f t="shared" si="37"/>
        <v>6300.44697</v>
      </c>
      <c r="BV25" s="184">
        <f t="shared" si="9"/>
        <v>57.635967506597929</v>
      </c>
      <c r="BW25" s="187">
        <v>20144.900000000001</v>
      </c>
      <c r="BX25" s="184">
        <f t="shared" si="38"/>
        <v>20144.900000000001</v>
      </c>
      <c r="BY25" s="187">
        <v>2954.7076099999999</v>
      </c>
      <c r="BZ25" s="184">
        <f t="shared" si="39"/>
        <v>2954.7076099999999</v>
      </c>
      <c r="CA25" s="187">
        <v>3905.9557100000002</v>
      </c>
      <c r="CB25" s="184">
        <f t="shared" si="40"/>
        <v>3905.9557100000002</v>
      </c>
      <c r="CC25" s="184">
        <f t="shared" si="10"/>
        <v>19.389303049407047</v>
      </c>
      <c r="CD25" s="184">
        <f t="shared" si="41"/>
        <v>951.24810000000025</v>
      </c>
      <c r="CE25" s="184">
        <f t="shared" si="42"/>
        <v>32.194322605071591</v>
      </c>
      <c r="CF25" s="187">
        <v>27903.969400000002</v>
      </c>
      <c r="CG25" s="184">
        <f t="shared" si="43"/>
        <v>27903.969400000002</v>
      </c>
      <c r="CH25" s="187">
        <v>14074.8657</v>
      </c>
      <c r="CI25" s="184">
        <f t="shared" si="44"/>
        <v>14074.8657</v>
      </c>
      <c r="CJ25" s="184">
        <f t="shared" si="11"/>
        <v>50.440371039111021</v>
      </c>
      <c r="CK25" s="184">
        <v>28619.781029999998</v>
      </c>
      <c r="CL25" s="184">
        <v>415.02921999999995</v>
      </c>
      <c r="CM25" s="187">
        <v>74890742.150000006</v>
      </c>
      <c r="CN25" s="184">
        <f t="shared" si="45"/>
        <v>74890.742150000005</v>
      </c>
      <c r="CO25" s="187">
        <v>7533434.9000000004</v>
      </c>
      <c r="CP25" s="184">
        <f t="shared" si="46"/>
        <v>7533.4349000000002</v>
      </c>
      <c r="CQ25" s="184">
        <f t="shared" si="12"/>
        <v>46270.961120000007</v>
      </c>
      <c r="CR25" s="184">
        <f t="shared" si="13"/>
        <v>7118.4056799999998</v>
      </c>
      <c r="CS25" s="184">
        <f t="shared" si="14"/>
        <v>-12284.739039999899</v>
      </c>
      <c r="CT25" s="184">
        <f t="shared" si="15"/>
        <v>-2761.5661899999832</v>
      </c>
      <c r="CU25" s="184">
        <v>0</v>
      </c>
      <c r="CV25" s="188"/>
      <c r="CW25" s="184">
        <f t="shared" si="47"/>
        <v>0</v>
      </c>
      <c r="CX25" s="183">
        <v>0</v>
      </c>
      <c r="CY25" s="183">
        <v>777790.89112000004</v>
      </c>
      <c r="CZ25" s="183">
        <v>0</v>
      </c>
      <c r="DA25" s="183">
        <v>36629.048329999998</v>
      </c>
      <c r="DB25" s="184">
        <f t="shared" si="48"/>
        <v>814419.93945000006</v>
      </c>
      <c r="DC25" s="183">
        <v>0</v>
      </c>
      <c r="DD25" s="183">
        <v>440058.06988000002</v>
      </c>
      <c r="DE25" s="183">
        <v>0</v>
      </c>
      <c r="DF25" s="183">
        <v>15507.974770000001</v>
      </c>
      <c r="DG25" s="184">
        <f t="shared" si="49"/>
        <v>455566.04465000005</v>
      </c>
      <c r="DH25" s="188">
        <f t="shared" si="16"/>
        <v>777822.52112000005</v>
      </c>
      <c r="DI25" s="188">
        <f t="shared" si="17"/>
        <v>440089.69988000003</v>
      </c>
      <c r="DJ25" s="184">
        <f t="shared" si="50"/>
        <v>56.579706543635083</v>
      </c>
      <c r="DK25" s="183">
        <v>72299</v>
      </c>
      <c r="DL25" s="184">
        <f t="shared" si="51"/>
        <v>72299</v>
      </c>
      <c r="DM25" s="183">
        <v>37643.693520000001</v>
      </c>
      <c r="DN25" s="184">
        <f t="shared" si="52"/>
        <v>37643.693520000001</v>
      </c>
      <c r="DO25" s="187">
        <v>875138.31</v>
      </c>
      <c r="DP25" s="184">
        <f t="shared" si="53"/>
        <v>875.13831000000005</v>
      </c>
      <c r="DQ25" s="408">
        <v>937</v>
      </c>
      <c r="DR25" s="184">
        <v>625.68904999999995</v>
      </c>
      <c r="DS25" s="184">
        <f t="shared" si="18"/>
        <v>-249.44926000000009</v>
      </c>
      <c r="DT25" s="184">
        <v>10439.640220000001</v>
      </c>
      <c r="DU25" s="184">
        <v>214.24440999999999</v>
      </c>
      <c r="DV25" s="184">
        <v>18983.764910000002</v>
      </c>
      <c r="DW25" s="184">
        <v>977.23559</v>
      </c>
      <c r="DX25" s="184">
        <f t="shared" si="54"/>
        <v>8544.1246900000006</v>
      </c>
      <c r="DY25" s="184">
        <f t="shared" si="55"/>
        <v>762.99117999999999</v>
      </c>
      <c r="DZ25" s="184">
        <v>29857.068900000002</v>
      </c>
      <c r="EA25" s="184">
        <v>4347.9186200000004</v>
      </c>
      <c r="EB25" s="184">
        <v>27066.967650000002</v>
      </c>
      <c r="EC25" s="184">
        <v>3406.5424600000001</v>
      </c>
      <c r="ED25" s="184">
        <f t="shared" si="56"/>
        <v>-2790.1012499999997</v>
      </c>
      <c r="EE25" s="184">
        <f t="shared" si="57"/>
        <v>-941.37616000000025</v>
      </c>
      <c r="EF25" s="184">
        <v>4666.2222700000002</v>
      </c>
      <c r="EG25" s="184">
        <v>4317.9186200000004</v>
      </c>
      <c r="EH25" s="184">
        <v>3376.5424699999999</v>
      </c>
      <c r="EI25" s="184">
        <v>3376.5424600000001</v>
      </c>
      <c r="EJ25" s="184">
        <f t="shared" si="58"/>
        <v>-1289.6798000000003</v>
      </c>
      <c r="EK25" s="184">
        <f t="shared" si="59"/>
        <v>-941.37616000000025</v>
      </c>
      <c r="EL25" s="184">
        <v>13992.576660000001</v>
      </c>
      <c r="EM25" s="184">
        <v>0</v>
      </c>
      <c r="EN25" s="184">
        <v>17297.1692</v>
      </c>
      <c r="EO25" s="184">
        <v>0</v>
      </c>
      <c r="EP25" s="184">
        <f t="shared" si="60"/>
        <v>3304.5925399999996</v>
      </c>
      <c r="EQ25" s="184">
        <f t="shared" si="61"/>
        <v>0</v>
      </c>
      <c r="ER25" s="184">
        <v>0</v>
      </c>
      <c r="ES25" s="184">
        <v>0</v>
      </c>
      <c r="ET25" s="184">
        <v>0</v>
      </c>
      <c r="EU25" s="184">
        <v>0</v>
      </c>
      <c r="EV25" s="184">
        <f t="shared" si="62"/>
        <v>0</v>
      </c>
      <c r="EW25" s="184">
        <f t="shared" si="63"/>
        <v>0</v>
      </c>
      <c r="EX25" s="184">
        <v>60.207810000000002</v>
      </c>
      <c r="EY25" s="184">
        <v>0</v>
      </c>
      <c r="EZ25" s="184">
        <v>80.277079999999998</v>
      </c>
      <c r="FA25" s="184">
        <v>0</v>
      </c>
      <c r="FB25" s="184">
        <f t="shared" si="64"/>
        <v>20.069269999999996</v>
      </c>
      <c r="FC25" s="184">
        <f t="shared" si="65"/>
        <v>0</v>
      </c>
      <c r="FD25" s="184">
        <v>0</v>
      </c>
      <c r="FE25" s="184">
        <v>626.00415999999996</v>
      </c>
      <c r="FF25" s="184">
        <f t="shared" si="66"/>
        <v>626.00415999999996</v>
      </c>
      <c r="FG25" s="184">
        <v>0</v>
      </c>
      <c r="FH25" s="184">
        <v>0</v>
      </c>
      <c r="FI25" s="184">
        <f t="shared" si="67"/>
        <v>0</v>
      </c>
      <c r="FJ25" s="184">
        <v>0</v>
      </c>
      <c r="FK25" s="184">
        <v>0</v>
      </c>
      <c r="FL25" s="184">
        <f t="shared" si="68"/>
        <v>0</v>
      </c>
      <c r="FM25" s="184">
        <v>0</v>
      </c>
      <c r="FN25" s="184">
        <v>245.9</v>
      </c>
      <c r="FO25" s="184">
        <f t="shared" si="69"/>
        <v>245.9</v>
      </c>
      <c r="FP25" s="184" t="e">
        <f t="shared" si="70"/>
        <v>#DIV/0!</v>
      </c>
    </row>
    <row r="26" spans="1:172" s="184" customFormat="1" x14ac:dyDescent="0.25">
      <c r="A26" s="182" t="s">
        <v>176</v>
      </c>
      <c r="B26" s="183">
        <v>0</v>
      </c>
      <c r="C26" s="183">
        <v>437231.92232999997</v>
      </c>
      <c r="D26" s="183">
        <v>30479.021519999998</v>
      </c>
      <c r="E26" s="183">
        <v>19525.3</v>
      </c>
      <c r="F26" s="184">
        <f t="shared" si="19"/>
        <v>487236.24384999997</v>
      </c>
      <c r="G26" s="183">
        <v>0</v>
      </c>
      <c r="H26" s="183">
        <v>203880.79646000001</v>
      </c>
      <c r="I26" s="183">
        <v>9928.6005000000005</v>
      </c>
      <c r="J26" s="183">
        <v>6416.7077300000001</v>
      </c>
      <c r="K26" s="184">
        <f t="shared" si="20"/>
        <v>220226.10469000001</v>
      </c>
      <c r="L26" s="183">
        <v>23658.021520000002</v>
      </c>
      <c r="M26" s="183">
        <v>178</v>
      </c>
      <c r="N26" s="183">
        <v>90</v>
      </c>
      <c r="O26" s="184">
        <f t="shared" si="21"/>
        <v>23926.021520000002</v>
      </c>
      <c r="P26" s="183">
        <v>8228.62464</v>
      </c>
      <c r="Q26" s="183">
        <v>89</v>
      </c>
      <c r="R26" s="183">
        <v>35</v>
      </c>
      <c r="S26" s="184">
        <f t="shared" si="22"/>
        <v>8352.62464</v>
      </c>
      <c r="T26" s="183">
        <v>0</v>
      </c>
      <c r="U26" s="183">
        <v>445592.79375000001</v>
      </c>
      <c r="V26" s="183">
        <v>30828.044310000001</v>
      </c>
      <c r="W26" s="183">
        <v>20303.889770000002</v>
      </c>
      <c r="X26" s="184">
        <f t="shared" si="23"/>
        <v>496724.72783000005</v>
      </c>
      <c r="Y26" s="183">
        <v>0</v>
      </c>
      <c r="Z26" s="183">
        <v>201565.05257</v>
      </c>
      <c r="AA26" s="183">
        <v>11076.62674</v>
      </c>
      <c r="AB26" s="183">
        <v>7199.9255400000002</v>
      </c>
      <c r="AC26" s="184">
        <f t="shared" si="24"/>
        <v>219841.60485</v>
      </c>
      <c r="AD26" s="184">
        <f t="shared" si="0"/>
        <v>463310.22232999996</v>
      </c>
      <c r="AE26" s="184">
        <f t="shared" si="1"/>
        <v>211873.48005000001</v>
      </c>
      <c r="AF26" s="184">
        <f t="shared" si="25"/>
        <v>45.730370244041325</v>
      </c>
      <c r="AG26" s="185">
        <v>463310</v>
      </c>
      <c r="AH26" s="185">
        <f t="shared" si="26"/>
        <v>-0.2223299999604933</v>
      </c>
      <c r="AI26" s="185">
        <v>211873</v>
      </c>
      <c r="AJ26" s="185">
        <f t="shared" si="27"/>
        <v>-0.48005000001285225</v>
      </c>
      <c r="AK26" s="184">
        <f t="shared" si="2"/>
        <v>472798.70631000004</v>
      </c>
      <c r="AL26" s="184">
        <f t="shared" si="3"/>
        <v>211488.98021000001</v>
      </c>
      <c r="AM26" s="184">
        <f t="shared" si="28"/>
        <v>44.731294182377262</v>
      </c>
      <c r="AN26" s="183">
        <v>0</v>
      </c>
      <c r="AO26" s="183">
        <v>379057.22233000002</v>
      </c>
      <c r="AP26" s="183">
        <v>12596.02152</v>
      </c>
      <c r="AQ26" s="183">
        <v>11062</v>
      </c>
      <c r="AR26" s="407">
        <f t="shared" si="4"/>
        <v>0</v>
      </c>
      <c r="AS26" s="184">
        <f t="shared" si="29"/>
        <v>402715.24385000003</v>
      </c>
      <c r="AT26" s="183">
        <v>0</v>
      </c>
      <c r="AU26" s="183">
        <v>176661.5172</v>
      </c>
      <c r="AV26" s="183">
        <v>3264.6</v>
      </c>
      <c r="AW26" s="183">
        <v>4964.0246399999996</v>
      </c>
      <c r="AX26" s="186">
        <f t="shared" si="5"/>
        <v>0</v>
      </c>
      <c r="AY26" s="184">
        <f t="shared" si="30"/>
        <v>184890.14184</v>
      </c>
      <c r="AZ26" s="184">
        <f t="shared" si="6"/>
        <v>378789.22233000002</v>
      </c>
      <c r="BA26" s="184">
        <f t="shared" si="7"/>
        <v>176537.5172</v>
      </c>
      <c r="BB26" s="184">
        <f t="shared" si="31"/>
        <v>46.605739232517301</v>
      </c>
      <c r="BC26" s="183">
        <v>0</v>
      </c>
      <c r="BD26" s="183">
        <v>58175.617059999997</v>
      </c>
      <c r="BE26" s="183">
        <v>17883</v>
      </c>
      <c r="BF26" s="183">
        <v>8463.2999999999993</v>
      </c>
      <c r="BG26" s="184">
        <f t="shared" si="32"/>
        <v>84521.917059999992</v>
      </c>
      <c r="BH26" s="183">
        <v>0</v>
      </c>
      <c r="BI26" s="183">
        <v>27220.196319999999</v>
      </c>
      <c r="BJ26" s="183">
        <v>6664.0005000000001</v>
      </c>
      <c r="BK26" s="183">
        <v>1452.68309</v>
      </c>
      <c r="BL26" s="184">
        <f t="shared" si="33"/>
        <v>35336.879909999996</v>
      </c>
      <c r="BM26" s="187">
        <v>8500</v>
      </c>
      <c r="BN26" s="184">
        <f t="shared" si="34"/>
        <v>8500</v>
      </c>
      <c r="BO26" s="187">
        <v>4057.5400599999998</v>
      </c>
      <c r="BP26" s="184">
        <f t="shared" si="35"/>
        <v>4057.5400599999998</v>
      </c>
      <c r="BQ26" s="184">
        <f t="shared" si="8"/>
        <v>47.735765411764703</v>
      </c>
      <c r="BR26" s="187">
        <v>332</v>
      </c>
      <c r="BS26" s="184">
        <f t="shared" si="36"/>
        <v>332</v>
      </c>
      <c r="BT26" s="327">
        <v>185.34652</v>
      </c>
      <c r="BU26" s="184">
        <f t="shared" si="37"/>
        <v>185.34652</v>
      </c>
      <c r="BV26" s="184">
        <f t="shared" si="9"/>
        <v>55.827265060240968</v>
      </c>
      <c r="BW26" s="187">
        <v>12060</v>
      </c>
      <c r="BX26" s="184">
        <f t="shared" si="38"/>
        <v>12060</v>
      </c>
      <c r="BY26" s="187">
        <v>2107.6925499999998</v>
      </c>
      <c r="BZ26" s="184">
        <f t="shared" si="39"/>
        <v>2107.6925499999998</v>
      </c>
      <c r="CA26" s="187">
        <v>1462.22317</v>
      </c>
      <c r="CB26" s="184">
        <f t="shared" si="40"/>
        <v>1462.22317</v>
      </c>
      <c r="CC26" s="184">
        <f t="shared" si="10"/>
        <v>12.124570232172472</v>
      </c>
      <c r="CD26" s="184">
        <f t="shared" si="41"/>
        <v>-645.46937999999977</v>
      </c>
      <c r="CE26" s="184">
        <f t="shared" si="42"/>
        <v>-30.624456114341712</v>
      </c>
      <c r="CF26" s="187">
        <v>13043</v>
      </c>
      <c r="CG26" s="184">
        <f t="shared" si="43"/>
        <v>13043</v>
      </c>
      <c r="CH26" s="187">
        <v>3819.9485100000002</v>
      </c>
      <c r="CI26" s="184">
        <f t="shared" si="44"/>
        <v>3819.9485100000002</v>
      </c>
      <c r="CJ26" s="184">
        <f t="shared" si="11"/>
        <v>29.287345779345241</v>
      </c>
      <c r="CK26" s="184">
        <v>24370.48072</v>
      </c>
      <c r="CL26" s="184">
        <v>0</v>
      </c>
      <c r="CM26" s="187">
        <v>40376122.780000001</v>
      </c>
      <c r="CN26" s="184">
        <f t="shared" si="45"/>
        <v>40376.122779999998</v>
      </c>
      <c r="CO26" s="187">
        <v>144915.99</v>
      </c>
      <c r="CP26" s="184">
        <f t="shared" si="46"/>
        <v>144.91598999999999</v>
      </c>
      <c r="CQ26" s="184">
        <f t="shared" si="12"/>
        <v>16005.642059999998</v>
      </c>
      <c r="CR26" s="184">
        <f t="shared" si="13"/>
        <v>144.91598999999999</v>
      </c>
      <c r="CS26" s="184">
        <f t="shared" si="14"/>
        <v>-9488.4839800000773</v>
      </c>
      <c r="CT26" s="184">
        <f t="shared" si="15"/>
        <v>384.49984000000404</v>
      </c>
      <c r="CU26" s="184">
        <v>0</v>
      </c>
      <c r="CV26" s="188"/>
      <c r="CW26" s="184">
        <f t="shared" si="47"/>
        <v>0</v>
      </c>
      <c r="CX26" s="183">
        <v>0</v>
      </c>
      <c r="CY26" s="183">
        <v>379056.30527000001</v>
      </c>
      <c r="CZ26" s="183">
        <v>12596.02152</v>
      </c>
      <c r="DA26" s="183">
        <v>11062</v>
      </c>
      <c r="DB26" s="184">
        <f t="shared" si="48"/>
        <v>402714.32679000002</v>
      </c>
      <c r="DC26" s="183">
        <v>0</v>
      </c>
      <c r="DD26" s="183">
        <v>176660.60014</v>
      </c>
      <c r="DE26" s="183">
        <v>3264.6</v>
      </c>
      <c r="DF26" s="183">
        <v>4964.0246399999996</v>
      </c>
      <c r="DG26" s="184">
        <f t="shared" si="49"/>
        <v>184889.22477999999</v>
      </c>
      <c r="DH26" s="188">
        <f t="shared" si="16"/>
        <v>378788.30527000001</v>
      </c>
      <c r="DI26" s="188">
        <f t="shared" si="17"/>
        <v>176536.60014</v>
      </c>
      <c r="DJ26" s="184">
        <f t="shared" si="50"/>
        <v>46.605609963107192</v>
      </c>
      <c r="DK26" s="183">
        <v>37235</v>
      </c>
      <c r="DL26" s="184">
        <f t="shared" si="51"/>
        <v>37235</v>
      </c>
      <c r="DM26" s="183">
        <v>19087.113109999998</v>
      </c>
      <c r="DN26" s="184">
        <f t="shared" si="52"/>
        <v>19087.113109999998</v>
      </c>
      <c r="DO26" s="187">
        <v>2153.1799999999998</v>
      </c>
      <c r="DP26" s="184">
        <f t="shared" si="53"/>
        <v>2.1531799999999999</v>
      </c>
      <c r="DQ26" s="408">
        <v>1</v>
      </c>
      <c r="DR26" s="184">
        <v>10.21326</v>
      </c>
      <c r="DS26" s="184">
        <f t="shared" si="18"/>
        <v>8.0600799999999992</v>
      </c>
      <c r="DT26" s="184">
        <v>6594.2429400000001</v>
      </c>
      <c r="DU26" s="184">
        <v>0</v>
      </c>
      <c r="DV26" s="184">
        <v>6544.1723899999997</v>
      </c>
      <c r="DW26" s="184">
        <v>0</v>
      </c>
      <c r="DX26" s="184">
        <f t="shared" si="54"/>
        <v>-50.070550000000367</v>
      </c>
      <c r="DY26" s="184">
        <f t="shared" si="55"/>
        <v>0</v>
      </c>
      <c r="DZ26" s="184">
        <v>7383.0519800000002</v>
      </c>
      <c r="EA26" s="184">
        <v>3767.7739700000002</v>
      </c>
      <c r="EB26" s="184">
        <v>5573.9349099999999</v>
      </c>
      <c r="EC26" s="184">
        <v>2592.2982999999999</v>
      </c>
      <c r="ED26" s="184">
        <f t="shared" si="56"/>
        <v>-1809.1170700000002</v>
      </c>
      <c r="EE26" s="184">
        <f t="shared" si="57"/>
        <v>-1175.4756700000003</v>
      </c>
      <c r="EF26" s="184">
        <v>3767.7739700000002</v>
      </c>
      <c r="EG26" s="184">
        <v>3767.7739700000002</v>
      </c>
      <c r="EH26" s="184">
        <v>2699.9468299999999</v>
      </c>
      <c r="EI26" s="184">
        <v>2592.2982999999999</v>
      </c>
      <c r="EJ26" s="184">
        <f t="shared" si="58"/>
        <v>-1067.8271400000003</v>
      </c>
      <c r="EK26" s="184">
        <f t="shared" si="59"/>
        <v>-1175.4756700000003</v>
      </c>
      <c r="EL26" s="184">
        <v>3038.2486100000001</v>
      </c>
      <c r="EM26" s="184">
        <v>0</v>
      </c>
      <c r="EN26" s="184">
        <v>2344.30332</v>
      </c>
      <c r="EO26" s="184">
        <v>0</v>
      </c>
      <c r="EP26" s="184">
        <f t="shared" si="60"/>
        <v>-693.94529000000011</v>
      </c>
      <c r="EQ26" s="184">
        <f t="shared" si="61"/>
        <v>0</v>
      </c>
      <c r="ER26" s="184">
        <v>0</v>
      </c>
      <c r="ES26" s="184">
        <v>0</v>
      </c>
      <c r="ET26" s="184">
        <v>0</v>
      </c>
      <c r="EU26" s="184">
        <v>0</v>
      </c>
      <c r="EV26" s="184">
        <f t="shared" si="62"/>
        <v>0</v>
      </c>
      <c r="EW26" s="184">
        <f t="shared" si="63"/>
        <v>0</v>
      </c>
      <c r="EX26" s="184">
        <v>0</v>
      </c>
      <c r="EY26" s="184">
        <v>0</v>
      </c>
      <c r="EZ26" s="184">
        <v>0</v>
      </c>
      <c r="FA26" s="184">
        <v>0</v>
      </c>
      <c r="FB26" s="184">
        <f t="shared" si="64"/>
        <v>0</v>
      </c>
      <c r="FC26" s="184">
        <f t="shared" si="65"/>
        <v>0</v>
      </c>
      <c r="FD26" s="184">
        <v>0</v>
      </c>
      <c r="FE26" s="184">
        <v>0</v>
      </c>
      <c r="FF26" s="184">
        <f t="shared" si="66"/>
        <v>0</v>
      </c>
      <c r="FG26" s="184">
        <v>0</v>
      </c>
      <c r="FH26" s="184">
        <v>0</v>
      </c>
      <c r="FI26" s="184">
        <f t="shared" si="67"/>
        <v>0</v>
      </c>
      <c r="FJ26" s="184">
        <v>0</v>
      </c>
      <c r="FK26" s="184">
        <v>0</v>
      </c>
      <c r="FL26" s="184">
        <f t="shared" si="68"/>
        <v>0</v>
      </c>
      <c r="FM26" s="184">
        <v>0</v>
      </c>
      <c r="FN26" s="184">
        <v>0</v>
      </c>
      <c r="FO26" s="184">
        <f t="shared" si="69"/>
        <v>0</v>
      </c>
      <c r="FP26" s="184" t="e">
        <f t="shared" si="70"/>
        <v>#DIV/0!</v>
      </c>
    </row>
    <row r="27" spans="1:172" s="184" customFormat="1" x14ac:dyDescent="0.25">
      <c r="A27" s="182" t="s">
        <v>177</v>
      </c>
      <c r="B27" s="183">
        <v>9279825.8181299996</v>
      </c>
      <c r="C27" s="183">
        <v>0</v>
      </c>
      <c r="D27" s="183">
        <v>0</v>
      </c>
      <c r="E27" s="183">
        <v>0</v>
      </c>
      <c r="F27" s="184">
        <f t="shared" si="19"/>
        <v>9279825.8181299996</v>
      </c>
      <c r="G27" s="183">
        <v>4273030.3799700001</v>
      </c>
      <c r="H27" s="183">
        <v>0</v>
      </c>
      <c r="I27" s="183">
        <v>0</v>
      </c>
      <c r="J27" s="183">
        <v>0</v>
      </c>
      <c r="K27" s="184">
        <f t="shared" si="20"/>
        <v>4273030.3799700001</v>
      </c>
      <c r="L27" s="183">
        <v>0</v>
      </c>
      <c r="M27" s="183">
        <v>0</v>
      </c>
      <c r="N27" s="183">
        <v>0</v>
      </c>
      <c r="O27" s="184">
        <f t="shared" si="21"/>
        <v>0</v>
      </c>
      <c r="P27" s="183">
        <v>0</v>
      </c>
      <c r="Q27" s="183">
        <v>0</v>
      </c>
      <c r="R27" s="183">
        <v>0</v>
      </c>
      <c r="S27" s="184">
        <f t="shared" si="22"/>
        <v>0</v>
      </c>
      <c r="T27" s="183">
        <v>9500624.2344000004</v>
      </c>
      <c r="U27" s="183">
        <v>0</v>
      </c>
      <c r="V27" s="183">
        <v>0</v>
      </c>
      <c r="W27" s="183">
        <v>0</v>
      </c>
      <c r="X27" s="184">
        <f t="shared" si="23"/>
        <v>9500624.2344000004</v>
      </c>
      <c r="Y27" s="183">
        <v>4497918.9499599999</v>
      </c>
      <c r="Z27" s="183">
        <v>0</v>
      </c>
      <c r="AA27" s="183">
        <v>0</v>
      </c>
      <c r="AB27" s="183">
        <v>0</v>
      </c>
      <c r="AC27" s="184">
        <f t="shared" si="24"/>
        <v>4497918.9499599999</v>
      </c>
      <c r="AD27" s="184">
        <f t="shared" si="0"/>
        <v>9279825.8181299996</v>
      </c>
      <c r="AE27" s="184">
        <f t="shared" si="1"/>
        <v>4273030.3799700001</v>
      </c>
      <c r="AF27" s="184">
        <f t="shared" si="25"/>
        <v>46.046450264419605</v>
      </c>
      <c r="AG27" s="185">
        <v>9279826</v>
      </c>
      <c r="AH27" s="185">
        <f t="shared" si="26"/>
        <v>0.18187000043690205</v>
      </c>
      <c r="AI27" s="185">
        <v>4273030</v>
      </c>
      <c r="AJ27" s="185">
        <f t="shared" si="27"/>
        <v>-0.37997000012546778</v>
      </c>
      <c r="AK27" s="184">
        <f t="shared" si="2"/>
        <v>9500624.2344000004</v>
      </c>
      <c r="AL27" s="184">
        <f t="shared" si="3"/>
        <v>4497918.9499599999</v>
      </c>
      <c r="AM27" s="184">
        <f t="shared" si="28"/>
        <v>47.343404380460271</v>
      </c>
      <c r="AN27" s="183">
        <v>4702434.3202999998</v>
      </c>
      <c r="AO27" s="183">
        <v>0</v>
      </c>
      <c r="AP27" s="183">
        <v>0</v>
      </c>
      <c r="AQ27" s="183">
        <v>0</v>
      </c>
      <c r="AR27" s="407">
        <f t="shared" si="4"/>
        <v>0</v>
      </c>
      <c r="AS27" s="184">
        <f t="shared" si="29"/>
        <v>4702434.3202999998</v>
      </c>
      <c r="AT27" s="183">
        <v>2164199.2288099998</v>
      </c>
      <c r="AU27" s="183">
        <v>0</v>
      </c>
      <c r="AV27" s="183">
        <v>0</v>
      </c>
      <c r="AW27" s="183">
        <v>0</v>
      </c>
      <c r="AX27" s="186">
        <f t="shared" si="5"/>
        <v>0</v>
      </c>
      <c r="AY27" s="184">
        <f t="shared" si="30"/>
        <v>2164199.2288099998</v>
      </c>
      <c r="AZ27" s="184">
        <f t="shared" si="6"/>
        <v>4702434.3202999998</v>
      </c>
      <c r="BA27" s="184">
        <f t="shared" si="7"/>
        <v>2164199.2288099998</v>
      </c>
      <c r="BB27" s="184">
        <f t="shared" si="31"/>
        <v>46.022954950531471</v>
      </c>
      <c r="BC27" s="183">
        <v>4565331.1055899998</v>
      </c>
      <c r="BD27" s="183">
        <v>0</v>
      </c>
      <c r="BE27" s="183">
        <v>0</v>
      </c>
      <c r="BF27" s="183">
        <v>0</v>
      </c>
      <c r="BG27" s="184">
        <f t="shared" si="32"/>
        <v>4565331.1055899998</v>
      </c>
      <c r="BH27" s="183">
        <v>2096970.7589199999</v>
      </c>
      <c r="BI27" s="183">
        <v>0</v>
      </c>
      <c r="BJ27" s="183">
        <v>0</v>
      </c>
      <c r="BK27" s="183">
        <v>0</v>
      </c>
      <c r="BL27" s="184">
        <f t="shared" si="33"/>
        <v>2096970.7589199999</v>
      </c>
      <c r="BM27" s="187">
        <v>472000</v>
      </c>
      <c r="BN27" s="184">
        <f t="shared" si="34"/>
        <v>472000</v>
      </c>
      <c r="BO27" s="187">
        <v>250021.29081000001</v>
      </c>
      <c r="BP27" s="184">
        <f t="shared" si="35"/>
        <v>250021.29081000001</v>
      </c>
      <c r="BQ27" s="184">
        <f t="shared" si="8"/>
        <v>52.970612459745766</v>
      </c>
      <c r="BR27" s="187">
        <v>116050.1</v>
      </c>
      <c r="BS27" s="184">
        <f t="shared" si="36"/>
        <v>116050.1</v>
      </c>
      <c r="BT27" s="327">
        <v>69896.758589999998</v>
      </c>
      <c r="BU27" s="184">
        <f t="shared" si="37"/>
        <v>69896.758589999998</v>
      </c>
      <c r="BV27" s="184">
        <f t="shared" si="9"/>
        <v>60.229813322004894</v>
      </c>
      <c r="BW27" s="187">
        <v>237000</v>
      </c>
      <c r="BX27" s="184">
        <f t="shared" si="38"/>
        <v>237000</v>
      </c>
      <c r="BY27" s="187">
        <v>76213.248630000002</v>
      </c>
      <c r="BZ27" s="184">
        <f t="shared" si="39"/>
        <v>76213.248630000002</v>
      </c>
      <c r="CA27" s="187">
        <v>85731.382979999995</v>
      </c>
      <c r="CB27" s="184">
        <f t="shared" si="40"/>
        <v>85731.382979999995</v>
      </c>
      <c r="CC27" s="184">
        <f t="shared" si="10"/>
        <v>36.173579316455694</v>
      </c>
      <c r="CD27" s="184">
        <f t="shared" si="41"/>
        <v>9518.134349999993</v>
      </c>
      <c r="CE27" s="184">
        <f t="shared" si="42"/>
        <v>12.488818573012978</v>
      </c>
      <c r="CF27" s="187">
        <v>378616.4</v>
      </c>
      <c r="CG27" s="184">
        <f t="shared" si="43"/>
        <v>378616.4</v>
      </c>
      <c r="CH27" s="187">
        <v>206742.49619999999</v>
      </c>
      <c r="CI27" s="184">
        <f t="shared" si="44"/>
        <v>206742.49619999999</v>
      </c>
      <c r="CJ27" s="184">
        <f t="shared" si="11"/>
        <v>54.604738780464864</v>
      </c>
      <c r="CK27" s="184">
        <v>95172.584879999995</v>
      </c>
      <c r="CL27" s="184">
        <v>240.11234999999999</v>
      </c>
      <c r="CM27" s="187">
        <v>188450792.47999999</v>
      </c>
      <c r="CN27" s="184">
        <f t="shared" si="45"/>
        <v>188450.79248</v>
      </c>
      <c r="CO27" s="187">
        <v>-8370083.2699999996</v>
      </c>
      <c r="CP27" s="184">
        <f t="shared" si="46"/>
        <v>-8370.0832699999992</v>
      </c>
      <c r="CQ27" s="184">
        <f t="shared" si="12"/>
        <v>93278.207600000009</v>
      </c>
      <c r="CR27" s="184">
        <f t="shared" si="13"/>
        <v>-8610.1956199999986</v>
      </c>
      <c r="CS27" s="184">
        <f t="shared" si="14"/>
        <v>-220798.41627000086</v>
      </c>
      <c r="CT27" s="184">
        <f t="shared" si="15"/>
        <v>-224888.56998999976</v>
      </c>
      <c r="CU27" s="184">
        <v>1535000</v>
      </c>
      <c r="CV27" s="188">
        <v>1577849</v>
      </c>
      <c r="CW27" s="184">
        <f t="shared" si="47"/>
        <v>42849</v>
      </c>
      <c r="CX27" s="183">
        <v>4714494.7125399997</v>
      </c>
      <c r="CY27" s="183">
        <v>0</v>
      </c>
      <c r="CZ27" s="183">
        <v>0</v>
      </c>
      <c r="DA27" s="183">
        <v>0</v>
      </c>
      <c r="DB27" s="184">
        <f t="shared" si="48"/>
        <v>4714494.7125399997</v>
      </c>
      <c r="DC27" s="183">
        <v>2176059.6210500002</v>
      </c>
      <c r="DD27" s="183">
        <v>0</v>
      </c>
      <c r="DE27" s="183">
        <v>0</v>
      </c>
      <c r="DF27" s="183">
        <v>0</v>
      </c>
      <c r="DG27" s="184">
        <f t="shared" si="49"/>
        <v>2176059.6210500002</v>
      </c>
      <c r="DH27" s="188">
        <f t="shared" si="16"/>
        <v>4714494.7125399997</v>
      </c>
      <c r="DI27" s="188">
        <f t="shared" si="17"/>
        <v>2176059.6210500002</v>
      </c>
      <c r="DJ27" s="184">
        <f t="shared" si="50"/>
        <v>46.156794179065223</v>
      </c>
      <c r="DK27" s="183">
        <v>3101379.6</v>
      </c>
      <c r="DL27" s="184">
        <f t="shared" si="51"/>
        <v>3101379.6</v>
      </c>
      <c r="DM27" s="183">
        <v>1349594.0546800001</v>
      </c>
      <c r="DN27" s="184">
        <f t="shared" si="52"/>
        <v>1349594.0546800001</v>
      </c>
      <c r="DO27" s="187">
        <v>49350410.859999999</v>
      </c>
      <c r="DP27" s="184">
        <f t="shared" si="53"/>
        <v>49350.410859999996</v>
      </c>
      <c r="DQ27" s="408">
        <v>79400</v>
      </c>
      <c r="DR27" s="184">
        <v>60854.272530000002</v>
      </c>
      <c r="DS27" s="184">
        <f t="shared" si="18"/>
        <v>11503.861670000006</v>
      </c>
      <c r="DT27" s="184">
        <v>240389.07295</v>
      </c>
      <c r="DU27" s="184">
        <v>333.33395999999999</v>
      </c>
      <c r="DV27" s="184">
        <v>401729.08919999999</v>
      </c>
      <c r="DW27" s="184">
        <v>23683.877680000001</v>
      </c>
      <c r="DX27" s="184">
        <f t="shared" si="54"/>
        <v>161340.01624999999</v>
      </c>
      <c r="DY27" s="184">
        <f t="shared" si="55"/>
        <v>23350.543720000001</v>
      </c>
      <c r="DZ27" s="184">
        <v>1403942.99688</v>
      </c>
      <c r="EA27" s="184">
        <v>677370.48341999995</v>
      </c>
      <c r="EB27" s="184">
        <v>1370820.8842</v>
      </c>
      <c r="EC27" s="184">
        <v>639561.33273000002</v>
      </c>
      <c r="ED27" s="184">
        <f t="shared" si="56"/>
        <v>-33122.11268000002</v>
      </c>
      <c r="EE27" s="184">
        <f t="shared" si="57"/>
        <v>-37809.150689999922</v>
      </c>
      <c r="EF27" s="184">
        <v>188235.32904000001</v>
      </c>
      <c r="EG27" s="184">
        <v>188232.12904</v>
      </c>
      <c r="EH27" s="184">
        <v>169546.8449</v>
      </c>
      <c r="EI27" s="184">
        <v>169546.8449</v>
      </c>
      <c r="EJ27" s="184">
        <f t="shared" si="58"/>
        <v>-18688.484140000015</v>
      </c>
      <c r="EK27" s="184">
        <f t="shared" si="59"/>
        <v>-18685.284140000003</v>
      </c>
      <c r="EL27" s="184">
        <v>363681.63040000002</v>
      </c>
      <c r="EM27" s="184">
        <v>354678.09039999999</v>
      </c>
      <c r="EN27" s="184">
        <v>332732.62614000001</v>
      </c>
      <c r="EO27" s="184">
        <v>332446.38098999998</v>
      </c>
      <c r="EP27" s="184">
        <f t="shared" si="60"/>
        <v>-30949.004260000016</v>
      </c>
      <c r="EQ27" s="184">
        <f t="shared" si="61"/>
        <v>-22231.70941000001</v>
      </c>
      <c r="ER27" s="184">
        <v>164711.75302</v>
      </c>
      <c r="ES27" s="184">
        <v>31970.912840000001</v>
      </c>
      <c r="ET27" s="184">
        <v>178270.89048</v>
      </c>
      <c r="EU27" s="184">
        <v>21608.04031</v>
      </c>
      <c r="EV27" s="184">
        <f t="shared" si="62"/>
        <v>13559.137459999998</v>
      </c>
      <c r="EW27" s="184">
        <f t="shared" si="63"/>
        <v>-10362.872530000001</v>
      </c>
      <c r="EX27" s="184">
        <v>470655.35976000002</v>
      </c>
      <c r="EY27" s="184">
        <v>4858.9705899999999</v>
      </c>
      <c r="EZ27" s="184">
        <v>433257.62436999998</v>
      </c>
      <c r="FA27" s="184">
        <v>3475.3448400000002</v>
      </c>
      <c r="FB27" s="184">
        <f t="shared" si="64"/>
        <v>-37397.735390000045</v>
      </c>
      <c r="FC27" s="184">
        <f t="shared" si="65"/>
        <v>-1383.6257499999997</v>
      </c>
      <c r="FD27" s="184">
        <v>0</v>
      </c>
      <c r="FE27" s="184">
        <v>0</v>
      </c>
      <c r="FF27" s="184">
        <f t="shared" si="66"/>
        <v>0</v>
      </c>
      <c r="FG27" s="184">
        <v>0</v>
      </c>
      <c r="FH27" s="416">
        <v>12256.46875</v>
      </c>
      <c r="FI27" s="184">
        <f t="shared" si="67"/>
        <v>12256.46875</v>
      </c>
      <c r="FJ27" s="184">
        <v>0</v>
      </c>
      <c r="FK27" s="184">
        <v>0</v>
      </c>
      <c r="FL27" s="184">
        <f t="shared" si="68"/>
        <v>0</v>
      </c>
      <c r="FM27" s="184">
        <v>320</v>
      </c>
      <c r="FN27" s="184">
        <v>4319</v>
      </c>
      <c r="FO27" s="184">
        <f t="shared" si="69"/>
        <v>3999</v>
      </c>
      <c r="FP27" s="184">
        <f t="shared" si="70"/>
        <v>1249.6875</v>
      </c>
    </row>
    <row r="28" spans="1:172" s="184" customFormat="1" x14ac:dyDescent="0.25">
      <c r="A28" s="182" t="s">
        <v>178</v>
      </c>
      <c r="B28" s="183">
        <v>6218884.3834199999</v>
      </c>
      <c r="C28" s="183">
        <v>0</v>
      </c>
      <c r="D28" s="183">
        <v>0</v>
      </c>
      <c r="E28" s="183">
        <v>0</v>
      </c>
      <c r="F28" s="184">
        <f t="shared" si="19"/>
        <v>6218884.3834199999</v>
      </c>
      <c r="G28" s="183">
        <v>3146142.29324</v>
      </c>
      <c r="H28" s="183">
        <v>0</v>
      </c>
      <c r="I28" s="183">
        <v>0</v>
      </c>
      <c r="J28" s="183">
        <v>0</v>
      </c>
      <c r="K28" s="184">
        <f t="shared" si="20"/>
        <v>3146142.29324</v>
      </c>
      <c r="L28" s="183">
        <v>0</v>
      </c>
      <c r="M28" s="183">
        <v>0</v>
      </c>
      <c r="N28" s="183">
        <v>0</v>
      </c>
      <c r="O28" s="184">
        <f t="shared" si="21"/>
        <v>0</v>
      </c>
      <c r="P28" s="183">
        <v>0</v>
      </c>
      <c r="Q28" s="183">
        <v>0</v>
      </c>
      <c r="R28" s="183">
        <v>0</v>
      </c>
      <c r="S28" s="184">
        <f t="shared" si="22"/>
        <v>0</v>
      </c>
      <c r="T28" s="183">
        <v>6332617.8191400003</v>
      </c>
      <c r="U28" s="183">
        <v>0</v>
      </c>
      <c r="V28" s="183">
        <v>0</v>
      </c>
      <c r="W28" s="183">
        <v>0</v>
      </c>
      <c r="X28" s="184">
        <f t="shared" si="23"/>
        <v>6332617.8191400003</v>
      </c>
      <c r="Y28" s="183">
        <v>2975839.7870800002</v>
      </c>
      <c r="Z28" s="183">
        <v>0</v>
      </c>
      <c r="AA28" s="183">
        <v>0</v>
      </c>
      <c r="AB28" s="183">
        <v>0</v>
      </c>
      <c r="AC28" s="184">
        <f t="shared" si="24"/>
        <v>2975839.7870800002</v>
      </c>
      <c r="AD28" s="184">
        <f t="shared" si="0"/>
        <v>6218884.3834199999</v>
      </c>
      <c r="AE28" s="184">
        <f t="shared" si="1"/>
        <v>3146142.29324</v>
      </c>
      <c r="AF28" s="184">
        <f t="shared" si="25"/>
        <v>50.590139633852097</v>
      </c>
      <c r="AG28" s="185">
        <v>6218884</v>
      </c>
      <c r="AH28" s="185">
        <f t="shared" si="26"/>
        <v>-0.38341999985277653</v>
      </c>
      <c r="AI28" s="185">
        <v>3146142</v>
      </c>
      <c r="AJ28" s="185">
        <f t="shared" si="27"/>
        <v>-0.29324000002816319</v>
      </c>
      <c r="AK28" s="184">
        <f t="shared" si="2"/>
        <v>6332617.8191400003</v>
      </c>
      <c r="AL28" s="184">
        <f t="shared" si="3"/>
        <v>2975839.7870800002</v>
      </c>
      <c r="AM28" s="184">
        <f t="shared" si="28"/>
        <v>46.992252999789166</v>
      </c>
      <c r="AN28" s="183">
        <v>2827207.1935999999</v>
      </c>
      <c r="AO28" s="183">
        <v>0</v>
      </c>
      <c r="AP28" s="183">
        <v>0</v>
      </c>
      <c r="AQ28" s="183">
        <v>0</v>
      </c>
      <c r="AR28" s="407">
        <f t="shared" si="4"/>
        <v>0</v>
      </c>
      <c r="AS28" s="184">
        <f t="shared" si="29"/>
        <v>2827207.1935999999</v>
      </c>
      <c r="AT28" s="183">
        <v>1470811.23731</v>
      </c>
      <c r="AU28" s="183">
        <v>0</v>
      </c>
      <c r="AV28" s="183">
        <v>0</v>
      </c>
      <c r="AW28" s="183">
        <v>0</v>
      </c>
      <c r="AX28" s="186">
        <f t="shared" si="5"/>
        <v>0</v>
      </c>
      <c r="AY28" s="184">
        <f t="shared" si="30"/>
        <v>1470811.23731</v>
      </c>
      <c r="AZ28" s="184">
        <f t="shared" si="6"/>
        <v>2827207.1935999999</v>
      </c>
      <c r="BA28" s="184">
        <f t="shared" si="7"/>
        <v>1470811.23731</v>
      </c>
      <c r="BB28" s="184">
        <f t="shared" si="31"/>
        <v>52.023468270719668</v>
      </c>
      <c r="BC28" s="183">
        <v>3385837.04532</v>
      </c>
      <c r="BD28" s="183">
        <v>0</v>
      </c>
      <c r="BE28" s="183">
        <v>0</v>
      </c>
      <c r="BF28" s="183">
        <v>0</v>
      </c>
      <c r="BG28" s="184">
        <f t="shared" si="32"/>
        <v>3385837.04532</v>
      </c>
      <c r="BH28" s="183">
        <v>1669219.7427000001</v>
      </c>
      <c r="BI28" s="183">
        <v>0</v>
      </c>
      <c r="BJ28" s="183">
        <v>0</v>
      </c>
      <c r="BK28" s="183">
        <v>0</v>
      </c>
      <c r="BL28" s="184">
        <f t="shared" si="33"/>
        <v>1669219.7427000001</v>
      </c>
      <c r="BM28" s="187">
        <v>156800</v>
      </c>
      <c r="BN28" s="184">
        <f t="shared" si="34"/>
        <v>156800</v>
      </c>
      <c r="BO28" s="187">
        <v>81136.990720000002</v>
      </c>
      <c r="BP28" s="184">
        <f t="shared" si="35"/>
        <v>81136.990720000002</v>
      </c>
      <c r="BQ28" s="184">
        <f t="shared" si="8"/>
        <v>51.745529795918365</v>
      </c>
      <c r="BR28" s="187">
        <v>225013.15</v>
      </c>
      <c r="BS28" s="184">
        <f t="shared" si="36"/>
        <v>225013.15</v>
      </c>
      <c r="BT28" s="327">
        <v>160415.29282999999</v>
      </c>
      <c r="BU28" s="184">
        <f t="shared" si="37"/>
        <v>160415.29282999999</v>
      </c>
      <c r="BV28" s="184">
        <f t="shared" si="9"/>
        <v>71.291519108994294</v>
      </c>
      <c r="BW28" s="187">
        <v>225000</v>
      </c>
      <c r="BX28" s="184">
        <f t="shared" si="38"/>
        <v>225000</v>
      </c>
      <c r="BY28" s="187">
        <v>60350.39503</v>
      </c>
      <c r="BZ28" s="184">
        <f t="shared" si="39"/>
        <v>60350.39503</v>
      </c>
      <c r="CA28" s="187">
        <v>104096.74112000001</v>
      </c>
      <c r="CB28" s="184">
        <f t="shared" si="40"/>
        <v>104096.74112000001</v>
      </c>
      <c r="CC28" s="184">
        <f t="shared" si="10"/>
        <v>46.265218275555561</v>
      </c>
      <c r="CD28" s="184">
        <f t="shared" si="41"/>
        <v>43746.346090000006</v>
      </c>
      <c r="CE28" s="184">
        <f t="shared" si="42"/>
        <v>72.487257238753472</v>
      </c>
      <c r="CF28" s="187">
        <v>205616.95314</v>
      </c>
      <c r="CG28" s="184">
        <f t="shared" si="43"/>
        <v>205616.95314</v>
      </c>
      <c r="CH28" s="187">
        <v>81260.951700000005</v>
      </c>
      <c r="CI28" s="184">
        <f t="shared" si="44"/>
        <v>81260.951700000005</v>
      </c>
      <c r="CJ28" s="184">
        <f t="shared" si="11"/>
        <v>39.52055045026917</v>
      </c>
      <c r="CK28" s="184">
        <v>119973.58022</v>
      </c>
      <c r="CL28" s="184">
        <v>0</v>
      </c>
      <c r="CM28" s="187">
        <v>434255490.44</v>
      </c>
      <c r="CN28" s="184">
        <f t="shared" si="45"/>
        <v>434255.49044000002</v>
      </c>
      <c r="CO28" s="187">
        <v>25417.62</v>
      </c>
      <c r="CP28" s="184">
        <f t="shared" si="46"/>
        <v>25.417619999999999</v>
      </c>
      <c r="CQ28" s="184">
        <f t="shared" si="12"/>
        <v>314281.91022000002</v>
      </c>
      <c r="CR28" s="184">
        <f t="shared" si="13"/>
        <v>25.417619999999999</v>
      </c>
      <c r="CS28" s="184">
        <f t="shared" si="14"/>
        <v>-113733.43572000042</v>
      </c>
      <c r="CT28" s="184">
        <f t="shared" si="15"/>
        <v>170302.50615999987</v>
      </c>
      <c r="CU28" s="184">
        <v>1661466.665</v>
      </c>
      <c r="CV28" s="188">
        <v>1621466.665</v>
      </c>
      <c r="CW28" s="184">
        <f t="shared" si="47"/>
        <v>-40000</v>
      </c>
      <c r="CX28" s="183">
        <v>2833047.3380999998</v>
      </c>
      <c r="CY28" s="183">
        <v>0</v>
      </c>
      <c r="CZ28" s="183">
        <v>0</v>
      </c>
      <c r="DA28" s="183">
        <v>0</v>
      </c>
      <c r="DB28" s="184">
        <f t="shared" si="48"/>
        <v>2833047.3380999998</v>
      </c>
      <c r="DC28" s="183">
        <v>1476922.55054</v>
      </c>
      <c r="DD28" s="183">
        <v>0</v>
      </c>
      <c r="DE28" s="183">
        <v>0</v>
      </c>
      <c r="DF28" s="183">
        <v>0</v>
      </c>
      <c r="DG28" s="184">
        <f t="shared" si="49"/>
        <v>1476922.55054</v>
      </c>
      <c r="DH28" s="188">
        <f t="shared" si="16"/>
        <v>2833047.3380999998</v>
      </c>
      <c r="DI28" s="188">
        <f t="shared" si="17"/>
        <v>1476922.55054</v>
      </c>
      <c r="DJ28" s="184">
        <f t="shared" si="50"/>
        <v>52.131940426046917</v>
      </c>
      <c r="DK28" s="183">
        <v>2488000</v>
      </c>
      <c r="DL28" s="184">
        <f t="shared" si="51"/>
        <v>2488000</v>
      </c>
      <c r="DM28" s="183">
        <v>1189336.97425</v>
      </c>
      <c r="DN28" s="184">
        <f t="shared" si="52"/>
        <v>1189336.97425</v>
      </c>
      <c r="DO28" s="187">
        <v>259066.71</v>
      </c>
      <c r="DP28" s="184">
        <f t="shared" si="53"/>
        <v>259.06671</v>
      </c>
      <c r="DQ28" s="408">
        <v>300</v>
      </c>
      <c r="DR28" s="184">
        <v>228.92599999999999</v>
      </c>
      <c r="DS28" s="184">
        <f t="shared" si="18"/>
        <v>-30.140710000000013</v>
      </c>
      <c r="DT28" s="184">
        <v>207914.75416000001</v>
      </c>
      <c r="DU28" s="184">
        <v>0</v>
      </c>
      <c r="DV28" s="184">
        <v>293270.11988999997</v>
      </c>
      <c r="DW28" s="184">
        <v>0</v>
      </c>
      <c r="DX28" s="184">
        <f t="shared" si="54"/>
        <v>85355.365729999961</v>
      </c>
      <c r="DY28" s="184">
        <f t="shared" si="55"/>
        <v>0</v>
      </c>
      <c r="DZ28" s="184">
        <v>213414.32306</v>
      </c>
      <c r="EA28" s="184">
        <v>27472.077979999998</v>
      </c>
      <c r="EB28" s="184">
        <v>218737.42809999999</v>
      </c>
      <c r="EC28" s="184">
        <v>16759.621050000002</v>
      </c>
      <c r="ED28" s="184">
        <f t="shared" si="56"/>
        <v>5323.1050399999949</v>
      </c>
      <c r="EE28" s="184">
        <f t="shared" si="57"/>
        <v>-10712.456929999997</v>
      </c>
      <c r="EF28" s="184">
        <v>27156.777979999999</v>
      </c>
      <c r="EG28" s="184">
        <v>27156.777979999999</v>
      </c>
      <c r="EH28" s="184">
        <v>16754.32821</v>
      </c>
      <c r="EI28" s="184">
        <v>16754.32821</v>
      </c>
      <c r="EJ28" s="184">
        <f t="shared" si="58"/>
        <v>-10402.449769999999</v>
      </c>
      <c r="EK28" s="184">
        <f t="shared" si="59"/>
        <v>-10402.449769999999</v>
      </c>
      <c r="EL28" s="184">
        <v>137024.55022999999</v>
      </c>
      <c r="EM28" s="184">
        <v>0</v>
      </c>
      <c r="EN28" s="184">
        <v>132506.35503999999</v>
      </c>
      <c r="EO28" s="184">
        <v>0</v>
      </c>
      <c r="EP28" s="184">
        <f t="shared" si="60"/>
        <v>-4518.1951899999985</v>
      </c>
      <c r="EQ28" s="184">
        <f t="shared" si="61"/>
        <v>0</v>
      </c>
      <c r="ER28" s="184">
        <v>0</v>
      </c>
      <c r="ES28" s="184">
        <v>0</v>
      </c>
      <c r="ET28" s="184">
        <v>0</v>
      </c>
      <c r="EU28" s="184">
        <v>0</v>
      </c>
      <c r="EV28" s="184">
        <f t="shared" si="62"/>
        <v>0</v>
      </c>
      <c r="EW28" s="184">
        <f t="shared" si="63"/>
        <v>0</v>
      </c>
      <c r="EX28" s="184">
        <v>0</v>
      </c>
      <c r="EY28" s="184">
        <v>0</v>
      </c>
      <c r="EZ28" s="184">
        <v>0</v>
      </c>
      <c r="FA28" s="184">
        <v>0</v>
      </c>
      <c r="FB28" s="184">
        <f t="shared" si="64"/>
        <v>0</v>
      </c>
      <c r="FC28" s="184">
        <f t="shared" si="65"/>
        <v>0</v>
      </c>
      <c r="FD28" s="184">
        <v>0</v>
      </c>
      <c r="FE28" s="184">
        <v>0</v>
      </c>
      <c r="FF28" s="184">
        <f t="shared" si="66"/>
        <v>0</v>
      </c>
      <c r="FG28" s="184">
        <v>0</v>
      </c>
      <c r="FH28" s="184">
        <v>0</v>
      </c>
      <c r="FI28" s="184">
        <f t="shared" si="67"/>
        <v>0</v>
      </c>
      <c r="FJ28" s="184">
        <v>0</v>
      </c>
      <c r="FK28" s="184">
        <v>0</v>
      </c>
      <c r="FL28" s="184">
        <f t="shared" si="68"/>
        <v>0</v>
      </c>
      <c r="FM28" s="184">
        <v>0</v>
      </c>
      <c r="FN28" s="184">
        <v>0</v>
      </c>
      <c r="FO28" s="184">
        <f t="shared" si="69"/>
        <v>0</v>
      </c>
      <c r="FP28" s="184" t="e">
        <f t="shared" si="70"/>
        <v>#DIV/0!</v>
      </c>
    </row>
    <row r="29" spans="1:172" s="184" customFormat="1" x14ac:dyDescent="0.25">
      <c r="A29" s="182" t="s">
        <v>179</v>
      </c>
      <c r="B29" s="183">
        <v>2047987.44187</v>
      </c>
      <c r="C29" s="183">
        <v>0</v>
      </c>
      <c r="D29" s="183">
        <v>0</v>
      </c>
      <c r="E29" s="183">
        <v>0</v>
      </c>
      <c r="F29" s="184">
        <f t="shared" si="19"/>
        <v>2047987.44187</v>
      </c>
      <c r="G29" s="183">
        <v>1071399.55703</v>
      </c>
      <c r="H29" s="183">
        <v>0</v>
      </c>
      <c r="I29" s="183">
        <v>0</v>
      </c>
      <c r="J29" s="183">
        <v>0</v>
      </c>
      <c r="K29" s="184">
        <f t="shared" si="20"/>
        <v>1071399.55703</v>
      </c>
      <c r="L29" s="183">
        <v>0</v>
      </c>
      <c r="M29" s="183">
        <v>0</v>
      </c>
      <c r="N29" s="183">
        <v>0</v>
      </c>
      <c r="O29" s="184">
        <f t="shared" si="21"/>
        <v>0</v>
      </c>
      <c r="P29" s="183">
        <v>0</v>
      </c>
      <c r="Q29" s="183">
        <v>0</v>
      </c>
      <c r="R29" s="183">
        <v>0</v>
      </c>
      <c r="S29" s="184">
        <f t="shared" si="22"/>
        <v>0</v>
      </c>
      <c r="T29" s="183">
        <v>2322060.7234399999</v>
      </c>
      <c r="U29" s="183">
        <v>0</v>
      </c>
      <c r="V29" s="183">
        <v>0</v>
      </c>
      <c r="W29" s="183">
        <v>0</v>
      </c>
      <c r="X29" s="184">
        <f t="shared" si="23"/>
        <v>2322060.7234399999</v>
      </c>
      <c r="Y29" s="183">
        <v>1105983.2806899999</v>
      </c>
      <c r="Z29" s="183">
        <v>0</v>
      </c>
      <c r="AA29" s="183">
        <v>0</v>
      </c>
      <c r="AB29" s="183">
        <v>0</v>
      </c>
      <c r="AC29" s="184">
        <f t="shared" si="24"/>
        <v>1105983.2806899999</v>
      </c>
      <c r="AD29" s="184">
        <f t="shared" si="0"/>
        <v>2047987.44187</v>
      </c>
      <c r="AE29" s="184">
        <f t="shared" si="1"/>
        <v>1071399.55703</v>
      </c>
      <c r="AF29" s="184">
        <f t="shared" si="25"/>
        <v>52.314752284404349</v>
      </c>
      <c r="AG29" s="185">
        <v>2047987</v>
      </c>
      <c r="AH29" s="185">
        <f t="shared" si="26"/>
        <v>-0.44186999998055398</v>
      </c>
      <c r="AI29" s="185">
        <v>1071400</v>
      </c>
      <c r="AJ29" s="185">
        <f t="shared" si="27"/>
        <v>0.44296999997459352</v>
      </c>
      <c r="AK29" s="184">
        <f t="shared" si="2"/>
        <v>2322060.7234399999</v>
      </c>
      <c r="AL29" s="184">
        <f t="shared" si="3"/>
        <v>1105983.2806899999</v>
      </c>
      <c r="AM29" s="184">
        <f t="shared" si="28"/>
        <v>47.629386670454899</v>
      </c>
      <c r="AN29" s="183">
        <v>1337726.6418699999</v>
      </c>
      <c r="AO29" s="183">
        <v>0</v>
      </c>
      <c r="AP29" s="183">
        <v>0</v>
      </c>
      <c r="AQ29" s="183">
        <v>0</v>
      </c>
      <c r="AR29" s="407">
        <f t="shared" si="4"/>
        <v>0</v>
      </c>
      <c r="AS29" s="184">
        <f t="shared" si="29"/>
        <v>1337726.6418699999</v>
      </c>
      <c r="AT29" s="183">
        <v>688437.89896999998</v>
      </c>
      <c r="AU29" s="183">
        <v>0</v>
      </c>
      <c r="AV29" s="183">
        <v>0</v>
      </c>
      <c r="AW29" s="183">
        <v>0</v>
      </c>
      <c r="AX29" s="186">
        <f t="shared" si="5"/>
        <v>0</v>
      </c>
      <c r="AY29" s="184">
        <f t="shared" si="30"/>
        <v>688437.89896999998</v>
      </c>
      <c r="AZ29" s="184">
        <f t="shared" si="6"/>
        <v>1337726.6418699999</v>
      </c>
      <c r="BA29" s="184">
        <f t="shared" si="7"/>
        <v>688437.89896999998</v>
      </c>
      <c r="BB29" s="184">
        <f t="shared" si="31"/>
        <v>51.463271898931225</v>
      </c>
      <c r="BC29" s="183">
        <v>709963.6</v>
      </c>
      <c r="BD29" s="183">
        <v>0</v>
      </c>
      <c r="BE29" s="183">
        <v>0</v>
      </c>
      <c r="BF29" s="183">
        <v>0</v>
      </c>
      <c r="BG29" s="184">
        <f t="shared" si="32"/>
        <v>709963.6</v>
      </c>
      <c r="BH29" s="183">
        <v>382741.11462000001</v>
      </c>
      <c r="BI29" s="183">
        <v>0</v>
      </c>
      <c r="BJ29" s="183">
        <v>0</v>
      </c>
      <c r="BK29" s="183">
        <v>0</v>
      </c>
      <c r="BL29" s="184">
        <f t="shared" si="33"/>
        <v>382741.11462000001</v>
      </c>
      <c r="BM29" s="187">
        <v>81225</v>
      </c>
      <c r="BN29" s="184">
        <f t="shared" si="34"/>
        <v>81225</v>
      </c>
      <c r="BO29" s="187">
        <v>45180.977870000002</v>
      </c>
      <c r="BP29" s="184">
        <f t="shared" si="35"/>
        <v>45180.977870000002</v>
      </c>
      <c r="BQ29" s="184">
        <f t="shared" si="8"/>
        <v>55.624472600800246</v>
      </c>
      <c r="BR29" s="187">
        <v>16374.4</v>
      </c>
      <c r="BS29" s="184">
        <f t="shared" si="36"/>
        <v>16374.4</v>
      </c>
      <c r="BT29" s="327">
        <v>19651.365379999999</v>
      </c>
      <c r="BU29" s="184">
        <f t="shared" si="37"/>
        <v>19651.365379999999</v>
      </c>
      <c r="BV29" s="184">
        <f t="shared" si="9"/>
        <v>120.01273561168654</v>
      </c>
      <c r="BW29" s="187">
        <v>67013.3</v>
      </c>
      <c r="BX29" s="184">
        <f t="shared" si="38"/>
        <v>67013.3</v>
      </c>
      <c r="BY29" s="187">
        <v>18052.998960000001</v>
      </c>
      <c r="BZ29" s="184">
        <f t="shared" si="39"/>
        <v>18052.998960000001</v>
      </c>
      <c r="CA29" s="187">
        <v>19757.4123</v>
      </c>
      <c r="CB29" s="184">
        <f t="shared" si="40"/>
        <v>19757.4123</v>
      </c>
      <c r="CC29" s="184">
        <f t="shared" si="10"/>
        <v>29.482822514336704</v>
      </c>
      <c r="CD29" s="184">
        <f t="shared" si="41"/>
        <v>1704.4133399999992</v>
      </c>
      <c r="CE29" s="184">
        <f t="shared" si="42"/>
        <v>9.4411645609489199</v>
      </c>
      <c r="CF29" s="187">
        <v>60319.8</v>
      </c>
      <c r="CG29" s="184">
        <f t="shared" si="43"/>
        <v>60319.8</v>
      </c>
      <c r="CH29" s="187">
        <v>23021.139879999999</v>
      </c>
      <c r="CI29" s="184">
        <f t="shared" si="44"/>
        <v>23021.139879999999</v>
      </c>
      <c r="CJ29" s="184">
        <f t="shared" si="11"/>
        <v>38.165146237222274</v>
      </c>
      <c r="CK29" s="184">
        <v>17479.105490000002</v>
      </c>
      <c r="CL29" s="184">
        <v>880.88889000000006</v>
      </c>
      <c r="CM29" s="187">
        <v>54295303.32</v>
      </c>
      <c r="CN29" s="184">
        <f t="shared" si="45"/>
        <v>54295.303319999999</v>
      </c>
      <c r="CO29" s="187">
        <v>4126646.69</v>
      </c>
      <c r="CP29" s="184">
        <f t="shared" si="46"/>
        <v>4126.6466899999996</v>
      </c>
      <c r="CQ29" s="184">
        <f t="shared" si="12"/>
        <v>36816.197829999997</v>
      </c>
      <c r="CR29" s="184">
        <f t="shared" si="13"/>
        <v>3245.7577999999994</v>
      </c>
      <c r="CS29" s="184">
        <f t="shared" si="14"/>
        <v>-274073.28156999988</v>
      </c>
      <c r="CT29" s="184">
        <f t="shared" si="15"/>
        <v>-34583.723659999901</v>
      </c>
      <c r="CU29" s="184">
        <v>140000</v>
      </c>
      <c r="CV29" s="188">
        <v>70000</v>
      </c>
      <c r="CW29" s="184">
        <f t="shared" si="47"/>
        <v>-70000</v>
      </c>
      <c r="CX29" s="183">
        <v>1338023.8418699999</v>
      </c>
      <c r="CY29" s="183">
        <v>0</v>
      </c>
      <c r="CZ29" s="183">
        <v>0</v>
      </c>
      <c r="DA29" s="183">
        <v>0</v>
      </c>
      <c r="DB29" s="184">
        <f t="shared" si="48"/>
        <v>1338023.8418699999</v>
      </c>
      <c r="DC29" s="183">
        <v>688658.44241000002</v>
      </c>
      <c r="DD29" s="183">
        <v>0</v>
      </c>
      <c r="DE29" s="183">
        <v>0</v>
      </c>
      <c r="DF29" s="183">
        <v>0</v>
      </c>
      <c r="DG29" s="184">
        <f t="shared" si="49"/>
        <v>688658.44241000002</v>
      </c>
      <c r="DH29" s="188">
        <f t="shared" si="16"/>
        <v>1338023.8418699999</v>
      </c>
      <c r="DI29" s="188">
        <f t="shared" si="17"/>
        <v>688658.44241000002</v>
      </c>
      <c r="DJ29" s="184">
        <f t="shared" si="50"/>
        <v>51.468323721910849</v>
      </c>
      <c r="DK29" s="183">
        <v>437500</v>
      </c>
      <c r="DL29" s="184">
        <f t="shared" si="51"/>
        <v>437500</v>
      </c>
      <c r="DM29" s="183">
        <v>250936.50200000001</v>
      </c>
      <c r="DN29" s="184">
        <f t="shared" si="52"/>
        <v>250936.50200000001</v>
      </c>
      <c r="DO29" s="187">
        <v>55335.09</v>
      </c>
      <c r="DP29" s="184">
        <f t="shared" si="53"/>
        <v>55.335089999999994</v>
      </c>
      <c r="DQ29" s="408">
        <v>125</v>
      </c>
      <c r="DR29" s="184">
        <v>8.1940000000000008</v>
      </c>
      <c r="DS29" s="184">
        <f t="shared" si="18"/>
        <v>-47.141089999999991</v>
      </c>
      <c r="DT29" s="184">
        <v>217188.10826000001</v>
      </c>
      <c r="DU29" s="184">
        <v>0</v>
      </c>
      <c r="DV29" s="184">
        <v>213709.03067000001</v>
      </c>
      <c r="DW29" s="184">
        <v>0</v>
      </c>
      <c r="DX29" s="184">
        <f t="shared" si="54"/>
        <v>-3479.0775900000008</v>
      </c>
      <c r="DY29" s="184">
        <f t="shared" si="55"/>
        <v>0</v>
      </c>
      <c r="DZ29" s="184">
        <v>45076.006730000001</v>
      </c>
      <c r="EA29" s="184">
        <v>30481.626810000002</v>
      </c>
      <c r="EB29" s="184">
        <v>60910.295579999998</v>
      </c>
      <c r="EC29" s="184">
        <v>3386.34501</v>
      </c>
      <c r="ED29" s="184">
        <f t="shared" si="56"/>
        <v>15834.288849999997</v>
      </c>
      <c r="EE29" s="184">
        <f t="shared" si="57"/>
        <v>-27095.281800000001</v>
      </c>
      <c r="EF29" s="184">
        <v>15337.52015</v>
      </c>
      <c r="EG29" s="184">
        <v>15337.52015</v>
      </c>
      <c r="EH29" s="184">
        <v>24634.358250000001</v>
      </c>
      <c r="EI29" s="184">
        <v>0</v>
      </c>
      <c r="EJ29" s="184">
        <f t="shared" si="58"/>
        <v>9296.8381000000008</v>
      </c>
      <c r="EK29" s="184">
        <f t="shared" si="59"/>
        <v>-15337.52015</v>
      </c>
      <c r="EL29" s="184">
        <v>24529.316500000001</v>
      </c>
      <c r="EM29" s="184">
        <v>12653.978499999999</v>
      </c>
      <c r="EN29" s="184">
        <v>27172.27305</v>
      </c>
      <c r="EO29" s="184">
        <v>0</v>
      </c>
      <c r="EP29" s="184">
        <f t="shared" si="60"/>
        <v>2642.956549999999</v>
      </c>
      <c r="EQ29" s="184">
        <f t="shared" si="61"/>
        <v>-12653.978499999999</v>
      </c>
      <c r="ER29" s="184">
        <v>0</v>
      </c>
      <c r="ES29" s="184">
        <v>0</v>
      </c>
      <c r="ET29" s="184">
        <v>2.09721</v>
      </c>
      <c r="EU29" s="184">
        <v>0</v>
      </c>
      <c r="EV29" s="184">
        <f t="shared" si="62"/>
        <v>2.09721</v>
      </c>
      <c r="EW29" s="184">
        <f t="shared" si="63"/>
        <v>0</v>
      </c>
      <c r="EX29" s="184">
        <v>0</v>
      </c>
      <c r="EY29" s="184">
        <v>0</v>
      </c>
      <c r="EZ29" s="184">
        <v>0</v>
      </c>
      <c r="FA29" s="184">
        <v>0</v>
      </c>
      <c r="FB29" s="184">
        <f t="shared" si="64"/>
        <v>0</v>
      </c>
      <c r="FC29" s="184">
        <f t="shared" si="65"/>
        <v>0</v>
      </c>
      <c r="FD29" s="184">
        <v>0</v>
      </c>
      <c r="FE29" s="184">
        <v>0</v>
      </c>
      <c r="FF29" s="184">
        <f t="shared" si="66"/>
        <v>0</v>
      </c>
      <c r="FG29" s="184">
        <v>0</v>
      </c>
      <c r="FH29" s="184">
        <v>0</v>
      </c>
      <c r="FI29" s="184">
        <f t="shared" si="67"/>
        <v>0</v>
      </c>
      <c r="FJ29" s="184">
        <v>0</v>
      </c>
      <c r="FK29" s="184">
        <v>0</v>
      </c>
      <c r="FL29" s="184">
        <f t="shared" si="68"/>
        <v>0</v>
      </c>
      <c r="FM29" s="184">
        <v>0</v>
      </c>
      <c r="FN29" s="184">
        <v>0</v>
      </c>
      <c r="FO29" s="184">
        <f t="shared" si="69"/>
        <v>0</v>
      </c>
      <c r="FP29" s="184" t="e">
        <f t="shared" si="70"/>
        <v>#DIV/0!</v>
      </c>
    </row>
    <row r="30" spans="1:172" s="184" customFormat="1" x14ac:dyDescent="0.25">
      <c r="A30" s="182" t="s">
        <v>180</v>
      </c>
      <c r="B30" s="183">
        <v>958439.42749000003</v>
      </c>
      <c r="C30" s="183">
        <v>0</v>
      </c>
      <c r="D30" s="183">
        <v>0</v>
      </c>
      <c r="E30" s="183">
        <v>0</v>
      </c>
      <c r="F30" s="184">
        <f t="shared" si="19"/>
        <v>958439.42749000003</v>
      </c>
      <c r="G30" s="183">
        <v>470925.42011000001</v>
      </c>
      <c r="H30" s="183">
        <v>0</v>
      </c>
      <c r="I30" s="183">
        <v>0</v>
      </c>
      <c r="J30" s="183">
        <v>0</v>
      </c>
      <c r="K30" s="184">
        <f t="shared" si="20"/>
        <v>470925.42011000001</v>
      </c>
      <c r="L30" s="183">
        <v>0</v>
      </c>
      <c r="M30" s="183">
        <v>0</v>
      </c>
      <c r="N30" s="183">
        <v>0</v>
      </c>
      <c r="O30" s="184">
        <f t="shared" si="21"/>
        <v>0</v>
      </c>
      <c r="P30" s="183">
        <v>0</v>
      </c>
      <c r="Q30" s="183">
        <v>0</v>
      </c>
      <c r="R30" s="183">
        <v>0</v>
      </c>
      <c r="S30" s="184">
        <f t="shared" si="22"/>
        <v>0</v>
      </c>
      <c r="T30" s="183">
        <v>987606.95571999997</v>
      </c>
      <c r="U30" s="183">
        <v>0</v>
      </c>
      <c r="V30" s="183">
        <v>0</v>
      </c>
      <c r="W30" s="183">
        <v>0</v>
      </c>
      <c r="X30" s="184">
        <f t="shared" si="23"/>
        <v>987606.95571999997</v>
      </c>
      <c r="Y30" s="183">
        <v>493889.21013999998</v>
      </c>
      <c r="Z30" s="183">
        <v>0</v>
      </c>
      <c r="AA30" s="183">
        <v>0</v>
      </c>
      <c r="AB30" s="183">
        <v>0</v>
      </c>
      <c r="AC30" s="184">
        <f t="shared" si="24"/>
        <v>493889.21013999998</v>
      </c>
      <c r="AD30" s="184">
        <f t="shared" si="0"/>
        <v>958439.42749000003</v>
      </c>
      <c r="AE30" s="184">
        <f t="shared" si="1"/>
        <v>470925.42011000001</v>
      </c>
      <c r="AF30" s="184">
        <f t="shared" si="25"/>
        <v>49.134604295576466</v>
      </c>
      <c r="AG30" s="185">
        <v>958439</v>
      </c>
      <c r="AH30" s="185">
        <f t="shared" si="26"/>
        <v>-0.42749000003095716</v>
      </c>
      <c r="AI30" s="185">
        <v>470925</v>
      </c>
      <c r="AJ30" s="185">
        <f t="shared" si="27"/>
        <v>-0.42011000000638887</v>
      </c>
      <c r="AK30" s="184">
        <f t="shared" si="2"/>
        <v>987606.95571999997</v>
      </c>
      <c r="AL30" s="184">
        <f t="shared" si="3"/>
        <v>493889.21013999998</v>
      </c>
      <c r="AM30" s="184">
        <f t="shared" si="28"/>
        <v>50.008680809658479</v>
      </c>
      <c r="AN30" s="183">
        <v>595077.25072000001</v>
      </c>
      <c r="AO30" s="183">
        <v>0</v>
      </c>
      <c r="AP30" s="183">
        <v>0</v>
      </c>
      <c r="AQ30" s="183">
        <v>0</v>
      </c>
      <c r="AR30" s="407">
        <f t="shared" si="4"/>
        <v>0</v>
      </c>
      <c r="AS30" s="184">
        <f t="shared" si="29"/>
        <v>595077.25072000001</v>
      </c>
      <c r="AT30" s="183">
        <v>299712.88827</v>
      </c>
      <c r="AU30" s="183">
        <v>0</v>
      </c>
      <c r="AV30" s="183">
        <v>0</v>
      </c>
      <c r="AW30" s="183">
        <v>0</v>
      </c>
      <c r="AX30" s="186">
        <f t="shared" si="5"/>
        <v>0</v>
      </c>
      <c r="AY30" s="184">
        <f t="shared" si="30"/>
        <v>299712.88827</v>
      </c>
      <c r="AZ30" s="184">
        <f t="shared" si="6"/>
        <v>595077.25072000001</v>
      </c>
      <c r="BA30" s="184">
        <f t="shared" si="7"/>
        <v>299712.88827</v>
      </c>
      <c r="BB30" s="184">
        <f t="shared" si="31"/>
        <v>50.365374900043527</v>
      </c>
      <c r="BC30" s="183">
        <v>363365.6</v>
      </c>
      <c r="BD30" s="183">
        <v>0</v>
      </c>
      <c r="BE30" s="183">
        <v>0</v>
      </c>
      <c r="BF30" s="183">
        <v>0</v>
      </c>
      <c r="BG30" s="184">
        <f t="shared" si="32"/>
        <v>363365.6</v>
      </c>
      <c r="BH30" s="183">
        <v>171215.95507</v>
      </c>
      <c r="BI30" s="183">
        <v>0</v>
      </c>
      <c r="BJ30" s="183">
        <v>0</v>
      </c>
      <c r="BK30" s="183">
        <v>0</v>
      </c>
      <c r="BL30" s="184">
        <f t="shared" si="33"/>
        <v>171215.95507</v>
      </c>
      <c r="BM30" s="187">
        <v>21248</v>
      </c>
      <c r="BN30" s="184">
        <f t="shared" si="34"/>
        <v>21248</v>
      </c>
      <c r="BO30" s="187">
        <v>10628.94371</v>
      </c>
      <c r="BP30" s="184">
        <f t="shared" si="35"/>
        <v>10628.94371</v>
      </c>
      <c r="BQ30" s="184">
        <f t="shared" si="8"/>
        <v>50.023266707454816</v>
      </c>
      <c r="BR30" s="187">
        <v>520</v>
      </c>
      <c r="BS30" s="184">
        <f t="shared" si="36"/>
        <v>520</v>
      </c>
      <c r="BT30" s="327">
        <v>975.12194999999997</v>
      </c>
      <c r="BU30" s="184">
        <f t="shared" si="37"/>
        <v>975.12194999999997</v>
      </c>
      <c r="BV30" s="184">
        <f t="shared" si="9"/>
        <v>187.52345192307692</v>
      </c>
      <c r="BW30" s="187">
        <v>54339</v>
      </c>
      <c r="BX30" s="184">
        <f t="shared" si="38"/>
        <v>54339</v>
      </c>
      <c r="BY30" s="187">
        <v>14557.44397</v>
      </c>
      <c r="BZ30" s="184">
        <f t="shared" si="39"/>
        <v>14557.44397</v>
      </c>
      <c r="CA30" s="187">
        <v>20630.987089999999</v>
      </c>
      <c r="CB30" s="184">
        <f t="shared" si="40"/>
        <v>20630.987089999999</v>
      </c>
      <c r="CC30" s="184">
        <f t="shared" si="10"/>
        <v>37.967182115975632</v>
      </c>
      <c r="CD30" s="184">
        <f t="shared" si="41"/>
        <v>6073.5431199999985</v>
      </c>
      <c r="CE30" s="184">
        <f t="shared" si="42"/>
        <v>41.721219278029622</v>
      </c>
      <c r="CF30" s="187">
        <v>24612</v>
      </c>
      <c r="CG30" s="184">
        <f t="shared" si="43"/>
        <v>24612</v>
      </c>
      <c r="CH30" s="187">
        <v>9083.4629299999997</v>
      </c>
      <c r="CI30" s="184">
        <f t="shared" si="44"/>
        <v>9083.4629299999997</v>
      </c>
      <c r="CJ30" s="184">
        <f t="shared" si="11"/>
        <v>36.906642816512267</v>
      </c>
      <c r="CK30" s="184">
        <v>6886.4237499999999</v>
      </c>
      <c r="CL30" s="184">
        <v>0</v>
      </c>
      <c r="CM30" s="187">
        <v>235347.20000000001</v>
      </c>
      <c r="CN30" s="184">
        <f t="shared" si="45"/>
        <v>235.34720000000002</v>
      </c>
      <c r="CO30" s="187">
        <v>2655028.5099999998</v>
      </c>
      <c r="CP30" s="184">
        <f t="shared" si="46"/>
        <v>2655.0285099999996</v>
      </c>
      <c r="CQ30" s="184">
        <f t="shared" si="12"/>
        <v>-6651.0765499999998</v>
      </c>
      <c r="CR30" s="184">
        <f t="shared" si="13"/>
        <v>2655.0285099999996</v>
      </c>
      <c r="CS30" s="184">
        <f t="shared" si="14"/>
        <v>-29167.528229999938</v>
      </c>
      <c r="CT30" s="184">
        <f t="shared" si="15"/>
        <v>-22963.790029999975</v>
      </c>
      <c r="CU30" s="184">
        <v>107800</v>
      </c>
      <c r="CV30" s="188">
        <v>106800</v>
      </c>
      <c r="CW30" s="184">
        <f t="shared" si="47"/>
        <v>-1000</v>
      </c>
      <c r="CX30" s="183">
        <v>595073.82749000005</v>
      </c>
      <c r="CY30" s="183">
        <v>0</v>
      </c>
      <c r="CZ30" s="183">
        <v>0</v>
      </c>
      <c r="DA30" s="183">
        <v>0</v>
      </c>
      <c r="DB30" s="184">
        <f t="shared" si="48"/>
        <v>595073.82749000005</v>
      </c>
      <c r="DC30" s="183">
        <v>299709.46503999998</v>
      </c>
      <c r="DD30" s="183">
        <v>0</v>
      </c>
      <c r="DE30" s="183">
        <v>0</v>
      </c>
      <c r="DF30" s="183">
        <v>0</v>
      </c>
      <c r="DG30" s="184">
        <f t="shared" si="49"/>
        <v>299709.46503999998</v>
      </c>
      <c r="DH30" s="188">
        <f t="shared" si="16"/>
        <v>595073.82749000005</v>
      </c>
      <c r="DI30" s="188">
        <f t="shared" si="17"/>
        <v>299709.46503999998</v>
      </c>
      <c r="DJ30" s="184">
        <f t="shared" si="50"/>
        <v>50.365089371206878</v>
      </c>
      <c r="DK30" s="183">
        <v>247078</v>
      </c>
      <c r="DL30" s="184">
        <f t="shared" si="51"/>
        <v>247078</v>
      </c>
      <c r="DM30" s="183">
        <v>122057.84159</v>
      </c>
      <c r="DN30" s="184">
        <f t="shared" si="52"/>
        <v>122057.84159</v>
      </c>
      <c r="DO30" s="187">
        <v>0</v>
      </c>
      <c r="DP30" s="184">
        <f t="shared" si="53"/>
        <v>0</v>
      </c>
      <c r="DQ30" s="408">
        <v>0</v>
      </c>
      <c r="DR30" s="184">
        <v>0</v>
      </c>
      <c r="DS30" s="184">
        <f t="shared" si="18"/>
        <v>0</v>
      </c>
      <c r="DT30" s="184">
        <v>42713.163549999997</v>
      </c>
      <c r="DU30" s="184">
        <v>19132.06381</v>
      </c>
      <c r="DV30" s="184">
        <v>41902.615169999997</v>
      </c>
      <c r="DW30" s="184">
        <v>19132.06381</v>
      </c>
      <c r="DX30" s="184">
        <f t="shared" si="54"/>
        <v>-810.54838000000018</v>
      </c>
      <c r="DY30" s="184">
        <f t="shared" si="55"/>
        <v>0</v>
      </c>
      <c r="DZ30" s="184">
        <v>17858.494869999999</v>
      </c>
      <c r="EA30" s="184">
        <v>5827.98146</v>
      </c>
      <c r="EB30" s="184">
        <v>16547.207869999998</v>
      </c>
      <c r="EC30" s="184">
        <v>5514.5313800000004</v>
      </c>
      <c r="ED30" s="184">
        <f t="shared" si="56"/>
        <v>-1311.2870000000003</v>
      </c>
      <c r="EE30" s="184">
        <f t="shared" si="57"/>
        <v>-313.45007999999962</v>
      </c>
      <c r="EF30" s="184">
        <v>5803.4908500000001</v>
      </c>
      <c r="EG30" s="184">
        <v>5803.4908500000001</v>
      </c>
      <c r="EH30" s="184">
        <v>4001.4169200000001</v>
      </c>
      <c r="EI30" s="184">
        <v>4001.4169200000001</v>
      </c>
      <c r="EJ30" s="184">
        <f t="shared" si="58"/>
        <v>-1802.07393</v>
      </c>
      <c r="EK30" s="184">
        <f t="shared" si="59"/>
        <v>-1802.07393</v>
      </c>
      <c r="EL30" s="184">
        <v>476.85253999999998</v>
      </c>
      <c r="EM30" s="184">
        <v>0</v>
      </c>
      <c r="EN30" s="184">
        <v>363.52726999999999</v>
      </c>
      <c r="EO30" s="184">
        <v>0</v>
      </c>
      <c r="EP30" s="184">
        <f t="shared" si="60"/>
        <v>-113.32526999999999</v>
      </c>
      <c r="EQ30" s="184">
        <f t="shared" si="61"/>
        <v>0</v>
      </c>
      <c r="ER30" s="184">
        <v>401.17854</v>
      </c>
      <c r="ES30" s="184">
        <v>0</v>
      </c>
      <c r="ET30" s="184">
        <v>362.37308999999999</v>
      </c>
      <c r="EU30" s="184">
        <v>0</v>
      </c>
      <c r="EV30" s="184">
        <f t="shared" si="62"/>
        <v>-38.805450000000008</v>
      </c>
      <c r="EW30" s="184">
        <f t="shared" si="63"/>
        <v>0</v>
      </c>
      <c r="EX30" s="184">
        <v>20.38917</v>
      </c>
      <c r="EY30" s="184">
        <v>0</v>
      </c>
      <c r="EZ30" s="184">
        <v>15.516819999999999</v>
      </c>
      <c r="FA30" s="184">
        <v>0</v>
      </c>
      <c r="FB30" s="184">
        <f t="shared" si="64"/>
        <v>-4.8723500000000008</v>
      </c>
      <c r="FC30" s="184">
        <f t="shared" si="65"/>
        <v>0</v>
      </c>
      <c r="FD30" s="184">
        <v>0</v>
      </c>
      <c r="FE30" s="184">
        <v>0</v>
      </c>
      <c r="FF30" s="184">
        <f t="shared" si="66"/>
        <v>0</v>
      </c>
      <c r="FG30" s="184">
        <v>0</v>
      </c>
      <c r="FH30" s="184">
        <v>0</v>
      </c>
      <c r="FI30" s="184">
        <f t="shared" si="67"/>
        <v>0</v>
      </c>
      <c r="FJ30" s="184">
        <v>19066.880649999999</v>
      </c>
      <c r="FK30" s="184">
        <v>19066.880649999999</v>
      </c>
      <c r="FL30" s="184">
        <f t="shared" si="68"/>
        <v>0</v>
      </c>
      <c r="FM30" s="184">
        <v>0</v>
      </c>
      <c r="FN30" s="184">
        <v>0</v>
      </c>
      <c r="FO30" s="184">
        <f t="shared" si="69"/>
        <v>0</v>
      </c>
      <c r="FP30" s="184" t="e">
        <f t="shared" si="70"/>
        <v>#DIV/0!</v>
      </c>
    </row>
    <row r="31" spans="1:172" s="184" customFormat="1" x14ac:dyDescent="0.25">
      <c r="A31" s="182" t="s">
        <v>181</v>
      </c>
      <c r="B31" s="183">
        <v>992715.90558999998</v>
      </c>
      <c r="C31" s="183">
        <v>0</v>
      </c>
      <c r="D31" s="183">
        <v>0</v>
      </c>
      <c r="E31" s="183">
        <v>0</v>
      </c>
      <c r="F31" s="184">
        <f t="shared" si="19"/>
        <v>992715.90558999998</v>
      </c>
      <c r="G31" s="183">
        <v>531935.49323999998</v>
      </c>
      <c r="H31" s="183">
        <v>0</v>
      </c>
      <c r="I31" s="183">
        <v>0</v>
      </c>
      <c r="J31" s="183">
        <v>0</v>
      </c>
      <c r="K31" s="184">
        <f t="shared" si="20"/>
        <v>531935.49323999998</v>
      </c>
      <c r="L31" s="183">
        <v>0</v>
      </c>
      <c r="M31" s="183">
        <v>0</v>
      </c>
      <c r="N31" s="183">
        <v>0</v>
      </c>
      <c r="O31" s="184">
        <f t="shared" si="21"/>
        <v>0</v>
      </c>
      <c r="P31" s="183">
        <v>0</v>
      </c>
      <c r="Q31" s="183">
        <v>0</v>
      </c>
      <c r="R31" s="183">
        <v>0</v>
      </c>
      <c r="S31" s="184">
        <f t="shared" si="22"/>
        <v>0</v>
      </c>
      <c r="T31" s="183">
        <v>1037960.90474</v>
      </c>
      <c r="U31" s="183">
        <v>0</v>
      </c>
      <c r="V31" s="183">
        <v>0</v>
      </c>
      <c r="W31" s="183">
        <v>0</v>
      </c>
      <c r="X31" s="184">
        <f t="shared" si="23"/>
        <v>1037960.90474</v>
      </c>
      <c r="Y31" s="183">
        <v>520587.05186000001</v>
      </c>
      <c r="Z31" s="183">
        <v>0</v>
      </c>
      <c r="AA31" s="183">
        <v>0</v>
      </c>
      <c r="AB31" s="183">
        <v>0</v>
      </c>
      <c r="AC31" s="184">
        <f t="shared" si="24"/>
        <v>520587.05186000001</v>
      </c>
      <c r="AD31" s="184">
        <f t="shared" si="0"/>
        <v>992715.90558999998</v>
      </c>
      <c r="AE31" s="184">
        <f t="shared" si="1"/>
        <v>531935.49323999998</v>
      </c>
      <c r="AF31" s="184">
        <f t="shared" si="25"/>
        <v>53.583859213362281</v>
      </c>
      <c r="AG31" s="185">
        <v>992716</v>
      </c>
      <c r="AH31" s="185">
        <f t="shared" si="26"/>
        <v>9.4410000019706786E-2</v>
      </c>
      <c r="AI31" s="185">
        <v>531935</v>
      </c>
      <c r="AJ31" s="185">
        <f t="shared" si="27"/>
        <v>-0.49323999998159707</v>
      </c>
      <c r="AK31" s="184">
        <f t="shared" si="2"/>
        <v>1037960.90474</v>
      </c>
      <c r="AL31" s="184">
        <f t="shared" si="3"/>
        <v>520587.05186000001</v>
      </c>
      <c r="AM31" s="184">
        <f t="shared" si="28"/>
        <v>50.15478420070189</v>
      </c>
      <c r="AN31" s="183">
        <v>571118.82337</v>
      </c>
      <c r="AO31" s="183">
        <v>0</v>
      </c>
      <c r="AP31" s="183">
        <v>0</v>
      </c>
      <c r="AQ31" s="183">
        <v>0</v>
      </c>
      <c r="AR31" s="407">
        <f t="shared" si="4"/>
        <v>0</v>
      </c>
      <c r="AS31" s="184">
        <f t="shared" si="29"/>
        <v>571118.82337</v>
      </c>
      <c r="AT31" s="183">
        <v>311531.21385</v>
      </c>
      <c r="AU31" s="183">
        <v>0</v>
      </c>
      <c r="AV31" s="183">
        <v>0</v>
      </c>
      <c r="AW31" s="183">
        <v>0</v>
      </c>
      <c r="AX31" s="186">
        <f t="shared" si="5"/>
        <v>0</v>
      </c>
      <c r="AY31" s="184">
        <f t="shared" si="30"/>
        <v>311531.21385</v>
      </c>
      <c r="AZ31" s="184">
        <f t="shared" si="6"/>
        <v>571118.82337</v>
      </c>
      <c r="BA31" s="184">
        <f t="shared" si="7"/>
        <v>311531.21385</v>
      </c>
      <c r="BB31" s="184">
        <f t="shared" si="31"/>
        <v>54.547530409127162</v>
      </c>
      <c r="BC31" s="183">
        <v>420823.89834000001</v>
      </c>
      <c r="BD31" s="183">
        <v>0</v>
      </c>
      <c r="BE31" s="183">
        <v>0</v>
      </c>
      <c r="BF31" s="183">
        <v>0</v>
      </c>
      <c r="BG31" s="184">
        <f t="shared" si="32"/>
        <v>420823.89834000001</v>
      </c>
      <c r="BH31" s="183">
        <v>219639.09551000001</v>
      </c>
      <c r="BI31" s="183">
        <v>0</v>
      </c>
      <c r="BJ31" s="183">
        <v>0</v>
      </c>
      <c r="BK31" s="183">
        <v>0</v>
      </c>
      <c r="BL31" s="184">
        <f t="shared" si="33"/>
        <v>219639.09551000001</v>
      </c>
      <c r="BM31" s="187">
        <v>25674</v>
      </c>
      <c r="BN31" s="184">
        <f t="shared" si="34"/>
        <v>25674</v>
      </c>
      <c r="BO31" s="187">
        <v>14057.71233</v>
      </c>
      <c r="BP31" s="184">
        <f t="shared" si="35"/>
        <v>14057.71233</v>
      </c>
      <c r="BQ31" s="184">
        <f t="shared" si="8"/>
        <v>54.754663589623746</v>
      </c>
      <c r="BR31" s="187">
        <v>20078.679</v>
      </c>
      <c r="BS31" s="184">
        <f t="shared" si="36"/>
        <v>20078.679</v>
      </c>
      <c r="BT31" s="327">
        <v>19663.340049999999</v>
      </c>
      <c r="BU31" s="184">
        <f t="shared" si="37"/>
        <v>19663.340049999999</v>
      </c>
      <c r="BV31" s="184">
        <f t="shared" si="9"/>
        <v>97.931442850398668</v>
      </c>
      <c r="BW31" s="187">
        <v>51483.390800000001</v>
      </c>
      <c r="BX31" s="184">
        <f t="shared" si="38"/>
        <v>51483.390800000001</v>
      </c>
      <c r="BY31" s="187">
        <v>12921.851189999999</v>
      </c>
      <c r="BZ31" s="184">
        <f t="shared" si="39"/>
        <v>12921.851189999999</v>
      </c>
      <c r="CA31" s="187">
        <v>16178.12399</v>
      </c>
      <c r="CB31" s="184">
        <f t="shared" si="40"/>
        <v>16178.12399</v>
      </c>
      <c r="CC31" s="184">
        <f t="shared" si="10"/>
        <v>31.423967494386556</v>
      </c>
      <c r="CD31" s="184">
        <f t="shared" si="41"/>
        <v>3256.2728000000006</v>
      </c>
      <c r="CE31" s="184">
        <f t="shared" si="42"/>
        <v>25.19973920238283</v>
      </c>
      <c r="CF31" s="187">
        <v>20438.713199999998</v>
      </c>
      <c r="CG31" s="184">
        <f t="shared" si="43"/>
        <v>20438.713199999998</v>
      </c>
      <c r="CH31" s="187">
        <v>9293.6999799999994</v>
      </c>
      <c r="CI31" s="184">
        <f t="shared" si="44"/>
        <v>9293.6999799999994</v>
      </c>
      <c r="CJ31" s="184">
        <f t="shared" si="11"/>
        <v>45.471062141035375</v>
      </c>
      <c r="CK31" s="184">
        <v>9832.9821499999998</v>
      </c>
      <c r="CL31" s="184">
        <v>406.13578000000001</v>
      </c>
      <c r="CM31" s="187">
        <v>98364181.680000007</v>
      </c>
      <c r="CN31" s="184">
        <f t="shared" si="45"/>
        <v>98364.181680000009</v>
      </c>
      <c r="CO31" s="187">
        <v>167344.73000000001</v>
      </c>
      <c r="CP31" s="184">
        <f t="shared" si="46"/>
        <v>167.34473</v>
      </c>
      <c r="CQ31" s="184">
        <f t="shared" si="12"/>
        <v>88531.199530000013</v>
      </c>
      <c r="CR31" s="184">
        <f t="shared" si="13"/>
        <v>-238.79105000000001</v>
      </c>
      <c r="CS31" s="184">
        <f t="shared" si="14"/>
        <v>-45244.999150000047</v>
      </c>
      <c r="CT31" s="184">
        <f t="shared" si="15"/>
        <v>11348.441379999975</v>
      </c>
      <c r="CU31" s="184">
        <v>240947.424</v>
      </c>
      <c r="CV31" s="188">
        <v>270947.424</v>
      </c>
      <c r="CW31" s="184">
        <f t="shared" si="47"/>
        <v>30000</v>
      </c>
      <c r="CX31" s="183">
        <v>571892.00725000002</v>
      </c>
      <c r="CY31" s="183">
        <v>0</v>
      </c>
      <c r="CZ31" s="183">
        <v>0</v>
      </c>
      <c r="DA31" s="183">
        <v>0</v>
      </c>
      <c r="DB31" s="184">
        <f t="shared" si="48"/>
        <v>571892.00725000002</v>
      </c>
      <c r="DC31" s="183">
        <v>312296.39773000003</v>
      </c>
      <c r="DD31" s="183">
        <v>0</v>
      </c>
      <c r="DE31" s="183">
        <v>0</v>
      </c>
      <c r="DF31" s="183">
        <v>0</v>
      </c>
      <c r="DG31" s="184">
        <f t="shared" si="49"/>
        <v>312296.39773000003</v>
      </c>
      <c r="DH31" s="188">
        <f t="shared" si="16"/>
        <v>571892.00725000002</v>
      </c>
      <c r="DI31" s="188">
        <f t="shared" si="17"/>
        <v>312296.39773000003</v>
      </c>
      <c r="DJ31" s="184">
        <f t="shared" si="50"/>
        <v>54.607582160783906</v>
      </c>
      <c r="DK31" s="183">
        <v>283675</v>
      </c>
      <c r="DL31" s="184">
        <f t="shared" si="51"/>
        <v>283675</v>
      </c>
      <c r="DM31" s="183">
        <v>152654.44631999999</v>
      </c>
      <c r="DN31" s="184">
        <f t="shared" si="52"/>
        <v>152654.44631999999</v>
      </c>
      <c r="DO31" s="187">
        <v>18011.09</v>
      </c>
      <c r="DP31" s="184">
        <f t="shared" si="53"/>
        <v>18.011089999999999</v>
      </c>
      <c r="DQ31" s="408">
        <v>4</v>
      </c>
      <c r="DR31" s="184">
        <v>20.04</v>
      </c>
      <c r="DS31" s="184">
        <f t="shared" si="18"/>
        <v>2.0289099999999998</v>
      </c>
      <c r="DT31" s="184">
        <v>22394.991300000002</v>
      </c>
      <c r="DU31" s="184">
        <v>0</v>
      </c>
      <c r="DV31" s="184">
        <v>21738.59174</v>
      </c>
      <c r="DW31" s="184">
        <v>0</v>
      </c>
      <c r="DX31" s="184">
        <f t="shared" si="54"/>
        <v>-656.39956000000166</v>
      </c>
      <c r="DY31" s="184">
        <f t="shared" si="55"/>
        <v>0</v>
      </c>
      <c r="DZ31" s="184">
        <v>18389.024829999998</v>
      </c>
      <c r="EA31" s="184">
        <v>0</v>
      </c>
      <c r="EB31" s="184">
        <v>14640.071669999999</v>
      </c>
      <c r="EC31" s="184">
        <v>2911.4576200000001</v>
      </c>
      <c r="ED31" s="184">
        <f t="shared" si="56"/>
        <v>-3748.9531599999991</v>
      </c>
      <c r="EE31" s="184">
        <f t="shared" si="57"/>
        <v>2911.4576200000001</v>
      </c>
      <c r="EF31" s="184">
        <v>4461.8171499999999</v>
      </c>
      <c r="EG31" s="184">
        <v>0</v>
      </c>
      <c r="EH31" s="184">
        <v>2856.4532100000001</v>
      </c>
      <c r="EI31" s="184">
        <v>2856.4532100000001</v>
      </c>
      <c r="EJ31" s="184">
        <f t="shared" si="58"/>
        <v>-1605.3639399999997</v>
      </c>
      <c r="EK31" s="184">
        <f t="shared" si="59"/>
        <v>2856.4532100000001</v>
      </c>
      <c r="EL31" s="184">
        <v>4221.3476000000001</v>
      </c>
      <c r="EM31" s="184">
        <v>0</v>
      </c>
      <c r="EN31" s="184">
        <v>3888.2780200000002</v>
      </c>
      <c r="EO31" s="184">
        <v>0</v>
      </c>
      <c r="EP31" s="184">
        <f t="shared" si="60"/>
        <v>-333.06957999999986</v>
      </c>
      <c r="EQ31" s="184">
        <f t="shared" si="61"/>
        <v>0</v>
      </c>
      <c r="ER31" s="184">
        <v>0</v>
      </c>
      <c r="ES31" s="184">
        <v>0</v>
      </c>
      <c r="ET31" s="184">
        <v>0</v>
      </c>
      <c r="EU31" s="184">
        <v>0</v>
      </c>
      <c r="EV31" s="184">
        <f t="shared" si="62"/>
        <v>0</v>
      </c>
      <c r="EW31" s="184">
        <f t="shared" si="63"/>
        <v>0</v>
      </c>
      <c r="EX31" s="184">
        <v>610.07928000000004</v>
      </c>
      <c r="EY31" s="184">
        <v>0</v>
      </c>
      <c r="EZ31" s="184">
        <v>883.99998000000005</v>
      </c>
      <c r="FA31" s="184">
        <v>0</v>
      </c>
      <c r="FB31" s="184">
        <f t="shared" si="64"/>
        <v>273.92070000000001</v>
      </c>
      <c r="FC31" s="184">
        <f t="shared" si="65"/>
        <v>0</v>
      </c>
      <c r="FD31" s="184">
        <v>0</v>
      </c>
      <c r="FE31" s="184">
        <v>0</v>
      </c>
      <c r="FF31" s="184">
        <f t="shared" si="66"/>
        <v>0</v>
      </c>
      <c r="FG31" s="184">
        <v>0</v>
      </c>
      <c r="FH31" s="184">
        <v>0</v>
      </c>
      <c r="FI31" s="184">
        <f t="shared" si="67"/>
        <v>0</v>
      </c>
      <c r="FJ31" s="184">
        <v>0</v>
      </c>
      <c r="FK31" s="184">
        <v>0</v>
      </c>
      <c r="FL31" s="184">
        <f t="shared" si="68"/>
        <v>0</v>
      </c>
      <c r="FM31" s="184">
        <v>0</v>
      </c>
      <c r="FN31" s="184">
        <v>0</v>
      </c>
      <c r="FO31" s="184">
        <f t="shared" si="69"/>
        <v>0</v>
      </c>
      <c r="FP31" s="184" t="e">
        <f t="shared" si="70"/>
        <v>#DIV/0!</v>
      </c>
    </row>
    <row r="32" spans="1:172" s="184" customFormat="1" x14ac:dyDescent="0.25">
      <c r="A32" s="182" t="s">
        <v>182</v>
      </c>
      <c r="B32" s="183">
        <v>1146581.70102</v>
      </c>
      <c r="C32" s="183">
        <v>0</v>
      </c>
      <c r="D32" s="183">
        <v>0</v>
      </c>
      <c r="E32" s="183">
        <v>0</v>
      </c>
      <c r="F32" s="184">
        <f t="shared" si="19"/>
        <v>1146581.70102</v>
      </c>
      <c r="G32" s="183">
        <v>544520.86419999995</v>
      </c>
      <c r="H32" s="183">
        <v>0</v>
      </c>
      <c r="I32" s="183">
        <v>0</v>
      </c>
      <c r="J32" s="183">
        <v>0</v>
      </c>
      <c r="K32" s="184">
        <f t="shared" si="20"/>
        <v>544520.86419999995</v>
      </c>
      <c r="L32" s="183">
        <v>0</v>
      </c>
      <c r="M32" s="183">
        <v>0</v>
      </c>
      <c r="N32" s="183">
        <v>0</v>
      </c>
      <c r="O32" s="184">
        <f t="shared" si="21"/>
        <v>0</v>
      </c>
      <c r="P32" s="183">
        <v>0</v>
      </c>
      <c r="Q32" s="183">
        <v>0</v>
      </c>
      <c r="R32" s="183">
        <v>0</v>
      </c>
      <c r="S32" s="184">
        <f t="shared" si="22"/>
        <v>0</v>
      </c>
      <c r="T32" s="183">
        <v>1180507.8679</v>
      </c>
      <c r="U32" s="183">
        <v>0</v>
      </c>
      <c r="V32" s="183">
        <v>0</v>
      </c>
      <c r="W32" s="183">
        <v>0</v>
      </c>
      <c r="X32" s="184">
        <f t="shared" si="23"/>
        <v>1180507.8679</v>
      </c>
      <c r="Y32" s="183">
        <v>533560.86367999995</v>
      </c>
      <c r="Z32" s="183">
        <v>0</v>
      </c>
      <c r="AA32" s="183">
        <v>0</v>
      </c>
      <c r="AB32" s="183">
        <v>0</v>
      </c>
      <c r="AC32" s="184">
        <f t="shared" si="24"/>
        <v>533560.86367999995</v>
      </c>
      <c r="AD32" s="184">
        <f t="shared" si="0"/>
        <v>1146581.70102</v>
      </c>
      <c r="AE32" s="184">
        <f t="shared" si="1"/>
        <v>544520.86419999995</v>
      </c>
      <c r="AF32" s="184">
        <f t="shared" si="25"/>
        <v>47.490803639687755</v>
      </c>
      <c r="AG32" s="185">
        <v>1146582</v>
      </c>
      <c r="AH32" s="185">
        <f t="shared" si="26"/>
        <v>0.29897999996319413</v>
      </c>
      <c r="AI32" s="185">
        <v>544521</v>
      </c>
      <c r="AJ32" s="185">
        <f t="shared" si="27"/>
        <v>0.13580000004731119</v>
      </c>
      <c r="AK32" s="184">
        <f t="shared" si="2"/>
        <v>1180507.8679</v>
      </c>
      <c r="AL32" s="184">
        <f t="shared" si="3"/>
        <v>533560.86367999995</v>
      </c>
      <c r="AM32" s="184">
        <f t="shared" si="28"/>
        <v>45.197569468905691</v>
      </c>
      <c r="AN32" s="183">
        <v>610433.46132</v>
      </c>
      <c r="AO32" s="183">
        <v>0</v>
      </c>
      <c r="AP32" s="183">
        <v>0</v>
      </c>
      <c r="AQ32" s="183">
        <v>0</v>
      </c>
      <c r="AR32" s="407">
        <f t="shared" si="4"/>
        <v>0</v>
      </c>
      <c r="AS32" s="184">
        <f t="shared" si="29"/>
        <v>610433.46132</v>
      </c>
      <c r="AT32" s="183">
        <v>292722.74287999998</v>
      </c>
      <c r="AU32" s="183">
        <v>0</v>
      </c>
      <c r="AV32" s="183">
        <v>0</v>
      </c>
      <c r="AW32" s="183">
        <v>0</v>
      </c>
      <c r="AX32" s="186">
        <f t="shared" si="5"/>
        <v>0</v>
      </c>
      <c r="AY32" s="184">
        <f t="shared" si="30"/>
        <v>292722.74287999998</v>
      </c>
      <c r="AZ32" s="184">
        <f t="shared" si="6"/>
        <v>610433.46132</v>
      </c>
      <c r="BA32" s="184">
        <f t="shared" si="7"/>
        <v>292722.74287999998</v>
      </c>
      <c r="BB32" s="184">
        <f t="shared" si="31"/>
        <v>47.95325967993579</v>
      </c>
      <c r="BC32" s="183">
        <v>536922</v>
      </c>
      <c r="BD32" s="183">
        <v>0</v>
      </c>
      <c r="BE32" s="183">
        <v>0</v>
      </c>
      <c r="BF32" s="183">
        <v>0</v>
      </c>
      <c r="BG32" s="184">
        <f t="shared" si="32"/>
        <v>536922</v>
      </c>
      <c r="BH32" s="183">
        <v>252571.88162</v>
      </c>
      <c r="BI32" s="183">
        <v>0</v>
      </c>
      <c r="BJ32" s="183">
        <v>0</v>
      </c>
      <c r="BK32" s="183">
        <v>0</v>
      </c>
      <c r="BL32" s="184">
        <f t="shared" si="33"/>
        <v>252571.88162</v>
      </c>
      <c r="BM32" s="187">
        <v>16143</v>
      </c>
      <c r="BN32" s="184">
        <f t="shared" si="34"/>
        <v>16143</v>
      </c>
      <c r="BO32" s="187">
        <v>8732.0392200000006</v>
      </c>
      <c r="BP32" s="184">
        <f t="shared" si="35"/>
        <v>8732.0392200000006</v>
      </c>
      <c r="BQ32" s="184">
        <f t="shared" si="8"/>
        <v>54.091799665489688</v>
      </c>
      <c r="BR32" s="187">
        <v>15855</v>
      </c>
      <c r="BS32" s="184">
        <f t="shared" si="36"/>
        <v>15855</v>
      </c>
      <c r="BT32" s="327">
        <v>26614.024069999999</v>
      </c>
      <c r="BU32" s="184">
        <f t="shared" si="37"/>
        <v>26614.024069999999</v>
      </c>
      <c r="BV32" s="184">
        <f t="shared" si="9"/>
        <v>167.8588714601072</v>
      </c>
      <c r="BW32" s="187">
        <v>16963</v>
      </c>
      <c r="BX32" s="184">
        <f t="shared" si="38"/>
        <v>16963</v>
      </c>
      <c r="BY32" s="187">
        <v>8213.002410000001</v>
      </c>
      <c r="BZ32" s="184">
        <f t="shared" si="39"/>
        <v>8213.002410000001</v>
      </c>
      <c r="CA32" s="187">
        <v>8087.3383599999997</v>
      </c>
      <c r="CB32" s="184">
        <f t="shared" si="40"/>
        <v>8087.3383599999997</v>
      </c>
      <c r="CC32" s="184">
        <f t="shared" si="10"/>
        <v>47.67634475033897</v>
      </c>
      <c r="CD32" s="184">
        <f t="shared" si="41"/>
        <v>-125.66405000000123</v>
      </c>
      <c r="CE32" s="184">
        <f t="shared" si="42"/>
        <v>-1.5300622564897282</v>
      </c>
      <c r="CF32" s="187">
        <v>62801</v>
      </c>
      <c r="CG32" s="184">
        <f t="shared" si="43"/>
        <v>62801</v>
      </c>
      <c r="CH32" s="187">
        <v>21357.73646</v>
      </c>
      <c r="CI32" s="184">
        <f t="shared" si="44"/>
        <v>21357.73646</v>
      </c>
      <c r="CJ32" s="184">
        <f t="shared" si="11"/>
        <v>34.008592952341523</v>
      </c>
      <c r="CK32" s="184">
        <v>34376.59115</v>
      </c>
      <c r="CL32" s="184">
        <v>303.41659999999996</v>
      </c>
      <c r="CM32" s="187">
        <v>45336591.670000002</v>
      </c>
      <c r="CN32" s="184">
        <f t="shared" si="45"/>
        <v>45336.591670000002</v>
      </c>
      <c r="CO32" s="187">
        <v>203843.65</v>
      </c>
      <c r="CP32" s="184">
        <f t="shared" si="46"/>
        <v>203.84365</v>
      </c>
      <c r="CQ32" s="184">
        <f t="shared" si="12"/>
        <v>10960.000520000001</v>
      </c>
      <c r="CR32" s="184">
        <f t="shared" si="13"/>
        <v>-99.572949999999963</v>
      </c>
      <c r="CS32" s="184">
        <f t="shared" si="14"/>
        <v>-33926.166879999917</v>
      </c>
      <c r="CT32" s="184">
        <f t="shared" si="15"/>
        <v>10960.000520000001</v>
      </c>
      <c r="CU32" s="184">
        <v>0</v>
      </c>
      <c r="CV32" s="188"/>
      <c r="CW32" s="184">
        <f t="shared" si="47"/>
        <v>0</v>
      </c>
      <c r="CX32" s="183">
        <v>609659.70102000004</v>
      </c>
      <c r="CY32" s="183">
        <v>0</v>
      </c>
      <c r="CZ32" s="183">
        <v>0</v>
      </c>
      <c r="DA32" s="183">
        <v>0</v>
      </c>
      <c r="DB32" s="184">
        <f t="shared" si="48"/>
        <v>609659.70102000004</v>
      </c>
      <c r="DC32" s="183">
        <v>291948.98258000001</v>
      </c>
      <c r="DD32" s="183">
        <v>0</v>
      </c>
      <c r="DE32" s="183">
        <v>0</v>
      </c>
      <c r="DF32" s="183">
        <v>0</v>
      </c>
      <c r="DG32" s="184">
        <f t="shared" si="49"/>
        <v>291948.98258000001</v>
      </c>
      <c r="DH32" s="188">
        <f t="shared" si="16"/>
        <v>609659.70102000004</v>
      </c>
      <c r="DI32" s="188">
        <f t="shared" si="17"/>
        <v>291948.98258000001</v>
      </c>
      <c r="DJ32" s="184">
        <f t="shared" si="50"/>
        <v>47.887203646813219</v>
      </c>
      <c r="DK32" s="183">
        <v>367471</v>
      </c>
      <c r="DL32" s="184">
        <f t="shared" si="51"/>
        <v>367471</v>
      </c>
      <c r="DM32" s="183">
        <v>162976.49538000001</v>
      </c>
      <c r="DN32" s="184">
        <f t="shared" si="52"/>
        <v>162976.49538000001</v>
      </c>
      <c r="DO32" s="187">
        <v>0</v>
      </c>
      <c r="DP32" s="184">
        <f t="shared" si="53"/>
        <v>0</v>
      </c>
      <c r="DQ32" s="408">
        <v>0</v>
      </c>
      <c r="DR32" s="184">
        <v>0</v>
      </c>
      <c r="DS32" s="184">
        <f t="shared" si="18"/>
        <v>0</v>
      </c>
      <c r="DT32" s="184">
        <v>71500.924169999998</v>
      </c>
      <c r="DU32" s="184">
        <v>29419.466639999999</v>
      </c>
      <c r="DV32" s="184">
        <v>50125.374470000002</v>
      </c>
      <c r="DW32" s="184">
        <v>22800.64561</v>
      </c>
      <c r="DX32" s="184">
        <f t="shared" si="54"/>
        <v>-21375.549699999996</v>
      </c>
      <c r="DY32" s="184">
        <f t="shared" si="55"/>
        <v>-6618.8210299999992</v>
      </c>
      <c r="DZ32" s="184">
        <v>384447.83676999999</v>
      </c>
      <c r="EA32" s="184">
        <v>52878.190900000001</v>
      </c>
      <c r="EB32" s="184">
        <v>83071.789189999996</v>
      </c>
      <c r="EC32" s="184">
        <v>51419.226629999997</v>
      </c>
      <c r="ED32" s="184">
        <f t="shared" si="56"/>
        <v>-301376.04758000001</v>
      </c>
      <c r="EE32" s="184">
        <f t="shared" si="57"/>
        <v>-1458.964270000004</v>
      </c>
      <c r="EF32" s="184">
        <v>1779.9848999999999</v>
      </c>
      <c r="EG32" s="184">
        <v>1779.9848999999999</v>
      </c>
      <c r="EH32" s="184">
        <v>914.79254000000003</v>
      </c>
      <c r="EI32" s="184">
        <v>0</v>
      </c>
      <c r="EJ32" s="184">
        <f t="shared" si="58"/>
        <v>-865.19235999999989</v>
      </c>
      <c r="EK32" s="184">
        <f t="shared" si="59"/>
        <v>-1779.9848999999999</v>
      </c>
      <c r="EL32" s="184">
        <v>20150.966530000002</v>
      </c>
      <c r="EM32" s="184">
        <v>0</v>
      </c>
      <c r="EN32" s="184">
        <v>17344.609759999999</v>
      </c>
      <c r="EO32" s="184">
        <v>0</v>
      </c>
      <c r="EP32" s="184">
        <f t="shared" si="60"/>
        <v>-2806.3567700000021</v>
      </c>
      <c r="EQ32" s="184">
        <f t="shared" si="61"/>
        <v>0</v>
      </c>
      <c r="ER32" s="184">
        <v>0.33761999999999998</v>
      </c>
      <c r="ES32" s="184">
        <v>0</v>
      </c>
      <c r="ET32" s="184">
        <v>0</v>
      </c>
      <c r="EU32" s="184">
        <v>0</v>
      </c>
      <c r="EV32" s="184">
        <f t="shared" si="62"/>
        <v>-0.33761999999999998</v>
      </c>
      <c r="EW32" s="184">
        <f t="shared" si="63"/>
        <v>0</v>
      </c>
      <c r="EX32" s="184">
        <v>227.14169999999999</v>
      </c>
      <c r="EY32" s="184">
        <v>0</v>
      </c>
      <c r="EZ32" s="184">
        <v>517.35211000000004</v>
      </c>
      <c r="FA32" s="184">
        <v>0</v>
      </c>
      <c r="FB32" s="184">
        <f t="shared" si="64"/>
        <v>290.21041000000002</v>
      </c>
      <c r="FC32" s="184">
        <f t="shared" si="65"/>
        <v>0</v>
      </c>
      <c r="FD32" s="184">
        <v>7925.20129</v>
      </c>
      <c r="FE32" s="184">
        <v>3838.2266500000001</v>
      </c>
      <c r="FF32" s="184">
        <f t="shared" si="66"/>
        <v>-4086.9746399999999</v>
      </c>
      <c r="FG32" s="184">
        <v>18914.22035</v>
      </c>
      <c r="FH32" s="416">
        <v>14371.58935</v>
      </c>
      <c r="FI32" s="184">
        <f t="shared" si="67"/>
        <v>-4542.6309999999994</v>
      </c>
      <c r="FJ32" s="184">
        <v>0</v>
      </c>
      <c r="FK32" s="184">
        <v>0</v>
      </c>
      <c r="FL32" s="184">
        <f t="shared" si="68"/>
        <v>0</v>
      </c>
      <c r="FM32" s="184">
        <v>66.52</v>
      </c>
      <c r="FN32" s="184">
        <v>0</v>
      </c>
      <c r="FO32" s="184">
        <f t="shared" si="69"/>
        <v>-66.52</v>
      </c>
      <c r="FP32" s="184">
        <f t="shared" si="70"/>
        <v>-100</v>
      </c>
    </row>
    <row r="33" spans="1:172" s="184" customFormat="1" x14ac:dyDescent="0.25">
      <c r="A33" s="182" t="s">
        <v>183</v>
      </c>
      <c r="B33" s="183">
        <v>115665.42448</v>
      </c>
      <c r="C33" s="183">
        <v>0</v>
      </c>
      <c r="D33" s="183">
        <v>0</v>
      </c>
      <c r="E33" s="183">
        <v>0</v>
      </c>
      <c r="F33" s="184">
        <f t="shared" si="19"/>
        <v>115665.42448</v>
      </c>
      <c r="G33" s="183">
        <v>45039.836040000002</v>
      </c>
      <c r="H33" s="183">
        <v>0</v>
      </c>
      <c r="I33" s="183">
        <v>0</v>
      </c>
      <c r="J33" s="183">
        <v>0</v>
      </c>
      <c r="K33" s="184">
        <f t="shared" si="20"/>
        <v>45039.836040000002</v>
      </c>
      <c r="L33" s="183">
        <v>0</v>
      </c>
      <c r="M33" s="183">
        <v>0</v>
      </c>
      <c r="N33" s="183">
        <v>0</v>
      </c>
      <c r="O33" s="184">
        <f t="shared" si="21"/>
        <v>0</v>
      </c>
      <c r="P33" s="183">
        <v>0</v>
      </c>
      <c r="Q33" s="183">
        <v>0</v>
      </c>
      <c r="R33" s="183">
        <v>0</v>
      </c>
      <c r="S33" s="184">
        <f t="shared" si="22"/>
        <v>0</v>
      </c>
      <c r="T33" s="183">
        <v>123472.56301</v>
      </c>
      <c r="U33" s="183">
        <v>0</v>
      </c>
      <c r="V33" s="183">
        <v>0</v>
      </c>
      <c r="W33" s="183">
        <v>0</v>
      </c>
      <c r="X33" s="184">
        <f t="shared" si="23"/>
        <v>123472.56301</v>
      </c>
      <c r="Y33" s="183">
        <v>59863.367570000002</v>
      </c>
      <c r="Z33" s="183">
        <v>0</v>
      </c>
      <c r="AA33" s="183">
        <v>0</v>
      </c>
      <c r="AB33" s="183">
        <v>0</v>
      </c>
      <c r="AC33" s="184">
        <f t="shared" si="24"/>
        <v>59863.367570000002</v>
      </c>
      <c r="AD33" s="184">
        <f t="shared" si="0"/>
        <v>115665.42448</v>
      </c>
      <c r="AE33" s="184">
        <f t="shared" si="1"/>
        <v>45039.836040000002</v>
      </c>
      <c r="AF33" s="184">
        <f t="shared" si="25"/>
        <v>38.939757704159859</v>
      </c>
      <c r="AG33" s="185">
        <v>115665</v>
      </c>
      <c r="AH33" s="185">
        <f t="shared" si="26"/>
        <v>-0.42448000000149477</v>
      </c>
      <c r="AI33" s="185">
        <v>45040</v>
      </c>
      <c r="AJ33" s="185">
        <f t="shared" si="27"/>
        <v>0.16395999999804189</v>
      </c>
      <c r="AK33" s="184">
        <f t="shared" si="2"/>
        <v>123472.56301</v>
      </c>
      <c r="AL33" s="184">
        <f t="shared" si="3"/>
        <v>59863.367570000002</v>
      </c>
      <c r="AM33" s="184">
        <f t="shared" si="28"/>
        <v>48.483133508090937</v>
      </c>
      <c r="AN33" s="183">
        <v>8500.2999999999993</v>
      </c>
      <c r="AO33" s="183"/>
      <c r="AP33" s="183"/>
      <c r="AQ33" s="183"/>
      <c r="AR33" s="407">
        <f t="shared" si="4"/>
        <v>0</v>
      </c>
      <c r="AS33" s="184">
        <f t="shared" si="29"/>
        <v>8500.2999999999993</v>
      </c>
      <c r="AT33" s="183">
        <v>3913.6904</v>
      </c>
      <c r="AU33" s="183">
        <v>0</v>
      </c>
      <c r="AV33" s="183">
        <v>0</v>
      </c>
      <c r="AW33" s="183">
        <v>0</v>
      </c>
      <c r="AX33" s="186">
        <f t="shared" si="5"/>
        <v>0</v>
      </c>
      <c r="AY33" s="184">
        <f t="shared" si="30"/>
        <v>3913.6904</v>
      </c>
      <c r="AZ33" s="184">
        <f t="shared" si="6"/>
        <v>8500.2999999999993</v>
      </c>
      <c r="BA33" s="184">
        <f t="shared" si="7"/>
        <v>3913.6904</v>
      </c>
      <c r="BB33" s="184">
        <f t="shared" si="31"/>
        <v>46.041791466183554</v>
      </c>
      <c r="BC33" s="183">
        <v>107165.12448</v>
      </c>
      <c r="BD33" s="183">
        <v>0</v>
      </c>
      <c r="BE33" s="183">
        <v>0</v>
      </c>
      <c r="BF33" s="183">
        <v>0</v>
      </c>
      <c r="BG33" s="184">
        <f t="shared" si="32"/>
        <v>107165.12448</v>
      </c>
      <c r="BH33" s="183">
        <v>41126.145640000002</v>
      </c>
      <c r="BI33" s="183">
        <v>0</v>
      </c>
      <c r="BJ33" s="183">
        <v>0</v>
      </c>
      <c r="BK33" s="183">
        <v>0</v>
      </c>
      <c r="BL33" s="184">
        <f t="shared" si="33"/>
        <v>41126.145640000002</v>
      </c>
      <c r="BM33" s="187">
        <v>41</v>
      </c>
      <c r="BN33" s="184">
        <f t="shared" si="34"/>
        <v>41</v>
      </c>
      <c r="BO33" s="187">
        <v>18.536000000000001</v>
      </c>
      <c r="BP33" s="184">
        <f t="shared" si="35"/>
        <v>18.536000000000001</v>
      </c>
      <c r="BQ33" s="184">
        <f t="shared" si="8"/>
        <v>45.209756097560984</v>
      </c>
      <c r="BR33" s="187">
        <v>0</v>
      </c>
      <c r="BS33" s="184">
        <f t="shared" si="36"/>
        <v>0</v>
      </c>
      <c r="BT33" s="327">
        <v>0</v>
      </c>
      <c r="BU33" s="184">
        <f t="shared" si="37"/>
        <v>0</v>
      </c>
      <c r="BW33" s="187">
        <v>86.7</v>
      </c>
      <c r="BX33" s="184">
        <f t="shared" si="38"/>
        <v>86.7</v>
      </c>
      <c r="BY33" s="187">
        <v>86.700999999999993</v>
      </c>
      <c r="BZ33" s="184">
        <f t="shared" si="39"/>
        <v>86.700999999999993</v>
      </c>
      <c r="CA33" s="187">
        <v>86.7</v>
      </c>
      <c r="CB33" s="184">
        <f t="shared" si="40"/>
        <v>86.7</v>
      </c>
      <c r="CC33" s="184">
        <f t="shared" si="10"/>
        <v>100</v>
      </c>
      <c r="CD33" s="184">
        <f t="shared" si="41"/>
        <v>-9.9999999999056399E-4</v>
      </c>
      <c r="CE33" s="184">
        <f t="shared" si="42"/>
        <v>-1.1533892342612262E-3</v>
      </c>
      <c r="CF33" s="187">
        <v>236.42447999999999</v>
      </c>
      <c r="CG33" s="184">
        <f t="shared" si="43"/>
        <v>236.42447999999999</v>
      </c>
      <c r="CH33" s="187">
        <v>236.42447999999999</v>
      </c>
      <c r="CI33" s="184">
        <f t="shared" si="44"/>
        <v>236.42447999999999</v>
      </c>
      <c r="CK33" s="184">
        <v>24086.85327</v>
      </c>
      <c r="CL33" s="184">
        <v>1.54373</v>
      </c>
      <c r="CM33" s="187">
        <v>9263321.7400000002</v>
      </c>
      <c r="CN33" s="184">
        <f t="shared" si="45"/>
        <v>9263.3217399999994</v>
      </c>
      <c r="CO33" s="187">
        <v>0</v>
      </c>
      <c r="CP33" s="184">
        <f t="shared" si="46"/>
        <v>0</v>
      </c>
      <c r="CQ33" s="184">
        <f t="shared" si="12"/>
        <v>-14823.53153</v>
      </c>
      <c r="CR33" s="184">
        <f t="shared" si="13"/>
        <v>-1.54373</v>
      </c>
      <c r="CS33" s="184">
        <f t="shared" si="14"/>
        <v>-7807.1385299999965</v>
      </c>
      <c r="CT33" s="184">
        <f t="shared" si="15"/>
        <v>-14823.53153</v>
      </c>
      <c r="CU33" s="184">
        <v>0</v>
      </c>
      <c r="CV33" s="188"/>
      <c r="CW33" s="184">
        <f t="shared" si="47"/>
        <v>0</v>
      </c>
      <c r="CX33" s="183">
        <v>8500.2999999999993</v>
      </c>
      <c r="CY33" s="183">
        <v>0</v>
      </c>
      <c r="CZ33" s="183">
        <v>0</v>
      </c>
      <c r="DA33" s="183">
        <v>0</v>
      </c>
      <c r="DB33" s="184">
        <f t="shared" si="48"/>
        <v>8500.2999999999993</v>
      </c>
      <c r="DC33" s="183">
        <v>3913.6904</v>
      </c>
      <c r="DD33" s="183">
        <v>0</v>
      </c>
      <c r="DE33" s="183">
        <v>0</v>
      </c>
      <c r="DF33" s="183">
        <v>0</v>
      </c>
      <c r="DG33" s="184">
        <f t="shared" si="49"/>
        <v>3913.6904</v>
      </c>
      <c r="DH33" s="188">
        <f t="shared" si="16"/>
        <v>8500.2999999999993</v>
      </c>
      <c r="DI33" s="188">
        <f t="shared" si="17"/>
        <v>3913.6904</v>
      </c>
      <c r="DJ33" s="184">
        <f t="shared" si="50"/>
        <v>46.041791466183554</v>
      </c>
      <c r="DK33" s="183">
        <v>106516</v>
      </c>
      <c r="DL33" s="184">
        <f t="shared" si="51"/>
        <v>106516</v>
      </c>
      <c r="DM33" s="183">
        <v>40772.959000000003</v>
      </c>
      <c r="DN33" s="184">
        <f t="shared" si="52"/>
        <v>40772.959000000003</v>
      </c>
      <c r="DO33" s="187">
        <v>0</v>
      </c>
      <c r="DP33" s="184">
        <f t="shared" si="53"/>
        <v>0</v>
      </c>
      <c r="DQ33" s="408">
        <v>0</v>
      </c>
      <c r="DR33" s="184">
        <v>0</v>
      </c>
      <c r="DS33" s="184">
        <f t="shared" si="18"/>
        <v>0</v>
      </c>
      <c r="DT33" s="184">
        <v>129.00431</v>
      </c>
      <c r="DU33" s="184">
        <v>0</v>
      </c>
      <c r="DV33" s="184">
        <v>92.862480000000005</v>
      </c>
      <c r="DW33" s="184">
        <v>0</v>
      </c>
      <c r="DX33" s="184">
        <f t="shared" si="54"/>
        <v>-36.141829999999999</v>
      </c>
      <c r="DY33" s="184">
        <f t="shared" si="55"/>
        <v>0</v>
      </c>
      <c r="DZ33" s="184">
        <v>6669.5854099999997</v>
      </c>
      <c r="EA33" s="184">
        <v>0</v>
      </c>
      <c r="EB33" s="184">
        <v>7381.52592</v>
      </c>
      <c r="EC33" s="184">
        <v>0</v>
      </c>
      <c r="ED33" s="184">
        <f t="shared" si="56"/>
        <v>711.94051000000036</v>
      </c>
      <c r="EE33" s="184">
        <f t="shared" si="57"/>
        <v>0</v>
      </c>
      <c r="EF33" s="184">
        <v>0</v>
      </c>
      <c r="EG33" s="184">
        <v>0</v>
      </c>
      <c r="EH33" s="184">
        <v>0</v>
      </c>
      <c r="EI33" s="184">
        <v>0</v>
      </c>
      <c r="EJ33" s="184">
        <f t="shared" si="58"/>
        <v>0</v>
      </c>
      <c r="EK33" s="184">
        <f t="shared" si="59"/>
        <v>0</v>
      </c>
      <c r="EL33" s="184">
        <v>0</v>
      </c>
      <c r="EM33" s="184">
        <v>0</v>
      </c>
      <c r="EN33" s="184">
        <v>0</v>
      </c>
      <c r="EO33" s="184">
        <v>0</v>
      </c>
      <c r="EP33" s="184">
        <f t="shared" si="60"/>
        <v>0</v>
      </c>
      <c r="EQ33" s="184">
        <f t="shared" si="61"/>
        <v>0</v>
      </c>
      <c r="ER33" s="184">
        <v>0</v>
      </c>
      <c r="ES33" s="184">
        <v>0</v>
      </c>
      <c r="ET33" s="184">
        <v>0</v>
      </c>
      <c r="EU33" s="184">
        <v>0</v>
      </c>
      <c r="EV33" s="184">
        <f t="shared" si="62"/>
        <v>0</v>
      </c>
      <c r="EW33" s="184">
        <f t="shared" si="63"/>
        <v>0</v>
      </c>
      <c r="EX33" s="184">
        <v>0</v>
      </c>
      <c r="EY33" s="184">
        <v>0</v>
      </c>
      <c r="EZ33" s="184">
        <v>0</v>
      </c>
      <c r="FA33" s="184">
        <v>0</v>
      </c>
      <c r="FB33" s="184">
        <f t="shared" si="64"/>
        <v>0</v>
      </c>
      <c r="FC33" s="184">
        <f t="shared" si="65"/>
        <v>0</v>
      </c>
      <c r="FD33" s="184">
        <v>0</v>
      </c>
      <c r="FE33" s="184">
        <v>0</v>
      </c>
      <c r="FF33" s="184">
        <f t="shared" si="66"/>
        <v>0</v>
      </c>
      <c r="FG33" s="184">
        <v>0</v>
      </c>
      <c r="FH33" s="184">
        <v>0</v>
      </c>
      <c r="FI33" s="184">
        <f t="shared" si="67"/>
        <v>0</v>
      </c>
      <c r="FJ33" s="184">
        <v>0</v>
      </c>
      <c r="FK33" s="184">
        <v>0</v>
      </c>
      <c r="FL33" s="184">
        <f t="shared" si="68"/>
        <v>0</v>
      </c>
      <c r="FM33" s="184">
        <v>0</v>
      </c>
      <c r="FN33" s="184">
        <v>0</v>
      </c>
      <c r="FO33" s="184">
        <f t="shared" si="69"/>
        <v>0</v>
      </c>
      <c r="FP33" s="184" t="e">
        <f t="shared" si="70"/>
        <v>#DIV/0!</v>
      </c>
    </row>
    <row r="34" spans="1:172" s="177" customFormat="1" x14ac:dyDescent="0.25">
      <c r="A34" s="179" t="s">
        <v>184</v>
      </c>
      <c r="B34" s="180">
        <v>20760100.102000002</v>
      </c>
      <c r="C34" s="180">
        <v>0</v>
      </c>
      <c r="D34" s="180">
        <v>0</v>
      </c>
      <c r="E34" s="180">
        <v>0</v>
      </c>
      <c r="F34" s="180">
        <f>SUM(F8:F33)</f>
        <v>37383735.851539999</v>
      </c>
      <c r="G34" s="180"/>
      <c r="H34" s="180"/>
      <c r="I34" s="180"/>
      <c r="J34" s="180"/>
      <c r="K34" s="180">
        <f>SUM(K8:K33)</f>
        <v>18240230.515359998</v>
      </c>
      <c r="L34" s="180">
        <f t="shared" ref="L34:N34" si="71">SUM(L8:L33)</f>
        <v>1191167.2804799997</v>
      </c>
      <c r="M34" s="180">
        <f t="shared" si="71"/>
        <v>48975.547999999995</v>
      </c>
      <c r="N34" s="180">
        <f t="shared" si="71"/>
        <v>44687.915999999997</v>
      </c>
      <c r="O34" s="180">
        <f>SUM(O8:O33)</f>
        <v>1284830.7444799999</v>
      </c>
      <c r="P34" s="180">
        <f t="shared" ref="P34:R34" si="72">SUM(P8:P33)</f>
        <v>413177.10219000001</v>
      </c>
      <c r="Q34" s="180">
        <f t="shared" si="72"/>
        <v>24326.43376</v>
      </c>
      <c r="R34" s="180">
        <f t="shared" si="72"/>
        <v>21281.40005</v>
      </c>
      <c r="S34" s="180">
        <f>SUM(S8:S33)</f>
        <v>458784.93600000005</v>
      </c>
      <c r="T34" s="175"/>
      <c r="U34" s="175"/>
      <c r="V34" s="175"/>
      <c r="W34" s="175"/>
      <c r="X34" s="180">
        <f>SUM(X8:X33)</f>
        <v>38696320.241929993</v>
      </c>
      <c r="Y34" s="175"/>
      <c r="Z34" s="175"/>
      <c r="AA34" s="175"/>
      <c r="AB34" s="175"/>
      <c r="AC34" s="180">
        <f>SUM(AC8:AC33)</f>
        <v>18646693.640550006</v>
      </c>
      <c r="AD34" s="180">
        <f>SUM(AD8:AD33)</f>
        <v>36098905.10706</v>
      </c>
      <c r="AE34" s="180">
        <f>SUM(AE8:AE33)</f>
        <v>17781445.579360001</v>
      </c>
      <c r="AF34" s="180">
        <f t="shared" si="25"/>
        <v>49.257575892190751</v>
      </c>
      <c r="AG34" s="230">
        <f>SUM(AG8:AG33)</f>
        <v>36100362</v>
      </c>
      <c r="AH34" s="230">
        <f t="shared" ref="AH34:AJ34" si="73">SUM(AH8:AH33)</f>
        <v>1456.8929400007328</v>
      </c>
      <c r="AI34" s="230">
        <f>SUM(AI8:AI33)</f>
        <v>17781860</v>
      </c>
      <c r="AJ34" s="230">
        <f t="shared" si="73"/>
        <v>414.42063999966922</v>
      </c>
      <c r="AK34" s="180">
        <f>SUM(AK8:AK33)</f>
        <v>37411489.497449994</v>
      </c>
      <c r="AL34" s="180">
        <f>SUM(AL8:AL33)</f>
        <v>18187908.704550002</v>
      </c>
      <c r="AM34" s="180">
        <f t="shared" si="28"/>
        <v>48.615836869552354</v>
      </c>
      <c r="AN34" s="175"/>
      <c r="AO34" s="175"/>
      <c r="AP34" s="175"/>
      <c r="AQ34" s="175"/>
      <c r="AR34" s="177">
        <f>SUM(AR8:AR33)</f>
        <v>1343.8580599999987</v>
      </c>
      <c r="AS34" s="180">
        <f>SUM(AS8:AS33)</f>
        <v>23635781.454990003</v>
      </c>
      <c r="AT34" s="180"/>
      <c r="AU34" s="180"/>
      <c r="AV34" s="180"/>
      <c r="AW34" s="180"/>
      <c r="AX34" s="175">
        <f>SUM(AX8:AX33)</f>
        <v>339.200000000008</v>
      </c>
      <c r="AY34" s="180">
        <f>SUM(AY8:AY33)</f>
        <v>11737262.314240001</v>
      </c>
      <c r="AZ34" s="180">
        <f>SUM(AZ8:AZ33)</f>
        <v>22350950.710510004</v>
      </c>
      <c r="BA34" s="180">
        <f>SUM(BA8:BA33)</f>
        <v>11278477.378240002</v>
      </c>
      <c r="BB34" s="180">
        <f t="shared" si="31"/>
        <v>50.460839560334968</v>
      </c>
      <c r="BC34" s="175"/>
      <c r="BD34" s="175"/>
      <c r="BE34" s="175"/>
      <c r="BF34" s="175"/>
      <c r="BG34" s="180">
        <f>SUM(BG8:BG33)</f>
        <v>13830392.6417</v>
      </c>
      <c r="BH34" s="175"/>
      <c r="BI34" s="175"/>
      <c r="BJ34" s="175"/>
      <c r="BK34" s="175"/>
      <c r="BL34" s="180">
        <f>SUM(BL8:BL33)</f>
        <v>6584179.0451100003</v>
      </c>
      <c r="BM34" s="180">
        <f t="shared" ref="BM34:BO34" si="74">SUM(BM8:BM33)</f>
        <v>1095852.57363</v>
      </c>
      <c r="BN34" s="180">
        <f>SUM(BN8:BN33)</f>
        <v>1095852.57363</v>
      </c>
      <c r="BO34" s="180">
        <f t="shared" si="74"/>
        <v>566859.95747000002</v>
      </c>
      <c r="BP34" s="180">
        <f>SUM(BP8:BP33)</f>
        <v>566859.95747000002</v>
      </c>
      <c r="BQ34" s="180">
        <f>BP34/BN34%</f>
        <v>51.72775710078249</v>
      </c>
      <c r="BR34" s="180">
        <f t="shared" ref="BR34:BT34" si="75">SUM(BR8:BR33)</f>
        <v>480878.27009000001</v>
      </c>
      <c r="BS34" s="180">
        <f>SUM(BS8:BS33)</f>
        <v>480878.27009000001</v>
      </c>
      <c r="BT34" s="180">
        <f t="shared" si="75"/>
        <v>349010.74201999995</v>
      </c>
      <c r="BU34" s="180">
        <f>SUM(BU8:BU33)</f>
        <v>349010.74201999995</v>
      </c>
      <c r="BV34" s="180">
        <f>BU34/BS34%</f>
        <v>72.577773571403</v>
      </c>
      <c r="BW34" s="180">
        <f t="shared" ref="BW34" si="76">SUM(BW8:BW33)</f>
        <v>961532.2694300001</v>
      </c>
      <c r="BX34" s="180">
        <f>SUM(BX8:BX33)</f>
        <v>961532.2694300001</v>
      </c>
      <c r="BY34" s="180">
        <f t="shared" ref="BY34:BZ34" si="77">SUM(BY8:BY33)</f>
        <v>270636.81481000001</v>
      </c>
      <c r="BZ34" s="180">
        <f t="shared" si="77"/>
        <v>270636.81481000001</v>
      </c>
      <c r="CA34" s="180">
        <f t="shared" ref="CA34" si="78">SUM(CA8:CA33)</f>
        <v>349167.18788000004</v>
      </c>
      <c r="CB34" s="180">
        <f>SUM(CB8:CB33)</f>
        <v>349167.18788000004</v>
      </c>
      <c r="CC34" s="180">
        <f>CB34/BX34%</f>
        <v>36.313621391717582</v>
      </c>
      <c r="CD34" s="180">
        <f t="shared" ref="CD34:CF34" si="79">SUM(CD8:CD33)</f>
        <v>78530.373069999987</v>
      </c>
      <c r="CE34" s="184">
        <f t="shared" si="42"/>
        <v>29.016884907225972</v>
      </c>
      <c r="CF34" s="180">
        <f t="shared" si="79"/>
        <v>1123767.8262900002</v>
      </c>
      <c r="CG34" s="180">
        <f>SUM(CG8:CG33)</f>
        <v>1123767.8262900002</v>
      </c>
      <c r="CH34" s="180">
        <f t="shared" ref="CH34" si="80">SUM(CH8:CH33)</f>
        <v>527160.7276499999</v>
      </c>
      <c r="CI34" s="180">
        <f>SUM(CI8:CI33)</f>
        <v>527160.7276499999</v>
      </c>
      <c r="CJ34" s="180">
        <f>CI34/CG34%</f>
        <v>46.910110373097694</v>
      </c>
      <c r="CK34" s="180">
        <f t="shared" ref="CK34:DI34" si="81">SUM(CK8:CK33)</f>
        <v>784194.19890999992</v>
      </c>
      <c r="CL34" s="180">
        <f t="shared" si="81"/>
        <v>136128.48452000003</v>
      </c>
      <c r="CM34" s="180"/>
      <c r="CN34" s="180">
        <f t="shared" si="81"/>
        <v>1520027.4818099998</v>
      </c>
      <c r="CO34" s="180">
        <f t="shared" si="81"/>
        <v>49464991.189999983</v>
      </c>
      <c r="CP34" s="180">
        <f t="shared" si="81"/>
        <v>49464.991190000001</v>
      </c>
      <c r="CQ34" s="180">
        <f t="shared" si="81"/>
        <v>735833.28289999999</v>
      </c>
      <c r="CR34" s="180">
        <f t="shared" si="81"/>
        <v>-86663.493330000027</v>
      </c>
      <c r="CS34" s="180">
        <f>SUM(CS8:CS33)</f>
        <v>-1312584.3903900012</v>
      </c>
      <c r="CT34" s="180">
        <f>SUM(CT8:CT33)</f>
        <v>-406463.12518999993</v>
      </c>
      <c r="CU34" s="180">
        <f t="shared" ref="CU34:CV34" si="82">SUM(CU8:CU33)</f>
        <v>4139851.0890000002</v>
      </c>
      <c r="CV34" s="180">
        <f t="shared" si="82"/>
        <v>4149475.889</v>
      </c>
      <c r="CW34" s="180">
        <f t="shared" si="81"/>
        <v>9624.8000000000029</v>
      </c>
      <c r="CX34" s="180"/>
      <c r="CY34" s="180"/>
      <c r="CZ34" s="180"/>
      <c r="DA34" s="180"/>
      <c r="DB34" s="180">
        <f t="shared" si="81"/>
        <v>23553343.209839996</v>
      </c>
      <c r="DC34" s="180"/>
      <c r="DD34" s="180"/>
      <c r="DE34" s="180"/>
      <c r="DF34" s="180"/>
      <c r="DG34" s="180">
        <f t="shared" si="81"/>
        <v>11656051.470250003</v>
      </c>
      <c r="DH34" s="180">
        <f t="shared" si="81"/>
        <v>22268512.465359997</v>
      </c>
      <c r="DI34" s="180">
        <f t="shared" si="81"/>
        <v>11197266.534250002</v>
      </c>
      <c r="DJ34" s="180">
        <f t="shared" si="50"/>
        <v>50.28295694051419</v>
      </c>
      <c r="DK34" s="180"/>
      <c r="DL34" s="180">
        <f t="shared" ref="DL34:DN34" si="83">SUM(DL8:DL33)</f>
        <v>9068233.2474799994</v>
      </c>
      <c r="DM34" s="175"/>
      <c r="DN34" s="180">
        <f t="shared" si="83"/>
        <v>4332431.9079799997</v>
      </c>
      <c r="DO34" s="180"/>
      <c r="DP34" s="180">
        <f t="shared" ref="DP34" si="84">SUM(DP8:DP33)</f>
        <v>67068.568199999994</v>
      </c>
      <c r="DQ34" s="180">
        <f t="shared" ref="DQ34:DS34" si="85">SUM(DQ8:DQ33)</f>
        <v>118186.47362999999</v>
      </c>
      <c r="DR34" s="180">
        <f t="shared" si="85"/>
        <v>78920.725860000006</v>
      </c>
      <c r="DS34" s="180">
        <f t="shared" si="85"/>
        <v>11852.157660000008</v>
      </c>
      <c r="DT34" s="180">
        <f t="shared" ref="DT34:FH34" si="86">SUM(DT8:DT33)</f>
        <v>1466445.5303999998</v>
      </c>
      <c r="DU34" s="180">
        <f t="shared" si="86"/>
        <v>264996.85389999999</v>
      </c>
      <c r="DV34" s="180">
        <f t="shared" si="86"/>
        <v>2693447.8630300001</v>
      </c>
      <c r="DW34" s="180">
        <f t="shared" si="86"/>
        <v>304217.62117999996</v>
      </c>
      <c r="DX34" s="180">
        <f t="shared" si="86"/>
        <v>1227002.3326299996</v>
      </c>
      <c r="DY34" s="180">
        <f t="shared" si="86"/>
        <v>39220.767280000007</v>
      </c>
      <c r="DZ34" s="180">
        <f t="shared" si="86"/>
        <v>2700820.1580099999</v>
      </c>
      <c r="EA34" s="180">
        <f t="shared" si="86"/>
        <v>963415.18112000008</v>
      </c>
      <c r="EB34" s="180">
        <f t="shared" si="86"/>
        <v>2396334.2923099999</v>
      </c>
      <c r="EC34" s="180">
        <f t="shared" si="86"/>
        <v>827653.43035000016</v>
      </c>
      <c r="ED34" s="180">
        <f t="shared" si="86"/>
        <v>-304485.86570000008</v>
      </c>
      <c r="EE34" s="180">
        <f t="shared" si="86"/>
        <v>-135761.75076999993</v>
      </c>
      <c r="EF34" s="180">
        <f t="shared" si="86"/>
        <v>350544.84454000002</v>
      </c>
      <c r="EG34" s="180">
        <f t="shared" si="86"/>
        <v>317917.93536999996</v>
      </c>
      <c r="EH34" s="180">
        <f t="shared" si="86"/>
        <v>291231.15889999998</v>
      </c>
      <c r="EI34" s="180">
        <f t="shared" si="86"/>
        <v>251459.98553000001</v>
      </c>
      <c r="EJ34" s="180">
        <f t="shared" si="86"/>
        <v>-59313.685640000018</v>
      </c>
      <c r="EK34" s="180">
        <f t="shared" si="86"/>
        <v>-66457.949840000001</v>
      </c>
      <c r="EL34" s="180">
        <f t="shared" si="86"/>
        <v>845345.93171999999</v>
      </c>
      <c r="EM34" s="180">
        <f t="shared" si="86"/>
        <v>390073.23203000001</v>
      </c>
      <c r="EN34" s="180">
        <f t="shared" si="86"/>
        <v>822987.29454999999</v>
      </c>
      <c r="EO34" s="180">
        <f t="shared" si="86"/>
        <v>362230.66892999999</v>
      </c>
      <c r="EP34" s="180">
        <f t="shared" si="86"/>
        <v>-22358.63717000002</v>
      </c>
      <c r="EQ34" s="180">
        <f t="shared" si="86"/>
        <v>-27842.56310000001</v>
      </c>
      <c r="ER34" s="180">
        <f t="shared" si="86"/>
        <v>174962.04988999999</v>
      </c>
      <c r="ES34" s="180">
        <f t="shared" si="86"/>
        <v>37724.58193</v>
      </c>
      <c r="ET34" s="180">
        <f t="shared" si="86"/>
        <v>187491.56866000002</v>
      </c>
      <c r="EU34" s="180">
        <f t="shared" ref="EU34" si="87">SUM(EU8:EU33)</f>
        <v>27370.59806</v>
      </c>
      <c r="EV34" s="180">
        <f t="shared" si="86"/>
        <v>12529.518769999997</v>
      </c>
      <c r="EW34" s="180">
        <f t="shared" si="86"/>
        <v>-10353.98387</v>
      </c>
      <c r="EX34" s="180">
        <f t="shared" si="86"/>
        <v>474986.10861</v>
      </c>
      <c r="EY34" s="180">
        <f t="shared" si="86"/>
        <v>4858.9705899999999</v>
      </c>
      <c r="EZ34" s="180">
        <f t="shared" si="86"/>
        <v>438963.98230999999</v>
      </c>
      <c r="FA34" s="180">
        <f t="shared" si="86"/>
        <v>3476.4139400000004</v>
      </c>
      <c r="FB34" s="180">
        <f t="shared" si="86"/>
        <v>-36022.12630000004</v>
      </c>
      <c r="FC34" s="180">
        <f t="shared" si="86"/>
        <v>-1382.5566499999998</v>
      </c>
      <c r="FD34" s="180">
        <f t="shared" si="86"/>
        <v>85927.617140000017</v>
      </c>
      <c r="FE34" s="180">
        <f t="shared" si="86"/>
        <v>91354.400299999994</v>
      </c>
      <c r="FF34" s="180">
        <f t="shared" si="86"/>
        <v>5426.7831599999936</v>
      </c>
      <c r="FG34" s="180">
        <f t="shared" si="86"/>
        <v>38282.539199999999</v>
      </c>
      <c r="FH34" s="180">
        <f t="shared" si="86"/>
        <v>51118.66113</v>
      </c>
      <c r="FI34" s="180">
        <f t="shared" ref="FI34:FP34" si="88">SUM(FI8:FI33)</f>
        <v>12836.121930000003</v>
      </c>
      <c r="FJ34" s="180">
        <f t="shared" si="88"/>
        <v>22204.87095</v>
      </c>
      <c r="FK34" s="180">
        <f t="shared" si="88"/>
        <v>19098.29422</v>
      </c>
      <c r="FL34" s="180">
        <f t="shared" si="88"/>
        <v>-3106.5767300000002</v>
      </c>
      <c r="FM34" s="180">
        <f t="shared" si="88"/>
        <v>82344.920830000003</v>
      </c>
      <c r="FN34" s="180">
        <f t="shared" si="88"/>
        <v>89408.943210000012</v>
      </c>
      <c r="FO34" s="180">
        <f t="shared" si="88"/>
        <v>7064.0223799999985</v>
      </c>
      <c r="FP34" s="180" t="e">
        <f t="shared" si="88"/>
        <v>#DIV/0!</v>
      </c>
    </row>
    <row r="35" spans="1:172" x14ac:dyDescent="0.25">
      <c r="A35" s="181"/>
      <c r="B35" s="177"/>
      <c r="C35" s="177"/>
      <c r="D35" s="177"/>
      <c r="E35" s="177"/>
      <c r="F35" s="176"/>
      <c r="G35" s="177"/>
      <c r="H35" s="177"/>
      <c r="I35" s="177"/>
      <c r="J35" s="177"/>
      <c r="K35" s="176"/>
      <c r="L35" s="177"/>
      <c r="M35" s="177"/>
      <c r="N35" s="177"/>
      <c r="O35" s="176">
        <f>'1_Конс.'!E132/1000</f>
        <v>1284830.7444800001</v>
      </c>
      <c r="P35" s="177"/>
      <c r="Q35" s="177"/>
      <c r="R35" s="177"/>
      <c r="S35" s="176">
        <f>'1_Конс.'!L132/1000</f>
        <v>458784.93599999999</v>
      </c>
      <c r="T35" s="177"/>
      <c r="U35" s="177"/>
      <c r="V35" s="177"/>
      <c r="W35" s="177"/>
      <c r="X35" s="176"/>
      <c r="Y35" s="177"/>
      <c r="Z35" s="177"/>
      <c r="AA35" s="177"/>
      <c r="AB35" s="177"/>
      <c r="AC35" s="176"/>
      <c r="AD35" s="176">
        <f>'1_Конс.'!R38*1000</f>
        <v>36098905.107059993</v>
      </c>
      <c r="AE35" s="176">
        <f>'1_Конс.'!X38*1000</f>
        <v>17781445.579360001</v>
      </c>
      <c r="AF35" s="176">
        <f t="shared" si="25"/>
        <v>49.257575892190758</v>
      </c>
      <c r="AG35" s="176"/>
      <c r="AH35" s="406">
        <f>'1_Конс.'!R45*1000</f>
        <v>1343.8580600000023</v>
      </c>
      <c r="AI35" s="176"/>
      <c r="AJ35" s="406">
        <f>'1_Конс.'!X45*1000</f>
        <v>339.19999999994843</v>
      </c>
      <c r="AK35" s="176">
        <f>'1_Конс.'!R130*1000</f>
        <v>37411489.497450002</v>
      </c>
      <c r="AL35" s="176">
        <f>'1_Конс.'!X130*1000</f>
        <v>18187908.704549998</v>
      </c>
      <c r="AM35" s="176">
        <f t="shared" si="28"/>
        <v>48.615836869552339</v>
      </c>
      <c r="AN35" s="177"/>
      <c r="AO35" s="177"/>
      <c r="AP35" s="177"/>
      <c r="AQ35" s="177"/>
      <c r="AR35" s="176"/>
      <c r="AS35" s="176">
        <f>('1_Конс.'!S31+'1_Конс.'!T31+'1_Конс.'!U31)*1000</f>
        <v>23635781.45499</v>
      </c>
      <c r="AT35" s="177"/>
      <c r="AU35" s="177"/>
      <c r="AV35" s="177"/>
      <c r="AW35" s="177"/>
      <c r="AX35" s="176"/>
      <c r="AY35" s="176">
        <f>('1_Конс.'!Y31+'1_Конс.'!Z31+'1_Конс.'!AA31)*1000</f>
        <v>11737262.314240001</v>
      </c>
      <c r="AZ35" s="176">
        <f>'1_Конс.'!R31*1000</f>
        <v>22350950.710509997</v>
      </c>
      <c r="BA35" s="176">
        <f>'1_Конс.'!X31*1000</f>
        <v>11278477.378239999</v>
      </c>
      <c r="BB35" s="176">
        <f t="shared" si="31"/>
        <v>50.460839560334968</v>
      </c>
      <c r="BC35" s="177"/>
      <c r="BD35" s="177"/>
      <c r="BE35" s="177"/>
      <c r="BF35" s="177"/>
      <c r="BG35" s="176">
        <f>'1_Конс.'!R11*1000</f>
        <v>13830392.6417</v>
      </c>
      <c r="BH35" s="177"/>
      <c r="BI35" s="177"/>
      <c r="BJ35" s="177"/>
      <c r="BK35" s="177"/>
      <c r="BL35" s="176">
        <f>'1_Конс.'!X11*1000</f>
        <v>6584179.0451100003</v>
      </c>
      <c r="BM35" s="177"/>
      <c r="BN35" s="176">
        <f>'1_Конс.'!R15*1000</f>
        <v>1095852.57363</v>
      </c>
      <c r="BO35" s="177"/>
      <c r="BP35" s="176">
        <f>'1_Конс.'!X15*1000</f>
        <v>566859.95747000002</v>
      </c>
      <c r="BQ35" s="176">
        <f>BP35/BN35%</f>
        <v>51.72775710078249</v>
      </c>
      <c r="BR35" s="177"/>
      <c r="BS35" s="176">
        <f>'1_Конс.'!R23*1000</f>
        <v>480878.27009000006</v>
      </c>
      <c r="BT35" s="177"/>
      <c r="BU35" s="176">
        <f>'1_Конс.'!X23*1000</f>
        <v>349010.74202000001</v>
      </c>
      <c r="BV35" s="176">
        <f>BU35/BS35%</f>
        <v>72.577773571403</v>
      </c>
      <c r="BW35" s="176"/>
      <c r="BX35" s="176">
        <f>'1_Конс.'!R16*1000</f>
        <v>961532.26942999999</v>
      </c>
      <c r="BY35" s="177"/>
      <c r="BZ35" s="176"/>
      <c r="CA35" s="176"/>
      <c r="CB35" s="176">
        <f>'1_Конс.'!X16*1000</f>
        <v>349167.18787999998</v>
      </c>
      <c r="CC35" s="176">
        <f>CB35/BX35%</f>
        <v>36.313621391717582</v>
      </c>
      <c r="CD35" s="176"/>
      <c r="CE35" s="176"/>
      <c r="CF35" s="176"/>
      <c r="CG35" s="176">
        <f>'1_Конс.'!R20*1000</f>
        <v>1123767.82629</v>
      </c>
      <c r="CH35" s="176"/>
      <c r="CI35" s="176">
        <f>'1_Конс.'!X20*1000</f>
        <v>527160.72765000002</v>
      </c>
      <c r="CJ35" s="176">
        <f>CI35/CG35%</f>
        <v>46.910110373097716</v>
      </c>
      <c r="CK35" s="176">
        <f>'1_Конс.'!R160*1000</f>
        <v>784194.19890999992</v>
      </c>
      <c r="CL35" s="176">
        <f>'1_Конс.'!R161*1000</f>
        <v>136128.48452</v>
      </c>
      <c r="CM35" s="177"/>
      <c r="CN35" s="176">
        <f>'1_Конс.'!X160*1000</f>
        <v>1520027.48181</v>
      </c>
      <c r="CO35" s="177"/>
      <c r="CP35" s="176">
        <f>'1_Конс.'!X161*1000</f>
        <v>49464.991190000001</v>
      </c>
      <c r="CQ35" s="176"/>
      <c r="CR35" s="176"/>
      <c r="CS35" s="176">
        <f>'1_Конс.'!R134*1000</f>
        <v>-1312584.3903899996</v>
      </c>
      <c r="CT35" s="176">
        <f>'1_Конс.'!X134*1000</f>
        <v>-406463.12518999859</v>
      </c>
      <c r="CU35" s="176">
        <f>'1_Конс.'!R165*1000</f>
        <v>4139851.0889999997</v>
      </c>
      <c r="CV35" s="176">
        <f>'1_Конс.'!X165*1000</f>
        <v>4149475.8890000004</v>
      </c>
      <c r="CW35" s="176">
        <f>'1_Конс.'!AD165*1000</f>
        <v>9624.800000000505</v>
      </c>
      <c r="CX35" s="177"/>
      <c r="CY35" s="177"/>
      <c r="CZ35" s="177"/>
      <c r="DA35" s="177"/>
      <c r="DB35" s="176"/>
      <c r="DC35" s="177"/>
      <c r="DD35" s="177"/>
      <c r="DE35" s="177"/>
      <c r="DF35" s="177"/>
      <c r="DG35" s="176"/>
      <c r="DH35" s="176">
        <f>'1_Конс.'!R29*1000</f>
        <v>22268512.465360001</v>
      </c>
      <c r="DI35" s="176">
        <f>'1_Конс.'!X29*1000</f>
        <v>11197266.53425</v>
      </c>
      <c r="DJ35" s="176">
        <f t="shared" si="50"/>
        <v>50.282956940514175</v>
      </c>
      <c r="DK35" s="177"/>
      <c r="DL35" s="176">
        <f>'1_Конс.'!R13*1000</f>
        <v>9068233.2474800032</v>
      </c>
      <c r="DM35" s="177"/>
      <c r="DN35" s="176">
        <f>'1_Конс.'!X13*1000</f>
        <v>4332431.9079800006</v>
      </c>
      <c r="DO35" s="177"/>
      <c r="DP35" s="176"/>
      <c r="DQ35" s="409"/>
      <c r="DR35" s="176"/>
      <c r="DS35" s="176"/>
      <c r="DU35" s="176">
        <f>'1_Конс.'!E164/1000</f>
        <v>264996.85389999999</v>
      </c>
      <c r="DW35" s="176">
        <f>'1_Конс.'!L164/1000</f>
        <v>304217.62117999996</v>
      </c>
      <c r="DZ35" s="176">
        <f>3509247160.41/1000</f>
        <v>3509247.16041</v>
      </c>
      <c r="EA35" s="176">
        <f>1978046525.38/1000</f>
        <v>1978046.52538</v>
      </c>
      <c r="EB35" s="176">
        <f>3843285178.75/1000</f>
        <v>3843285.17875</v>
      </c>
      <c r="EC35" s="176">
        <f>1753961847.63/1000</f>
        <v>1753961.8476300002</v>
      </c>
      <c r="ED35" s="176">
        <f t="shared" ref="ED35" si="89">EB35-DZ35</f>
        <v>334038.01833999995</v>
      </c>
      <c r="EE35" s="176">
        <f t="shared" ref="EE35" si="90">EC35-EA35</f>
        <v>-224084.6777499998</v>
      </c>
      <c r="EF35" s="176">
        <v>1909938.2649700001</v>
      </c>
      <c r="EG35" s="176">
        <v>1909772.2470799999</v>
      </c>
      <c r="EH35" s="176">
        <v>1658743.2348900002</v>
      </c>
      <c r="EI35" s="176">
        <v>1658577.2169999999</v>
      </c>
      <c r="EJ35" s="176">
        <f t="shared" ref="EJ35" si="91">EH35-EF35</f>
        <v>-251195.03007999994</v>
      </c>
      <c r="EK35" s="176">
        <f t="shared" ref="EK35" si="92">EI35-EG35</f>
        <v>-251195.03007999994</v>
      </c>
      <c r="EL35" s="176">
        <v>4872.1790799999999</v>
      </c>
      <c r="EM35" s="176">
        <v>4808.1290799999997</v>
      </c>
      <c r="EN35" s="176">
        <v>15605.468419999999</v>
      </c>
      <c r="EO35" s="176">
        <v>92.542380000000009</v>
      </c>
      <c r="EP35" s="176">
        <f t="shared" ref="EP35" si="93">EN35-EL35</f>
        <v>10733.289339999999</v>
      </c>
      <c r="EQ35" s="176">
        <f t="shared" ref="EQ35" si="94">EO35-EM35</f>
        <v>-4715.5866999999998</v>
      </c>
      <c r="ER35" s="176">
        <v>345.58368000000002</v>
      </c>
      <c r="ES35" s="176">
        <v>0</v>
      </c>
      <c r="ET35" s="176">
        <v>368.37137999999999</v>
      </c>
      <c r="EU35" s="176">
        <v>0</v>
      </c>
      <c r="EV35" s="176">
        <f t="shared" ref="EV35" si="95">ET35-ER35</f>
        <v>22.787699999999973</v>
      </c>
      <c r="EW35" s="176">
        <f t="shared" ref="EW35" si="96">EU35-ES35</f>
        <v>0</v>
      </c>
      <c r="EX35" s="176">
        <v>0</v>
      </c>
      <c r="EY35" s="176">
        <v>0</v>
      </c>
      <c r="EZ35" s="176">
        <v>0</v>
      </c>
      <c r="FA35" s="176">
        <v>0</v>
      </c>
      <c r="FB35" s="176">
        <f t="shared" ref="FB35" si="97">EZ35-EX35</f>
        <v>0</v>
      </c>
      <c r="FC35" s="176">
        <f t="shared" ref="FC35" si="98">FA35-EY35</f>
        <v>0</v>
      </c>
      <c r="FD35" s="176">
        <v>0</v>
      </c>
      <c r="FE35" s="176">
        <v>0</v>
      </c>
      <c r="FF35" s="176">
        <f t="shared" si="66"/>
        <v>0</v>
      </c>
      <c r="FG35" s="176">
        <v>0</v>
      </c>
      <c r="FH35" s="176">
        <f>251414.51/1000</f>
        <v>251.41451000000001</v>
      </c>
      <c r="FI35" s="176">
        <f t="shared" ref="FI35" si="99">FH35-FG35</f>
        <v>251.41451000000001</v>
      </c>
      <c r="FJ35" s="184">
        <v>0</v>
      </c>
      <c r="FK35" s="176">
        <v>0</v>
      </c>
      <c r="FL35" s="176">
        <v>0</v>
      </c>
      <c r="FN35" s="176">
        <f>134987.53/1000</f>
        <v>134.98752999999999</v>
      </c>
      <c r="FO35" s="184">
        <f t="shared" si="69"/>
        <v>134.98752999999999</v>
      </c>
    </row>
    <row r="36" spans="1:172" x14ac:dyDescent="0.25">
      <c r="A36" s="181"/>
      <c r="B36" s="177"/>
      <c r="C36" s="177"/>
      <c r="D36" s="177"/>
      <c r="E36" s="177"/>
      <c r="F36" s="176"/>
      <c r="G36" s="177"/>
      <c r="H36" s="177"/>
      <c r="I36" s="177"/>
      <c r="J36" s="177"/>
      <c r="K36" s="176"/>
      <c r="L36" s="177"/>
      <c r="M36" s="177"/>
      <c r="N36" s="177"/>
      <c r="O36" s="176">
        <f>O35-O34</f>
        <v>0</v>
      </c>
      <c r="P36" s="176"/>
      <c r="Q36" s="176"/>
      <c r="R36" s="176"/>
      <c r="S36" s="176">
        <f>S35-S34</f>
        <v>0</v>
      </c>
      <c r="T36" s="177"/>
      <c r="U36" s="177"/>
      <c r="V36" s="177"/>
      <c r="W36" s="177"/>
      <c r="X36" s="176"/>
      <c r="Y36" s="177"/>
      <c r="Z36" s="177"/>
      <c r="AA36" s="177"/>
      <c r="AB36" s="177"/>
      <c r="AC36" s="176"/>
      <c r="AD36" s="176">
        <f>AD35-AD34</f>
        <v>0</v>
      </c>
      <c r="AE36" s="176">
        <f>AE35-AE34</f>
        <v>0</v>
      </c>
      <c r="AF36" s="176"/>
      <c r="AG36" s="176"/>
      <c r="AH36" s="176">
        <f>AH35-AH34</f>
        <v>-113.03488000073048</v>
      </c>
      <c r="AI36" s="176"/>
      <c r="AJ36" s="406">
        <f>AJ35-AJ34</f>
        <v>-75.220639999720788</v>
      </c>
      <c r="AK36" s="176">
        <f>AK35-AK34</f>
        <v>0</v>
      </c>
      <c r="AL36" s="176">
        <f>AL35-AL34</f>
        <v>0</v>
      </c>
      <c r="AM36" s="176"/>
      <c r="AN36" s="177"/>
      <c r="AO36" s="177"/>
      <c r="AP36" s="177"/>
      <c r="AQ36" s="177"/>
      <c r="AR36" s="176"/>
      <c r="AS36" s="176">
        <f>AS35-AS34</f>
        <v>0</v>
      </c>
      <c r="AT36" s="177"/>
      <c r="AU36" s="177"/>
      <c r="AV36" s="177"/>
      <c r="AW36" s="177"/>
      <c r="AX36" s="176"/>
      <c r="AY36" s="176">
        <f>AY35-AY34</f>
        <v>0</v>
      </c>
      <c r="AZ36" s="176">
        <f>AZ35-AZ34</f>
        <v>0</v>
      </c>
      <c r="BA36" s="176">
        <f>BA35-BA34</f>
        <v>0</v>
      </c>
      <c r="BB36" s="176"/>
      <c r="BC36" s="177"/>
      <c r="BD36" s="177"/>
      <c r="BE36" s="177"/>
      <c r="BF36" s="177"/>
      <c r="BG36" s="176">
        <f>BG35-BG34</f>
        <v>0</v>
      </c>
      <c r="BH36" s="176"/>
      <c r="BI36" s="176"/>
      <c r="BJ36" s="176"/>
      <c r="BK36" s="176"/>
      <c r="BL36" s="176">
        <f t="shared" ref="BL36:BP36" si="100">BL35-BL34</f>
        <v>0</v>
      </c>
      <c r="BM36" s="176"/>
      <c r="BN36" s="176">
        <f t="shared" si="100"/>
        <v>0</v>
      </c>
      <c r="BO36" s="176"/>
      <c r="BP36" s="176">
        <f t="shared" si="100"/>
        <v>0</v>
      </c>
      <c r="BQ36" s="176"/>
      <c r="BR36" s="177"/>
      <c r="BS36" s="176">
        <f>BS35-BS34</f>
        <v>0</v>
      </c>
      <c r="BT36" s="177"/>
      <c r="BU36" s="176">
        <f>BU35-BU34</f>
        <v>0</v>
      </c>
      <c r="BV36" s="176"/>
      <c r="BW36" s="176"/>
      <c r="BX36" s="176">
        <f>BX35-BX34</f>
        <v>0</v>
      </c>
      <c r="BY36" s="177"/>
      <c r="BZ36" s="176"/>
      <c r="CA36" s="176"/>
      <c r="CB36" s="176">
        <f>CB35-CB34</f>
        <v>0</v>
      </c>
      <c r="CC36" s="176"/>
      <c r="CD36" s="176"/>
      <c r="CE36" s="176"/>
      <c r="CF36" s="176"/>
      <c r="CG36" s="176">
        <f>CG35-CG34</f>
        <v>0</v>
      </c>
      <c r="CH36" s="176"/>
      <c r="CI36" s="176">
        <f>CI35-CI34</f>
        <v>0</v>
      </c>
      <c r="CJ36" s="176"/>
      <c r="CK36" s="176">
        <f>CK35-CK34</f>
        <v>0</v>
      </c>
      <c r="CL36" s="176">
        <f>CL35-CL34</f>
        <v>0</v>
      </c>
      <c r="CM36" s="177"/>
      <c r="CN36" s="176">
        <f>CN35-CN34</f>
        <v>0</v>
      </c>
      <c r="CO36" s="177"/>
      <c r="CP36" s="176">
        <f>CP35-CP34</f>
        <v>0</v>
      </c>
      <c r="CQ36" s="176"/>
      <c r="CR36" s="176"/>
      <c r="CS36" s="176">
        <f>CS35-CS34</f>
        <v>0</v>
      </c>
      <c r="CT36" s="176">
        <f>CT35-CT34</f>
        <v>1.3387762010097504E-9</v>
      </c>
      <c r="CU36" s="176">
        <f>CU35-CU34</f>
        <v>0</v>
      </c>
      <c r="CV36" s="176">
        <f>CV35-CV34</f>
        <v>0</v>
      </c>
      <c r="CW36" s="176">
        <f>CW35-CW34</f>
        <v>5.0204107537865639E-10</v>
      </c>
      <c r="CX36" s="177"/>
      <c r="CY36" s="177"/>
      <c r="CZ36" s="177"/>
      <c r="DA36" s="177"/>
      <c r="DB36" s="176"/>
      <c r="DC36" s="177"/>
      <c r="DD36" s="177"/>
      <c r="DE36" s="177"/>
      <c r="DF36" s="177"/>
      <c r="DG36" s="176"/>
      <c r="DH36" s="176">
        <f>DH35-DH34</f>
        <v>0</v>
      </c>
      <c r="DI36" s="176">
        <f>DI35-DI34</f>
        <v>0</v>
      </c>
      <c r="DJ36" s="176"/>
      <c r="DK36" s="177"/>
      <c r="DL36" s="176">
        <f>DL35-DL34</f>
        <v>0</v>
      </c>
      <c r="DM36" s="177"/>
      <c r="DN36" s="176">
        <f>DN35-DN34</f>
        <v>0</v>
      </c>
      <c r="DO36" s="177"/>
      <c r="DP36" s="176"/>
      <c r="DQ36" s="409"/>
      <c r="DR36" s="176"/>
      <c r="DS36" s="176">
        <f>DR27/DP27%-100</f>
        <v>23.310569191885364</v>
      </c>
      <c r="DU36" s="176">
        <f>DU35-DU34</f>
        <v>0</v>
      </c>
      <c r="DW36" s="176">
        <f>DW35-DW34</f>
        <v>0</v>
      </c>
      <c r="DZ36" s="176">
        <f>DZ34+DZ35</f>
        <v>6210067.3184200004</v>
      </c>
      <c r="EA36" s="176">
        <f t="shared" ref="EA36:EO36" si="101">EA34+EA35</f>
        <v>2941461.7065000003</v>
      </c>
      <c r="EB36" s="176">
        <f t="shared" si="101"/>
        <v>6239619.4710600004</v>
      </c>
      <c r="EC36" s="176">
        <f t="shared" si="101"/>
        <v>2581615.2779800002</v>
      </c>
      <c r="ED36" s="176">
        <f t="shared" si="101"/>
        <v>29552.152639999869</v>
      </c>
      <c r="EE36" s="176">
        <f t="shared" si="101"/>
        <v>-359846.42851999972</v>
      </c>
      <c r="EF36" s="176">
        <f t="shared" si="101"/>
        <v>2260483.1095100003</v>
      </c>
      <c r="EG36" s="176">
        <f t="shared" si="101"/>
        <v>2227690.1824499997</v>
      </c>
      <c r="EH36" s="176">
        <f t="shared" si="101"/>
        <v>1949974.3937900001</v>
      </c>
      <c r="EI36" s="176">
        <f t="shared" si="101"/>
        <v>1910037.2025299999</v>
      </c>
      <c r="EJ36" s="176">
        <f t="shared" si="101"/>
        <v>-310508.71571999998</v>
      </c>
      <c r="EK36" s="176">
        <f t="shared" si="101"/>
        <v>-317652.97991999995</v>
      </c>
      <c r="EL36" s="176">
        <f t="shared" si="101"/>
        <v>850218.11080000002</v>
      </c>
      <c r="EM36" s="176">
        <f t="shared" si="101"/>
        <v>394881.36111</v>
      </c>
      <c r="EN36" s="176">
        <f t="shared" si="101"/>
        <v>838592.76297000004</v>
      </c>
      <c r="EO36" s="176">
        <f t="shared" si="101"/>
        <v>362323.21130999998</v>
      </c>
      <c r="EP36" s="176">
        <f t="shared" ref="EP36:FC36" si="102">EP34+EP35</f>
        <v>-11625.347830000021</v>
      </c>
      <c r="EQ36" s="176">
        <f t="shared" si="102"/>
        <v>-32558.14980000001</v>
      </c>
      <c r="ER36" s="176">
        <f t="shared" si="102"/>
        <v>175307.63357000001</v>
      </c>
      <c r="ES36" s="176">
        <f t="shared" si="102"/>
        <v>37724.58193</v>
      </c>
      <c r="ET36" s="176">
        <f t="shared" si="102"/>
        <v>187859.94004000002</v>
      </c>
      <c r="EU36" s="176">
        <f>EU34+EU35</f>
        <v>27370.59806</v>
      </c>
      <c r="EV36" s="176">
        <f t="shared" si="102"/>
        <v>12552.306469999998</v>
      </c>
      <c r="EW36" s="176">
        <f t="shared" si="102"/>
        <v>-10353.98387</v>
      </c>
      <c r="EX36" s="176">
        <f t="shared" si="102"/>
        <v>474986.10861</v>
      </c>
      <c r="EY36" s="176">
        <f t="shared" si="102"/>
        <v>4858.9705899999999</v>
      </c>
      <c r="EZ36" s="176">
        <f t="shared" si="102"/>
        <v>438963.98230999999</v>
      </c>
      <c r="FA36" s="176">
        <f t="shared" si="102"/>
        <v>3476.4139400000004</v>
      </c>
      <c r="FB36" s="176">
        <f t="shared" si="102"/>
        <v>-36022.12630000004</v>
      </c>
      <c r="FC36" s="176">
        <f t="shared" si="102"/>
        <v>-1382.5566499999998</v>
      </c>
      <c r="FD36" s="176">
        <f>FD34+FD35</f>
        <v>85927.617140000017</v>
      </c>
      <c r="FE36" s="176">
        <f t="shared" ref="FE36:FF36" si="103">FE34+FE35</f>
        <v>91354.400299999994</v>
      </c>
      <c r="FF36" s="176">
        <f t="shared" si="103"/>
        <v>5426.7831599999936</v>
      </c>
      <c r="FG36" s="176">
        <f t="shared" ref="FG36" si="104">FG34+FG35</f>
        <v>38282.539199999999</v>
      </c>
      <c r="FH36" s="176">
        <f t="shared" ref="FH36" si="105">FH34+FH35</f>
        <v>51370.075640000003</v>
      </c>
      <c r="FI36" s="176">
        <f t="shared" ref="FI36" si="106">FI34+FI35</f>
        <v>13087.536440000003</v>
      </c>
      <c r="FJ36" s="176">
        <f t="shared" ref="FJ36" si="107">FJ34+FJ35</f>
        <v>22204.87095</v>
      </c>
      <c r="FK36" s="176">
        <f t="shared" ref="FK36" si="108">FK34+FK35</f>
        <v>19098.29422</v>
      </c>
      <c r="FL36" s="176">
        <f t="shared" ref="FL36" si="109">FL34+FL35</f>
        <v>-3106.5767300000002</v>
      </c>
      <c r="FM36" s="176">
        <f t="shared" ref="FM36" si="110">FM34+FM35</f>
        <v>82344.920830000003</v>
      </c>
      <c r="FN36" s="176">
        <f t="shared" ref="FN36" si="111">FN34+FN35</f>
        <v>89543.930740000011</v>
      </c>
      <c r="FO36" s="184">
        <f t="shared" si="69"/>
        <v>7199.0099100000079</v>
      </c>
    </row>
    <row r="37" spans="1:172" x14ac:dyDescent="0.25">
      <c r="AY37" s="188" t="s">
        <v>222</v>
      </c>
      <c r="AZ37" s="188" t="s">
        <v>223</v>
      </c>
      <c r="DV37" s="184"/>
    </row>
    <row r="38" spans="1:172" x14ac:dyDescent="0.25">
      <c r="A38" s="174" t="s">
        <v>158</v>
      </c>
      <c r="AY38" s="176"/>
      <c r="AZ38" s="184">
        <f>AY38-BA8</f>
        <v>-571454.77694999997</v>
      </c>
      <c r="DS38" s="176"/>
      <c r="DU38" s="597"/>
      <c r="DV38" s="597"/>
      <c r="EH38" s="176">
        <f>EH34/1000</f>
        <v>291.23115889999997</v>
      </c>
      <c r="EI38" s="176">
        <f t="shared" ref="EI38:EK38" si="112">EI34/1000</f>
        <v>251.45998553000001</v>
      </c>
      <c r="EJ38" s="176">
        <f t="shared" si="112"/>
        <v>-59.313685640000017</v>
      </c>
      <c r="EK38" s="176">
        <f t="shared" si="112"/>
        <v>-66.457949839999998</v>
      </c>
    </row>
    <row r="39" spans="1:172" x14ac:dyDescent="0.25">
      <c r="A39" s="174" t="s">
        <v>159</v>
      </c>
      <c r="AY39" s="176"/>
      <c r="AZ39" s="184">
        <f t="shared" ref="AZ39:AZ63" si="113">AY39-BA9</f>
        <v>-282372.35023000004</v>
      </c>
      <c r="CD39" s="176"/>
      <c r="CE39" s="176"/>
      <c r="EH39" s="176">
        <f t="shared" ref="EH39:EK39" si="114">EH35/1000</f>
        <v>1658.7432348900002</v>
      </c>
      <c r="EI39" s="176">
        <f t="shared" si="114"/>
        <v>1658.577217</v>
      </c>
      <c r="EJ39" s="176">
        <f t="shared" si="114"/>
        <v>-251.19503007999995</v>
      </c>
      <c r="EK39" s="176">
        <f t="shared" si="114"/>
        <v>-251.19503007999995</v>
      </c>
    </row>
    <row r="40" spans="1:172" x14ac:dyDescent="0.25">
      <c r="A40" s="174" t="s">
        <v>160</v>
      </c>
      <c r="AY40" s="176"/>
      <c r="AZ40" s="184">
        <f t="shared" si="113"/>
        <v>-194265.46524000002</v>
      </c>
      <c r="EH40" s="176">
        <f t="shared" ref="EH40:EK40" si="115">EH36/1000</f>
        <v>1949.97439379</v>
      </c>
      <c r="EI40" s="176">
        <f t="shared" si="115"/>
        <v>1910.0372025299998</v>
      </c>
      <c r="EJ40" s="176">
        <f t="shared" si="115"/>
        <v>-310.50871572</v>
      </c>
      <c r="EK40" s="176">
        <f t="shared" si="115"/>
        <v>-317.65297991999995</v>
      </c>
    </row>
    <row r="41" spans="1:172" x14ac:dyDescent="0.25">
      <c r="A41" s="174" t="s">
        <v>161</v>
      </c>
      <c r="AY41" s="176"/>
      <c r="AZ41" s="184">
        <f t="shared" si="113"/>
        <v>-269459.41608</v>
      </c>
    </row>
    <row r="42" spans="1:172" x14ac:dyDescent="0.25">
      <c r="A42" s="174" t="s">
        <v>162</v>
      </c>
      <c r="AY42" s="176"/>
      <c r="AZ42" s="184">
        <f t="shared" si="113"/>
        <v>-266303.40285000007</v>
      </c>
      <c r="EI42" s="176">
        <f>EI22/EG22%-100</f>
        <v>56.378293315179576</v>
      </c>
    </row>
    <row r="43" spans="1:172" x14ac:dyDescent="0.25">
      <c r="A43" s="174" t="s">
        <v>163</v>
      </c>
      <c r="AY43" s="176"/>
      <c r="AZ43" s="184">
        <f t="shared" si="113"/>
        <v>-303309.88649</v>
      </c>
    </row>
    <row r="44" spans="1:172" x14ac:dyDescent="0.25">
      <c r="A44" s="174" t="s">
        <v>164</v>
      </c>
      <c r="AY44" s="176"/>
      <c r="AZ44" s="184">
        <f t="shared" si="113"/>
        <v>-229457.13592</v>
      </c>
    </row>
    <row r="45" spans="1:172" x14ac:dyDescent="0.25">
      <c r="A45" s="174" t="s">
        <v>165</v>
      </c>
      <c r="AY45" s="176"/>
      <c r="AZ45" s="184">
        <f t="shared" si="113"/>
        <v>-283431.06741999998</v>
      </c>
    </row>
    <row r="46" spans="1:172" x14ac:dyDescent="0.25">
      <c r="A46" s="174" t="s">
        <v>166</v>
      </c>
      <c r="AY46" s="176"/>
      <c r="AZ46" s="184">
        <f t="shared" si="113"/>
        <v>-256007.15537000002</v>
      </c>
    </row>
    <row r="47" spans="1:172" x14ac:dyDescent="0.25">
      <c r="A47" s="174" t="s">
        <v>167</v>
      </c>
      <c r="AY47" s="176"/>
      <c r="AZ47" s="184">
        <f t="shared" si="113"/>
        <v>-192669.70746000001</v>
      </c>
    </row>
    <row r="48" spans="1:172" x14ac:dyDescent="0.25">
      <c r="A48" s="174" t="s">
        <v>168</v>
      </c>
      <c r="AY48" s="176"/>
      <c r="AZ48" s="184">
        <f t="shared" si="113"/>
        <v>-218919.43842000002</v>
      </c>
    </row>
    <row r="49" spans="1:52" x14ac:dyDescent="0.25">
      <c r="A49" s="174" t="s">
        <v>169</v>
      </c>
      <c r="AY49" s="176"/>
      <c r="AZ49" s="184">
        <f t="shared" si="113"/>
        <v>-270446.17174999998</v>
      </c>
    </row>
    <row r="50" spans="1:52" x14ac:dyDescent="0.25">
      <c r="A50" s="174" t="s">
        <v>170</v>
      </c>
      <c r="AY50" s="176"/>
      <c r="AZ50" s="184">
        <f t="shared" si="113"/>
        <v>-355019.32325999998</v>
      </c>
    </row>
    <row r="51" spans="1:52" x14ac:dyDescent="0.25">
      <c r="A51" s="174" t="s">
        <v>171</v>
      </c>
      <c r="AY51" s="176"/>
      <c r="AZ51" s="184">
        <f t="shared" si="113"/>
        <v>-494695.95562000002</v>
      </c>
    </row>
    <row r="52" spans="1:52" x14ac:dyDescent="0.25">
      <c r="A52" s="174" t="s">
        <v>172</v>
      </c>
      <c r="AY52" s="176"/>
      <c r="AZ52" s="184">
        <f t="shared" si="113"/>
        <v>-447349.25228999997</v>
      </c>
    </row>
    <row r="53" spans="1:52" x14ac:dyDescent="0.25">
      <c r="A53" s="174" t="s">
        <v>173</v>
      </c>
      <c r="AY53" s="176"/>
      <c r="AZ53" s="184">
        <f t="shared" si="113"/>
        <v>-326211.72097000002</v>
      </c>
    </row>
    <row r="54" spans="1:52" x14ac:dyDescent="0.25">
      <c r="A54" s="174" t="s">
        <v>174</v>
      </c>
      <c r="AY54" s="176"/>
      <c r="AZ54" s="184">
        <f t="shared" si="113"/>
        <v>-467137.12507000001</v>
      </c>
    </row>
    <row r="55" spans="1:52" x14ac:dyDescent="0.25">
      <c r="A55" s="174" t="s">
        <v>175</v>
      </c>
      <c r="AY55" s="176"/>
      <c r="AZ55" s="184">
        <f t="shared" si="113"/>
        <v>-442101.60915999999</v>
      </c>
    </row>
    <row r="56" spans="1:52" x14ac:dyDescent="0.25">
      <c r="A56" s="174" t="s">
        <v>176</v>
      </c>
      <c r="AY56" s="176"/>
      <c r="AZ56" s="184">
        <f t="shared" si="113"/>
        <v>-176537.5172</v>
      </c>
    </row>
    <row r="57" spans="1:52" x14ac:dyDescent="0.25">
      <c r="A57" s="174" t="s">
        <v>177</v>
      </c>
      <c r="AY57" s="176"/>
      <c r="AZ57" s="184">
        <f t="shared" si="113"/>
        <v>-2164199.2288099998</v>
      </c>
    </row>
    <row r="58" spans="1:52" x14ac:dyDescent="0.25">
      <c r="A58" s="174" t="s">
        <v>178</v>
      </c>
      <c r="AY58" s="176"/>
      <c r="AZ58" s="184">
        <f t="shared" si="113"/>
        <v>-1470811.23731</v>
      </c>
    </row>
    <row r="59" spans="1:52" x14ac:dyDescent="0.25">
      <c r="A59" s="174" t="s">
        <v>179</v>
      </c>
      <c r="AY59" s="176"/>
      <c r="AZ59" s="184">
        <f t="shared" si="113"/>
        <v>-688437.89896999998</v>
      </c>
    </row>
    <row r="60" spans="1:52" x14ac:dyDescent="0.25">
      <c r="A60" s="174" t="s">
        <v>180</v>
      </c>
      <c r="AY60" s="176"/>
      <c r="AZ60" s="184">
        <f t="shared" si="113"/>
        <v>-299712.88827</v>
      </c>
    </row>
    <row r="61" spans="1:52" x14ac:dyDescent="0.25">
      <c r="A61" s="174" t="s">
        <v>181</v>
      </c>
      <c r="AY61" s="176"/>
      <c r="AZ61" s="184">
        <f t="shared" si="113"/>
        <v>-311531.21385</v>
      </c>
    </row>
    <row r="62" spans="1:52" x14ac:dyDescent="0.25">
      <c r="A62" s="174" t="s">
        <v>182</v>
      </c>
      <c r="AY62" s="176"/>
      <c r="AZ62" s="184">
        <f t="shared" si="113"/>
        <v>-292722.74287999998</v>
      </c>
    </row>
    <row r="63" spans="1:52" x14ac:dyDescent="0.25">
      <c r="A63" s="174" t="s">
        <v>183</v>
      </c>
      <c r="AY63" s="176"/>
      <c r="AZ63" s="184">
        <f t="shared" si="113"/>
        <v>-3913.6904</v>
      </c>
    </row>
    <row r="64" spans="1:52" x14ac:dyDescent="0.25">
      <c r="AY64" s="176">
        <f>SUM(AY38:AY63)</f>
        <v>0</v>
      </c>
      <c r="AZ64" s="176">
        <f>SUM(AZ38:AZ63)</f>
        <v>-11278477.378240002</v>
      </c>
    </row>
    <row r="66" spans="82:82" x14ac:dyDescent="0.25">
      <c r="CD66" s="176"/>
    </row>
  </sheetData>
  <autoFilter ref="A7:EA64"/>
  <mergeCells count="103">
    <mergeCell ref="EF4:EK4"/>
    <mergeCell ref="EF5:EG5"/>
    <mergeCell ref="EH5:EI5"/>
    <mergeCell ref="EJ5:EK5"/>
    <mergeCell ref="CX4:DG4"/>
    <mergeCell ref="DH4:DJ5"/>
    <mergeCell ref="DM5:DN5"/>
    <mergeCell ref="CU4:CU6"/>
    <mergeCell ref="CR5:CR6"/>
    <mergeCell ref="CH5:CI5"/>
    <mergeCell ref="CF4:CJ4"/>
    <mergeCell ref="BY5:BZ5"/>
    <mergeCell ref="CD5:CD6"/>
    <mergeCell ref="BW4:CE4"/>
    <mergeCell ref="CE5:CE6"/>
    <mergeCell ref="DZ4:EE4"/>
    <mergeCell ref="DZ5:EA5"/>
    <mergeCell ref="EB5:EC5"/>
    <mergeCell ref="ED5:EE5"/>
    <mergeCell ref="A4:A6"/>
    <mergeCell ref="B4:K4"/>
    <mergeCell ref="L4:S4"/>
    <mergeCell ref="T4:AC4"/>
    <mergeCell ref="AD4:AF4"/>
    <mergeCell ref="AF5:AF6"/>
    <mergeCell ref="B5:F5"/>
    <mergeCell ref="G5:K5"/>
    <mergeCell ref="L5:O5"/>
    <mergeCell ref="P5:S5"/>
    <mergeCell ref="T5:X5"/>
    <mergeCell ref="AG4:AJ4"/>
    <mergeCell ref="AG5:AG6"/>
    <mergeCell ref="AH5:AH6"/>
    <mergeCell ref="AI5:AI6"/>
    <mergeCell ref="AJ5:AJ6"/>
    <mergeCell ref="Y5:AC5"/>
    <mergeCell ref="AD5:AD6"/>
    <mergeCell ref="AE5:AE6"/>
    <mergeCell ref="AL5:AL6"/>
    <mergeCell ref="AM5:AM6"/>
    <mergeCell ref="AN5:AS5"/>
    <mergeCell ref="AT5:AY5"/>
    <mergeCell ref="AZ5:AZ6"/>
    <mergeCell ref="AK4:AM4"/>
    <mergeCell ref="AN4:AY4"/>
    <mergeCell ref="AZ4:BB4"/>
    <mergeCell ref="AK5:AK6"/>
    <mergeCell ref="DK5:DL5"/>
    <mergeCell ref="DK4:DN4"/>
    <mergeCell ref="DC5:DG5"/>
    <mergeCell ref="BO5:BP5"/>
    <mergeCell ref="BQ5:BQ6"/>
    <mergeCell ref="BR5:BS5"/>
    <mergeCell ref="BT5:BU5"/>
    <mergeCell ref="BV5:BV6"/>
    <mergeCell ref="BW5:BX5"/>
    <mergeCell ref="CQ4:CQ6"/>
    <mergeCell ref="BR4:BV4"/>
    <mergeCell ref="CJ5:CJ6"/>
    <mergeCell ref="CL5:CL6"/>
    <mergeCell ref="CO5:CP6"/>
    <mergeCell ref="BA5:BA6"/>
    <mergeCell ref="BB5:BB6"/>
    <mergeCell ref="BC5:BG5"/>
    <mergeCell ref="BM4:BQ4"/>
    <mergeCell ref="BC4:BL4"/>
    <mergeCell ref="BH5:BL5"/>
    <mergeCell ref="CC5:CC6"/>
    <mergeCell ref="CF5:CG5"/>
    <mergeCell ref="DU38:DV38"/>
    <mergeCell ref="DX5:DY5"/>
    <mergeCell ref="DT4:DY4"/>
    <mergeCell ref="DO5:DP5"/>
    <mergeCell ref="DQ5:DR5"/>
    <mergeCell ref="DO4:DS4"/>
    <mergeCell ref="DS5:DS6"/>
    <mergeCell ref="DT5:DU5"/>
    <mergeCell ref="DV5:DW5"/>
    <mergeCell ref="BM5:BN5"/>
    <mergeCell ref="CK4:CK6"/>
    <mergeCell ref="CM4:CN6"/>
    <mergeCell ref="CO4:CP4"/>
    <mergeCell ref="CA5:CB5"/>
    <mergeCell ref="CS4:CT5"/>
    <mergeCell ref="CX5:DB5"/>
    <mergeCell ref="CV4:CV6"/>
    <mergeCell ref="CW4:CW6"/>
    <mergeCell ref="FJ4:FL4"/>
    <mergeCell ref="FM4:FO4"/>
    <mergeCell ref="FD4:FF4"/>
    <mergeCell ref="FG4:FI4"/>
    <mergeCell ref="EX4:FC4"/>
    <mergeCell ref="EX5:EY5"/>
    <mergeCell ref="EZ5:FA5"/>
    <mergeCell ref="FB5:FC5"/>
    <mergeCell ref="EL4:EQ4"/>
    <mergeCell ref="EL5:EM5"/>
    <mergeCell ref="EN5:EO5"/>
    <mergeCell ref="EP5:EQ5"/>
    <mergeCell ref="ER4:EW4"/>
    <mergeCell ref="ER5:ES5"/>
    <mergeCell ref="ET5:EU5"/>
    <mergeCell ref="EV5:EW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183"/>
  <sheetViews>
    <sheetView zoomScaleNormal="100" workbookViewId="0">
      <pane xSplit="1" ySplit="8" topLeftCell="B180" activePane="bottomRight" state="frozen"/>
      <selection activeCell="W164" sqref="W164"/>
      <selection pane="topRight" activeCell="W164" sqref="W164"/>
      <selection pane="bottomLeft" activeCell="W164" sqref="W164"/>
      <selection pane="bottomRight" activeCell="A182" sqref="A182:J183"/>
    </sheetView>
  </sheetViews>
  <sheetFormatPr defaultColWidth="9.109375" defaultRowHeight="13.2" x14ac:dyDescent="0.25"/>
  <cols>
    <col min="1" max="1" width="47.44140625" style="1" customWidth="1"/>
    <col min="2" max="2" width="9.33203125" style="3" customWidth="1"/>
    <col min="3" max="3" width="9.6640625" style="3" bestFit="1" customWidth="1"/>
    <col min="4" max="4" width="9.33203125" style="3" customWidth="1"/>
    <col min="5" max="6" width="8.5546875" style="3" hidden="1" customWidth="1"/>
    <col min="7" max="7" width="8.109375" style="3" hidden="1" customWidth="1"/>
    <col min="8" max="8" width="10.109375" style="3" bestFit="1" customWidth="1"/>
    <col min="9" max="9" width="9.109375" style="3"/>
    <col min="10" max="10" width="9.44140625" style="3" customWidth="1"/>
    <col min="11" max="11" width="8.88671875" style="3" hidden="1" customWidth="1"/>
    <col min="12" max="12" width="8.44140625" style="3" hidden="1" customWidth="1"/>
    <col min="13" max="13" width="8" style="3" hidden="1" customWidth="1"/>
    <col min="14" max="14" width="9.44140625" style="3" customWidth="1"/>
    <col min="15" max="15" width="9" style="3" customWidth="1"/>
    <col min="16" max="16" width="9.33203125" style="3" customWidth="1"/>
    <col min="17" max="17" width="9.44140625" style="3" customWidth="1"/>
    <col min="18" max="18" width="8.6640625" style="3" customWidth="1"/>
    <col min="19" max="19" width="9.33203125" style="3" customWidth="1"/>
    <col min="20" max="20" width="0" style="7" hidden="1" customWidth="1"/>
    <col min="21" max="21" width="9.6640625" style="7" bestFit="1" customWidth="1"/>
    <col min="22" max="24" width="9.109375" style="7"/>
    <col min="25" max="16384" width="9.109375" style="3"/>
  </cols>
  <sheetData>
    <row r="1" spans="1:24" x14ac:dyDescent="0.25">
      <c r="Q1" s="491" t="s">
        <v>185</v>
      </c>
      <c r="R1" s="491"/>
      <c r="S1" s="491"/>
    </row>
    <row r="2" spans="1:24" ht="30.6" customHeight="1" x14ac:dyDescent="0.25">
      <c r="A2" s="492" t="s">
        <v>442</v>
      </c>
      <c r="B2" s="492"/>
      <c r="C2" s="492"/>
      <c r="D2" s="492"/>
      <c r="E2" s="492"/>
      <c r="F2" s="492"/>
      <c r="G2" s="492"/>
      <c r="H2" s="492"/>
      <c r="I2" s="492"/>
      <c r="J2" s="492"/>
      <c r="K2" s="492"/>
      <c r="L2" s="492"/>
      <c r="M2" s="492"/>
      <c r="N2" s="492"/>
      <c r="O2" s="492"/>
      <c r="P2" s="492"/>
      <c r="Q2" s="492"/>
      <c r="R2" s="492"/>
      <c r="S2" s="492"/>
    </row>
    <row r="3" spans="1:24" ht="13.8" thickBot="1" x14ac:dyDescent="0.3">
      <c r="Q3" s="233"/>
      <c r="R3" s="233"/>
      <c r="S3" s="233"/>
    </row>
    <row r="4" spans="1:24" s="1" customFormat="1" ht="28.5" customHeight="1" thickTop="1" x14ac:dyDescent="0.25">
      <c r="A4" s="493" t="s">
        <v>1</v>
      </c>
      <c r="B4" s="495" t="s">
        <v>433</v>
      </c>
      <c r="C4" s="495"/>
      <c r="D4" s="495"/>
      <c r="E4" s="495"/>
      <c r="F4" s="495"/>
      <c r="G4" s="495"/>
      <c r="H4" s="495" t="s">
        <v>434</v>
      </c>
      <c r="I4" s="495"/>
      <c r="J4" s="495"/>
      <c r="K4" s="495"/>
      <c r="L4" s="495"/>
      <c r="M4" s="495"/>
      <c r="N4" s="495" t="s">
        <v>436</v>
      </c>
      <c r="O4" s="495"/>
      <c r="P4" s="495"/>
      <c r="Q4" s="495" t="s">
        <v>435</v>
      </c>
      <c r="R4" s="495"/>
      <c r="S4" s="496"/>
      <c r="T4" s="7"/>
      <c r="U4" s="7"/>
      <c r="V4" s="7"/>
      <c r="W4" s="7"/>
      <c r="X4" s="7"/>
    </row>
    <row r="5" spans="1:24" s="1" customFormat="1" x14ac:dyDescent="0.25">
      <c r="A5" s="494"/>
      <c r="B5" s="487" t="s">
        <v>3</v>
      </c>
      <c r="C5" s="488" t="s">
        <v>5</v>
      </c>
      <c r="D5" s="488"/>
      <c r="E5" s="488"/>
      <c r="F5" s="488"/>
      <c r="G5" s="488"/>
      <c r="H5" s="487" t="s">
        <v>3</v>
      </c>
      <c r="I5" s="488" t="s">
        <v>5</v>
      </c>
      <c r="J5" s="488"/>
      <c r="K5" s="488"/>
      <c r="L5" s="488"/>
      <c r="M5" s="488"/>
      <c r="N5" s="489" t="s">
        <v>3</v>
      </c>
      <c r="O5" s="488" t="s">
        <v>5</v>
      </c>
      <c r="P5" s="488"/>
      <c r="Q5" s="489" t="s">
        <v>3</v>
      </c>
      <c r="R5" s="488" t="s">
        <v>5</v>
      </c>
      <c r="S5" s="503"/>
      <c r="T5" s="7"/>
      <c r="U5" s="7"/>
      <c r="V5" s="7"/>
      <c r="W5" s="7"/>
      <c r="X5" s="7"/>
    </row>
    <row r="6" spans="1:24" s="1" customFormat="1" x14ac:dyDescent="0.25">
      <c r="A6" s="494"/>
      <c r="B6" s="487"/>
      <c r="C6" s="487" t="s">
        <v>7</v>
      </c>
      <c r="D6" s="489" t="s">
        <v>8</v>
      </c>
      <c r="E6" s="490" t="s">
        <v>9</v>
      </c>
      <c r="F6" s="490"/>
      <c r="G6" s="490"/>
      <c r="H6" s="487"/>
      <c r="I6" s="487" t="s">
        <v>7</v>
      </c>
      <c r="J6" s="489" t="s">
        <v>8</v>
      </c>
      <c r="K6" s="490" t="s">
        <v>9</v>
      </c>
      <c r="L6" s="490"/>
      <c r="M6" s="490"/>
      <c r="N6" s="489"/>
      <c r="O6" s="489" t="s">
        <v>7</v>
      </c>
      <c r="P6" s="489" t="s">
        <v>8</v>
      </c>
      <c r="Q6" s="489"/>
      <c r="R6" s="489" t="s">
        <v>7</v>
      </c>
      <c r="S6" s="511" t="s">
        <v>8</v>
      </c>
      <c r="T6" s="7"/>
      <c r="U6" s="7"/>
      <c r="V6" s="7"/>
      <c r="W6" s="7"/>
      <c r="X6" s="7"/>
    </row>
    <row r="7" spans="1:24" s="1" customFormat="1" ht="51" customHeight="1" x14ac:dyDescent="0.25">
      <c r="A7" s="494"/>
      <c r="B7" s="487"/>
      <c r="C7" s="487"/>
      <c r="D7" s="489"/>
      <c r="E7" s="226" t="s">
        <v>10</v>
      </c>
      <c r="F7" s="226" t="s">
        <v>11</v>
      </c>
      <c r="G7" s="226" t="s">
        <v>12</v>
      </c>
      <c r="H7" s="487"/>
      <c r="I7" s="487"/>
      <c r="J7" s="489"/>
      <c r="K7" s="226" t="s">
        <v>10</v>
      </c>
      <c r="L7" s="226" t="s">
        <v>11</v>
      </c>
      <c r="M7" s="226" t="s">
        <v>12</v>
      </c>
      <c r="N7" s="489"/>
      <c r="O7" s="489"/>
      <c r="P7" s="489"/>
      <c r="Q7" s="489"/>
      <c r="R7" s="489"/>
      <c r="S7" s="511"/>
      <c r="T7" s="7"/>
      <c r="U7" s="7"/>
      <c r="V7" s="7"/>
      <c r="W7" s="7"/>
      <c r="X7" s="7"/>
    </row>
    <row r="8" spans="1:24" s="23" customFormat="1" ht="20.399999999999999" x14ac:dyDescent="0.25">
      <c r="A8" s="17" t="s">
        <v>14</v>
      </c>
      <c r="B8" s="18" t="s">
        <v>15</v>
      </c>
      <c r="C8" s="18" t="s">
        <v>16</v>
      </c>
      <c r="D8" s="18" t="s">
        <v>17</v>
      </c>
      <c r="E8" s="20"/>
      <c r="F8" s="20"/>
      <c r="G8" s="20"/>
      <c r="H8" s="18" t="s">
        <v>195</v>
      </c>
      <c r="I8" s="18" t="s">
        <v>206</v>
      </c>
      <c r="J8" s="18" t="s">
        <v>197</v>
      </c>
      <c r="K8" s="20"/>
      <c r="L8" s="20"/>
      <c r="M8" s="20"/>
      <c r="N8" s="20" t="s">
        <v>226</v>
      </c>
      <c r="O8" s="20" t="s">
        <v>227</v>
      </c>
      <c r="P8" s="20" t="s">
        <v>228</v>
      </c>
      <c r="Q8" s="228" t="s">
        <v>229</v>
      </c>
      <c r="R8" s="228" t="s">
        <v>230</v>
      </c>
      <c r="S8" s="234" t="s">
        <v>231</v>
      </c>
      <c r="T8" s="6"/>
      <c r="U8" s="6"/>
      <c r="V8" s="6"/>
      <c r="W8" s="6"/>
      <c r="X8" s="6"/>
    </row>
    <row r="9" spans="1:24" s="1" customFormat="1" x14ac:dyDescent="0.25">
      <c r="A9" s="227" t="s">
        <v>27</v>
      </c>
      <c r="B9" s="55"/>
      <c r="C9" s="55"/>
      <c r="D9" s="55"/>
      <c r="E9" s="55"/>
      <c r="F9" s="55"/>
      <c r="G9" s="55"/>
      <c r="H9" s="55"/>
      <c r="I9" s="55"/>
      <c r="J9" s="55"/>
      <c r="K9" s="235"/>
      <c r="L9" s="235"/>
      <c r="M9" s="235"/>
      <c r="N9" s="235"/>
      <c r="O9" s="235"/>
      <c r="P9" s="235"/>
      <c r="Q9" s="235"/>
      <c r="R9" s="235"/>
      <c r="S9" s="236"/>
      <c r="T9" s="7"/>
      <c r="U9" s="7"/>
      <c r="V9" s="7"/>
      <c r="W9" s="7"/>
      <c r="X9" s="7"/>
    </row>
    <row r="10" spans="1:24" s="39" customFormat="1" x14ac:dyDescent="0.25">
      <c r="A10" s="34" t="s">
        <v>29</v>
      </c>
      <c r="B10" s="35">
        <v>30313.002536259999</v>
      </c>
      <c r="C10" s="35">
        <v>24257.525501619999</v>
      </c>
      <c r="D10" s="35">
        <v>6055.4770346399991</v>
      </c>
      <c r="E10" s="35"/>
      <c r="F10" s="35"/>
      <c r="G10" s="35"/>
      <c r="H10" s="35">
        <v>35041.977947730004</v>
      </c>
      <c r="I10" s="35">
        <v>28457.798902619998</v>
      </c>
      <c r="J10" s="35">
        <v>6584.1790451100005</v>
      </c>
      <c r="K10" s="35">
        <v>9541.3306052099997</v>
      </c>
      <c r="L10" s="35">
        <v>2178.2882684299998</v>
      </c>
      <c r="M10" s="35">
        <v>1212.4879544400001</v>
      </c>
      <c r="N10" s="35">
        <f>H10-B10</f>
        <v>4728.9754114700045</v>
      </c>
      <c r="O10" s="35">
        <f t="shared" ref="O10:P36" si="0">I10-C10</f>
        <v>4200.2734009999986</v>
      </c>
      <c r="P10" s="35">
        <f t="shared" si="0"/>
        <v>528.70201047000137</v>
      </c>
      <c r="Q10" s="35">
        <f>H10/B10%-100</f>
        <v>15.600484992581215</v>
      </c>
      <c r="R10" s="35">
        <f t="shared" ref="R10:S36" si="1">I10/C10%-100</f>
        <v>17.315341586343948</v>
      </c>
      <c r="S10" s="36">
        <f t="shared" si="1"/>
        <v>8.7309721008864045</v>
      </c>
      <c r="T10" s="59"/>
      <c r="U10" s="59"/>
      <c r="V10" s="59"/>
      <c r="W10" s="59"/>
      <c r="X10" s="59"/>
    </row>
    <row r="11" spans="1:24" x14ac:dyDescent="0.25">
      <c r="A11" s="237" t="s">
        <v>30</v>
      </c>
      <c r="B11" s="31">
        <v>7608.4179448599998</v>
      </c>
      <c r="C11" s="31">
        <v>7608.4179448599998</v>
      </c>
      <c r="D11" s="31">
        <v>0</v>
      </c>
      <c r="E11" s="31"/>
      <c r="F11" s="31"/>
      <c r="G11" s="31"/>
      <c r="H11" s="31">
        <v>10006.71319292</v>
      </c>
      <c r="I11" s="31">
        <v>10006.71319292</v>
      </c>
      <c r="J11" s="31">
        <v>0</v>
      </c>
      <c r="K11" s="31">
        <v>0</v>
      </c>
      <c r="L11" s="31">
        <v>0</v>
      </c>
      <c r="M11" s="31">
        <v>0</v>
      </c>
      <c r="N11" s="31">
        <f>H11-B11</f>
        <v>2398.2952480600006</v>
      </c>
      <c r="O11" s="31">
        <f t="shared" si="0"/>
        <v>2398.2952480600006</v>
      </c>
      <c r="P11" s="31">
        <f t="shared" si="0"/>
        <v>0</v>
      </c>
      <c r="Q11" s="31">
        <f>H11/B11%-100</f>
        <v>31.521602328381704</v>
      </c>
      <c r="R11" s="31">
        <f t="shared" si="1"/>
        <v>31.521602328381704</v>
      </c>
      <c r="S11" s="46" t="s">
        <v>31</v>
      </c>
    </row>
    <row r="12" spans="1:24" x14ac:dyDescent="0.25">
      <c r="A12" s="237" t="s">
        <v>32</v>
      </c>
      <c r="B12" s="31">
        <v>11841.17141791</v>
      </c>
      <c r="C12" s="31">
        <v>7868.1830770900006</v>
      </c>
      <c r="D12" s="31">
        <v>3972.9883408200003</v>
      </c>
      <c r="E12" s="31"/>
      <c r="F12" s="31"/>
      <c r="G12" s="31"/>
      <c r="H12" s="31">
        <v>12907.72283189</v>
      </c>
      <c r="I12" s="31">
        <v>8575.290923909999</v>
      </c>
      <c r="J12" s="31">
        <v>4332.4319079800007</v>
      </c>
      <c r="K12" s="31">
        <v>6000.7661295899998</v>
      </c>
      <c r="L12" s="31">
        <v>1283.85622128</v>
      </c>
      <c r="M12" s="31">
        <v>510.40473982999998</v>
      </c>
      <c r="N12" s="31">
        <f t="shared" ref="N12:P54" si="2">H12-B12</f>
        <v>1066.5514139799998</v>
      </c>
      <c r="O12" s="31">
        <f t="shared" si="0"/>
        <v>707.10784681999849</v>
      </c>
      <c r="P12" s="31">
        <f t="shared" si="0"/>
        <v>359.44356716000038</v>
      </c>
      <c r="Q12" s="31">
        <f t="shared" ref="Q12:S55" si="3">H12/B12%-100</f>
        <v>9.007144448283384</v>
      </c>
      <c r="R12" s="31">
        <f t="shared" si="1"/>
        <v>8.9869267134734514</v>
      </c>
      <c r="S12" s="33">
        <f t="shared" si="1"/>
        <v>9.0471840419701124</v>
      </c>
    </row>
    <row r="13" spans="1:24" x14ac:dyDescent="0.25">
      <c r="A13" s="237" t="s">
        <v>468</v>
      </c>
      <c r="B13" s="31">
        <v>2099.0796610500001</v>
      </c>
      <c r="C13" s="31">
        <v>1966.5482348199998</v>
      </c>
      <c r="D13" s="31">
        <v>132.53142622999999</v>
      </c>
      <c r="E13" s="31"/>
      <c r="F13" s="31"/>
      <c r="G13" s="31"/>
      <c r="H13" s="31">
        <v>2055.4287422399998</v>
      </c>
      <c r="I13" s="31">
        <v>1915.3779780499999</v>
      </c>
      <c r="J13" s="31">
        <v>140.05076419</v>
      </c>
      <c r="K13" s="31">
        <v>30.489444859999999</v>
      </c>
      <c r="L13" s="31">
        <v>103.58877299</v>
      </c>
      <c r="M13" s="31">
        <v>146.20201930000002</v>
      </c>
      <c r="N13" s="31">
        <f t="shared" si="2"/>
        <v>-43.650918810000348</v>
      </c>
      <c r="O13" s="31">
        <f t="shared" si="0"/>
        <v>-51.170256769999924</v>
      </c>
      <c r="P13" s="31">
        <f t="shared" si="0"/>
        <v>7.5193379600000014</v>
      </c>
      <c r="Q13" s="31">
        <f t="shared" si="3"/>
        <v>-2.0795265477521383</v>
      </c>
      <c r="R13" s="31">
        <f t="shared" si="1"/>
        <v>-2.6020341562933282</v>
      </c>
      <c r="S13" s="33">
        <f t="shared" si="1"/>
        <v>5.6736263797166515</v>
      </c>
    </row>
    <row r="14" spans="1:24" s="96" customFormat="1" x14ac:dyDescent="0.25">
      <c r="A14" s="238" t="s">
        <v>469</v>
      </c>
      <c r="B14" s="94">
        <v>32.312489970000001</v>
      </c>
      <c r="C14" s="94">
        <v>32.312489970000001</v>
      </c>
      <c r="D14" s="94">
        <v>0</v>
      </c>
      <c r="E14" s="94"/>
      <c r="F14" s="94"/>
      <c r="G14" s="94"/>
      <c r="H14" s="94">
        <v>33.822427140000002</v>
      </c>
      <c r="I14" s="94">
        <v>33.822427140000002</v>
      </c>
      <c r="J14" s="94">
        <v>0</v>
      </c>
      <c r="K14" s="94"/>
      <c r="L14" s="94"/>
      <c r="M14" s="94"/>
      <c r="N14" s="94">
        <f t="shared" ref="N14:N20" si="4">H14-B14</f>
        <v>1.5099371700000006</v>
      </c>
      <c r="O14" s="94">
        <f t="shared" ref="O14:O20" si="5">I14-C14</f>
        <v>1.5099371700000006</v>
      </c>
      <c r="P14" s="94">
        <f t="shared" ref="P14:P20" si="6">J14-D14</f>
        <v>0</v>
      </c>
      <c r="Q14" s="94">
        <f t="shared" ref="Q14:Q20" si="7">H14/B14%-100</f>
        <v>4.6729211255519942</v>
      </c>
      <c r="R14" s="94">
        <f t="shared" ref="R14:R20" si="8">I14/C14%-100</f>
        <v>4.6729211255519942</v>
      </c>
      <c r="S14" s="46" t="s">
        <v>31</v>
      </c>
      <c r="T14" s="322"/>
      <c r="U14" s="322"/>
      <c r="V14" s="322"/>
      <c r="W14" s="322"/>
      <c r="X14" s="322"/>
    </row>
    <row r="15" spans="1:24" s="96" customFormat="1" ht="39.6" x14ac:dyDescent="0.25">
      <c r="A15" s="238" t="s">
        <v>470</v>
      </c>
      <c r="B15" s="94">
        <v>798.20544399000005</v>
      </c>
      <c r="C15" s="94">
        <v>798.20544399000005</v>
      </c>
      <c r="D15" s="94">
        <v>0</v>
      </c>
      <c r="E15" s="94"/>
      <c r="F15" s="94"/>
      <c r="G15" s="94"/>
      <c r="H15" s="94">
        <v>654.62059515999999</v>
      </c>
      <c r="I15" s="94">
        <v>654.62059515999999</v>
      </c>
      <c r="J15" s="94">
        <v>0</v>
      </c>
      <c r="K15" s="94"/>
      <c r="L15" s="94"/>
      <c r="M15" s="94"/>
      <c r="N15" s="94">
        <f t="shared" si="4"/>
        <v>-143.58484883000006</v>
      </c>
      <c r="O15" s="94">
        <f t="shared" si="5"/>
        <v>-143.58484883000006</v>
      </c>
      <c r="P15" s="94">
        <f t="shared" si="6"/>
        <v>0</v>
      </c>
      <c r="Q15" s="94">
        <f t="shared" si="7"/>
        <v>-17.988457722395452</v>
      </c>
      <c r="R15" s="94">
        <f t="shared" si="8"/>
        <v>-17.988457722395452</v>
      </c>
      <c r="S15" s="46" t="s">
        <v>31</v>
      </c>
      <c r="T15" s="322"/>
      <c r="U15" s="322"/>
      <c r="V15" s="322"/>
      <c r="W15" s="322"/>
      <c r="X15" s="322"/>
    </row>
    <row r="16" spans="1:24" s="96" customFormat="1" ht="26.4" x14ac:dyDescent="0.25">
      <c r="A16" s="238" t="s">
        <v>471</v>
      </c>
      <c r="B16" s="94">
        <v>523.38666075000003</v>
      </c>
      <c r="C16" s="94">
        <v>471.04799463000001</v>
      </c>
      <c r="D16" s="94">
        <v>52.338666120000006</v>
      </c>
      <c r="E16" s="94"/>
      <c r="F16" s="94"/>
      <c r="G16" s="94"/>
      <c r="H16" s="94">
        <v>606.95029837000004</v>
      </c>
      <c r="I16" s="94">
        <v>546.25526852999997</v>
      </c>
      <c r="J16" s="94">
        <v>60.695029840000004</v>
      </c>
      <c r="K16" s="94"/>
      <c r="L16" s="94"/>
      <c r="M16" s="94"/>
      <c r="N16" s="94">
        <f t="shared" si="4"/>
        <v>83.563637620000009</v>
      </c>
      <c r="O16" s="94">
        <f t="shared" si="5"/>
        <v>75.207273899999961</v>
      </c>
      <c r="P16" s="94">
        <f t="shared" si="6"/>
        <v>8.3563637199999974</v>
      </c>
      <c r="Q16" s="94">
        <f t="shared" si="7"/>
        <v>15.965947145128879</v>
      </c>
      <c r="R16" s="94">
        <f t="shared" si="8"/>
        <v>15.965947155570404</v>
      </c>
      <c r="S16" s="95">
        <f t="shared" ref="S16:S19" si="9">J16/D16%-100</f>
        <v>15.965947051154984</v>
      </c>
      <c r="T16" s="322"/>
      <c r="U16" s="322"/>
      <c r="V16" s="322"/>
      <c r="W16" s="322"/>
      <c r="X16" s="322"/>
    </row>
    <row r="17" spans="1:24" s="96" customFormat="1" ht="39.6" x14ac:dyDescent="0.25">
      <c r="A17" s="238" t="s">
        <v>472</v>
      </c>
      <c r="B17" s="94">
        <v>5.6885021600000005</v>
      </c>
      <c r="C17" s="94">
        <v>5.1196519599999997</v>
      </c>
      <c r="D17" s="94">
        <v>0.56885019999999997</v>
      </c>
      <c r="E17" s="94"/>
      <c r="F17" s="94"/>
      <c r="G17" s="94"/>
      <c r="H17" s="94">
        <v>4.6011907499999998</v>
      </c>
      <c r="I17" s="94">
        <v>4.1410716800000005</v>
      </c>
      <c r="J17" s="94">
        <v>0.46011906999999996</v>
      </c>
      <c r="K17" s="94"/>
      <c r="L17" s="94"/>
      <c r="M17" s="94"/>
      <c r="N17" s="94">
        <f t="shared" si="4"/>
        <v>-1.0873114100000008</v>
      </c>
      <c r="O17" s="94">
        <f t="shared" si="5"/>
        <v>-0.97858027999999919</v>
      </c>
      <c r="P17" s="94">
        <f t="shared" si="6"/>
        <v>-0.10873113000000001</v>
      </c>
      <c r="Q17" s="94">
        <f t="shared" si="7"/>
        <v>-19.114195255926575</v>
      </c>
      <c r="R17" s="94">
        <f t="shared" si="8"/>
        <v>-19.114195411048982</v>
      </c>
      <c r="S17" s="95">
        <f t="shared" si="9"/>
        <v>-19.11419385982461</v>
      </c>
      <c r="T17" s="322"/>
      <c r="U17" s="322"/>
      <c r="V17" s="322"/>
      <c r="W17" s="322"/>
      <c r="X17" s="322"/>
    </row>
    <row r="18" spans="1:24" s="96" customFormat="1" ht="26.4" x14ac:dyDescent="0.25">
      <c r="A18" s="238" t="s">
        <v>473</v>
      </c>
      <c r="B18" s="94">
        <v>902.3997186900001</v>
      </c>
      <c r="C18" s="94">
        <v>812.15974680999989</v>
      </c>
      <c r="D18" s="94">
        <v>90.239971879999999</v>
      </c>
      <c r="E18" s="94"/>
      <c r="F18" s="94"/>
      <c r="G18" s="94"/>
      <c r="H18" s="94">
        <v>915.06241877999992</v>
      </c>
      <c r="I18" s="94">
        <v>823.55617690999998</v>
      </c>
      <c r="J18" s="94">
        <v>91.506241869999997</v>
      </c>
      <c r="K18" s="94"/>
      <c r="L18" s="94"/>
      <c r="M18" s="94"/>
      <c r="N18" s="94">
        <f t="shared" si="4"/>
        <v>12.662700089999817</v>
      </c>
      <c r="O18" s="94">
        <f t="shared" si="5"/>
        <v>11.396430100000089</v>
      </c>
      <c r="P18" s="94">
        <f t="shared" si="6"/>
        <v>1.2662699899999978</v>
      </c>
      <c r="Q18" s="94">
        <f t="shared" si="7"/>
        <v>1.4032251814508641</v>
      </c>
      <c r="R18" s="94">
        <f t="shared" si="8"/>
        <v>1.4032251838093401</v>
      </c>
      <c r="S18" s="95">
        <f t="shared" si="9"/>
        <v>1.4032251602248493</v>
      </c>
      <c r="T18" s="322"/>
      <c r="U18" s="322"/>
      <c r="V18" s="322"/>
      <c r="W18" s="322"/>
      <c r="X18" s="322"/>
    </row>
    <row r="19" spans="1:24" s="96" customFormat="1" ht="26.4" x14ac:dyDescent="0.25">
      <c r="A19" s="238" t="s">
        <v>474</v>
      </c>
      <c r="B19" s="94">
        <v>-106.16061968000001</v>
      </c>
      <c r="C19" s="94">
        <v>-95.544557709999992</v>
      </c>
      <c r="D19" s="94">
        <v>-10.616061970000001</v>
      </c>
      <c r="E19" s="94"/>
      <c r="F19" s="94"/>
      <c r="G19" s="94"/>
      <c r="H19" s="94">
        <v>-126.10626595999999</v>
      </c>
      <c r="I19" s="94">
        <v>-113.49563937000001</v>
      </c>
      <c r="J19" s="94">
        <v>-12.610626589999999</v>
      </c>
      <c r="K19" s="94"/>
      <c r="L19" s="94"/>
      <c r="M19" s="94"/>
      <c r="N19" s="94">
        <f t="shared" si="4"/>
        <v>-19.945646279999977</v>
      </c>
      <c r="O19" s="94">
        <f t="shared" si="5"/>
        <v>-17.951081660000014</v>
      </c>
      <c r="P19" s="94">
        <f t="shared" si="6"/>
        <v>-1.9945646199999985</v>
      </c>
      <c r="Q19" s="94">
        <f t="shared" si="7"/>
        <v>18.788178083475913</v>
      </c>
      <c r="R19" s="94">
        <f t="shared" si="8"/>
        <v>18.788178092242305</v>
      </c>
      <c r="S19" s="95">
        <f t="shared" si="9"/>
        <v>18.788178004578839</v>
      </c>
      <c r="T19" s="322"/>
      <c r="U19" s="322"/>
      <c r="V19" s="322"/>
      <c r="W19" s="322"/>
      <c r="X19" s="322"/>
    </row>
    <row r="20" spans="1:24" s="96" customFormat="1" x14ac:dyDescent="0.25">
      <c r="A20" s="238" t="s">
        <v>475</v>
      </c>
      <c r="B20" s="94">
        <v>-56.752534829999995</v>
      </c>
      <c r="C20" s="94">
        <v>-56.752534829999995</v>
      </c>
      <c r="D20" s="94">
        <v>0</v>
      </c>
      <c r="E20" s="94"/>
      <c r="F20" s="94"/>
      <c r="G20" s="94"/>
      <c r="H20" s="94">
        <v>-33.521922000000004</v>
      </c>
      <c r="I20" s="94">
        <v>-33.521922000000004</v>
      </c>
      <c r="J20" s="94">
        <v>0</v>
      </c>
      <c r="K20" s="94"/>
      <c r="L20" s="94"/>
      <c r="M20" s="94"/>
      <c r="N20" s="94">
        <f t="shared" si="4"/>
        <v>23.230612829999991</v>
      </c>
      <c r="O20" s="94">
        <f t="shared" si="5"/>
        <v>23.230612829999991</v>
      </c>
      <c r="P20" s="94">
        <f t="shared" si="6"/>
        <v>0</v>
      </c>
      <c r="Q20" s="94">
        <f t="shared" si="7"/>
        <v>-40.933172235542223</v>
      </c>
      <c r="R20" s="94">
        <f t="shared" si="8"/>
        <v>-40.933172235542223</v>
      </c>
      <c r="S20" s="46" t="s">
        <v>31</v>
      </c>
      <c r="T20" s="322"/>
      <c r="U20" s="322"/>
      <c r="V20" s="322"/>
      <c r="W20" s="322"/>
      <c r="X20" s="322"/>
    </row>
    <row r="21" spans="1:24" x14ac:dyDescent="0.25">
      <c r="A21" s="237" t="s">
        <v>378</v>
      </c>
      <c r="B21" s="31">
        <v>2043.66619031</v>
      </c>
      <c r="C21" s="31">
        <v>1494.1986994200001</v>
      </c>
      <c r="D21" s="31">
        <v>549.46749089000002</v>
      </c>
      <c r="E21" s="31"/>
      <c r="F21" s="31"/>
      <c r="G21" s="31"/>
      <c r="H21" s="31">
        <v>2310.6107446999999</v>
      </c>
      <c r="I21" s="31">
        <v>1743.75078723</v>
      </c>
      <c r="J21" s="31">
        <v>566.85995747000004</v>
      </c>
      <c r="K21" s="31">
        <v>820.54844204999995</v>
      </c>
      <c r="L21" s="31">
        <v>333.65806261</v>
      </c>
      <c r="M21" s="31">
        <v>18.847999600000001</v>
      </c>
      <c r="N21" s="31">
        <f t="shared" si="2"/>
        <v>266.94455438999989</v>
      </c>
      <c r="O21" s="31">
        <f t="shared" si="0"/>
        <v>249.55208780999988</v>
      </c>
      <c r="P21" s="31">
        <f t="shared" si="0"/>
        <v>17.392466580000018</v>
      </c>
      <c r="Q21" s="31">
        <f t="shared" si="3"/>
        <v>13.062042894074978</v>
      </c>
      <c r="R21" s="31">
        <f t="shared" si="1"/>
        <v>16.701399078105752</v>
      </c>
      <c r="S21" s="33">
        <f t="shared" si="1"/>
        <v>3.1653313195706119</v>
      </c>
    </row>
    <row r="22" spans="1:24" s="96" customFormat="1" ht="26.4" x14ac:dyDescent="0.25">
      <c r="A22" s="238" t="s">
        <v>373</v>
      </c>
      <c r="B22" s="94">
        <v>1494.1986994200001</v>
      </c>
      <c r="C22" s="94">
        <v>1494.1986994200001</v>
      </c>
      <c r="D22" s="94">
        <v>0</v>
      </c>
      <c r="E22" s="94"/>
      <c r="F22" s="94"/>
      <c r="G22" s="94"/>
      <c r="H22" s="94">
        <v>1743.75078723</v>
      </c>
      <c r="I22" s="94">
        <v>1743.75078723</v>
      </c>
      <c r="J22" s="94">
        <v>0</v>
      </c>
      <c r="K22" s="94"/>
      <c r="L22" s="94"/>
      <c r="M22" s="94"/>
      <c r="N22" s="94">
        <f t="shared" ref="N22:N24" si="10">H22-B22</f>
        <v>249.55208780999988</v>
      </c>
      <c r="O22" s="94">
        <f t="shared" ref="O22:O24" si="11">I22-C22</f>
        <v>249.55208780999988</v>
      </c>
      <c r="P22" s="94">
        <f t="shared" ref="P22:P24" si="12">J22-D22</f>
        <v>0</v>
      </c>
      <c r="Q22" s="94">
        <f t="shared" ref="Q22:Q24" si="13">H22/B22%-100</f>
        <v>16.701399078105752</v>
      </c>
      <c r="R22" s="94">
        <f t="shared" ref="R22" si="14">I22/C22%-100</f>
        <v>16.701399078105752</v>
      </c>
      <c r="S22" s="46" t="s">
        <v>31</v>
      </c>
      <c r="T22" s="322"/>
      <c r="U22" s="322"/>
      <c r="V22" s="322"/>
      <c r="W22" s="322"/>
      <c r="X22" s="322"/>
    </row>
    <row r="23" spans="1:24" s="96" customFormat="1" ht="26.4" x14ac:dyDescent="0.25">
      <c r="A23" s="238" t="s">
        <v>374</v>
      </c>
      <c r="B23" s="94">
        <v>467.61951680999999</v>
      </c>
      <c r="C23" s="94">
        <v>0</v>
      </c>
      <c r="D23" s="94">
        <v>467.61951680999999</v>
      </c>
      <c r="E23" s="94"/>
      <c r="F23" s="94"/>
      <c r="G23" s="94"/>
      <c r="H23" s="94">
        <v>473.05333793</v>
      </c>
      <c r="I23" s="94">
        <v>0</v>
      </c>
      <c r="J23" s="94">
        <v>473.05333793000005</v>
      </c>
      <c r="K23" s="94"/>
      <c r="L23" s="94"/>
      <c r="M23" s="94"/>
      <c r="N23" s="94">
        <f t="shared" si="10"/>
        <v>5.4338211200000046</v>
      </c>
      <c r="O23" s="94">
        <f t="shared" si="11"/>
        <v>0</v>
      </c>
      <c r="P23" s="94">
        <f t="shared" si="12"/>
        <v>5.4338211200000615</v>
      </c>
      <c r="Q23" s="94">
        <f t="shared" si="13"/>
        <v>1.1620176071923538</v>
      </c>
      <c r="R23" s="49" t="s">
        <v>31</v>
      </c>
      <c r="S23" s="95">
        <f t="shared" ref="S23:S24" si="15">J23/D23%-100</f>
        <v>1.162017607192368</v>
      </c>
      <c r="T23" s="322"/>
      <c r="U23" s="322"/>
      <c r="V23" s="322"/>
      <c r="W23" s="322"/>
      <c r="X23" s="322"/>
    </row>
    <row r="24" spans="1:24" s="96" customFormat="1" x14ac:dyDescent="0.25">
      <c r="A24" s="238" t="s">
        <v>372</v>
      </c>
      <c r="B24" s="94">
        <v>67.068568200000001</v>
      </c>
      <c r="C24" s="94">
        <v>0</v>
      </c>
      <c r="D24" s="94">
        <v>67.068568200000001</v>
      </c>
      <c r="E24" s="94"/>
      <c r="F24" s="94"/>
      <c r="G24" s="94"/>
      <c r="H24" s="94">
        <v>78.920725860000005</v>
      </c>
      <c r="I24" s="94">
        <v>0</v>
      </c>
      <c r="J24" s="94">
        <v>78.920725860000005</v>
      </c>
      <c r="K24" s="94"/>
      <c r="L24" s="94"/>
      <c r="M24" s="94"/>
      <c r="N24" s="94">
        <f t="shared" si="10"/>
        <v>11.852157660000003</v>
      </c>
      <c r="O24" s="94">
        <f t="shared" si="11"/>
        <v>0</v>
      </c>
      <c r="P24" s="94">
        <f t="shared" si="12"/>
        <v>11.852157660000003</v>
      </c>
      <c r="Q24" s="94">
        <f t="shared" si="13"/>
        <v>17.671702226677326</v>
      </c>
      <c r="R24" s="49" t="s">
        <v>31</v>
      </c>
      <c r="S24" s="95">
        <f t="shared" si="15"/>
        <v>17.671702226677326</v>
      </c>
      <c r="T24" s="322"/>
      <c r="U24" s="322"/>
      <c r="V24" s="322"/>
      <c r="W24" s="322"/>
      <c r="X24" s="322"/>
    </row>
    <row r="25" spans="1:24" s="96" customFormat="1" ht="26.4" x14ac:dyDescent="0.25">
      <c r="A25" s="238" t="s">
        <v>375</v>
      </c>
      <c r="B25" s="94">
        <v>14.779405880000001</v>
      </c>
      <c r="C25" s="94">
        <v>0</v>
      </c>
      <c r="D25" s="94">
        <v>14.779405879999999</v>
      </c>
      <c r="E25" s="94"/>
      <c r="F25" s="94"/>
      <c r="G25" s="94"/>
      <c r="H25" s="94">
        <v>14.885893680000001</v>
      </c>
      <c r="I25" s="94">
        <v>0</v>
      </c>
      <c r="J25" s="94">
        <v>14.885893680000001</v>
      </c>
      <c r="K25" s="94"/>
      <c r="L25" s="94"/>
      <c r="M25" s="94"/>
      <c r="N25" s="94">
        <f t="shared" ref="N25" si="16">H25-B25</f>
        <v>0.10648780000000002</v>
      </c>
      <c r="O25" s="94">
        <f t="shared" ref="O25" si="17">I25-C25</f>
        <v>0</v>
      </c>
      <c r="P25" s="94">
        <f t="shared" ref="P25" si="18">J25-D25</f>
        <v>0.1064878000000018</v>
      </c>
      <c r="Q25" s="94">
        <f t="shared" ref="Q25" si="19">H25/B25%-100</f>
        <v>0.72051475454843228</v>
      </c>
      <c r="R25" s="49" t="s">
        <v>31</v>
      </c>
      <c r="S25" s="95">
        <f t="shared" ref="S25" si="20">J25/D25%-100</f>
        <v>0.72051475454844649</v>
      </c>
      <c r="T25" s="322"/>
      <c r="U25" s="322"/>
      <c r="V25" s="322"/>
      <c r="W25" s="322"/>
      <c r="X25" s="322"/>
    </row>
    <row r="26" spans="1:24" x14ac:dyDescent="0.25">
      <c r="A26" s="237" t="s">
        <v>232</v>
      </c>
      <c r="B26" s="31">
        <v>3695.4707360799998</v>
      </c>
      <c r="C26" s="31">
        <v>3424.8339212699998</v>
      </c>
      <c r="D26" s="31">
        <v>270.63681480999998</v>
      </c>
      <c r="E26" s="31"/>
      <c r="F26" s="31"/>
      <c r="G26" s="31"/>
      <c r="H26" s="31">
        <v>4358.3729679799999</v>
      </c>
      <c r="I26" s="31">
        <v>4009.2057801000001</v>
      </c>
      <c r="J26" s="31">
        <v>349.16718787999997</v>
      </c>
      <c r="K26" s="31">
        <v>616.69298838999998</v>
      </c>
      <c r="L26" s="31">
        <v>1.0525199999999999E-3</v>
      </c>
      <c r="M26" s="31">
        <v>235.05709336000001</v>
      </c>
      <c r="N26" s="31">
        <f t="shared" si="2"/>
        <v>662.90223190000006</v>
      </c>
      <c r="O26" s="31">
        <f t="shared" si="0"/>
        <v>584.37185883000029</v>
      </c>
      <c r="P26" s="31">
        <f t="shared" si="0"/>
        <v>78.530373069999996</v>
      </c>
      <c r="Q26" s="31">
        <f t="shared" si="3"/>
        <v>17.938235186870358</v>
      </c>
      <c r="R26" s="31">
        <f t="shared" si="1"/>
        <v>17.062779459195013</v>
      </c>
      <c r="S26" s="33">
        <f>J26/D26%-100</f>
        <v>29.016884907225972</v>
      </c>
    </row>
    <row r="27" spans="1:24" s="96" customFormat="1" x14ac:dyDescent="0.25">
      <c r="A27" s="238" t="s">
        <v>233</v>
      </c>
      <c r="B27" s="239">
        <v>17.449693270000001</v>
      </c>
      <c r="C27" s="239">
        <v>0</v>
      </c>
      <c r="D27" s="94">
        <v>17.449693270000001</v>
      </c>
      <c r="E27" s="94"/>
      <c r="F27" s="94"/>
      <c r="G27" s="94"/>
      <c r="H27" s="239">
        <v>23.093786050000002</v>
      </c>
      <c r="I27" s="239">
        <v>0</v>
      </c>
      <c r="J27" s="239">
        <v>23.093786050000002</v>
      </c>
      <c r="K27" s="94">
        <v>97.985962709999995</v>
      </c>
      <c r="L27" s="94">
        <v>5.2520000000000005E-5</v>
      </c>
      <c r="M27" s="94">
        <v>27.377498920000001</v>
      </c>
      <c r="N27" s="94">
        <f>H27-B27</f>
        <v>5.6440927800000011</v>
      </c>
      <c r="O27" s="94">
        <f t="shared" si="0"/>
        <v>0</v>
      </c>
      <c r="P27" s="94">
        <f t="shared" si="0"/>
        <v>5.6440927800000011</v>
      </c>
      <c r="Q27" s="94">
        <f t="shared" si="3"/>
        <v>32.344939780136343</v>
      </c>
      <c r="R27" s="49" t="s">
        <v>31</v>
      </c>
      <c r="S27" s="95">
        <f t="shared" si="1"/>
        <v>32.344939780136343</v>
      </c>
      <c r="T27" s="322"/>
      <c r="U27" s="322"/>
      <c r="V27" s="322"/>
      <c r="W27" s="322"/>
      <c r="X27" s="322"/>
    </row>
    <row r="28" spans="1:24" s="96" customFormat="1" x14ac:dyDescent="0.25">
      <c r="A28" s="238" t="s">
        <v>234</v>
      </c>
      <c r="B28" s="94">
        <v>3173.4036520500003</v>
      </c>
      <c r="C28" s="94">
        <v>3173.4036520500003</v>
      </c>
      <c r="D28" s="94">
        <v>0</v>
      </c>
      <c r="E28" s="94"/>
      <c r="F28" s="94"/>
      <c r="G28" s="94"/>
      <c r="H28" s="239">
        <v>3760.5362518100001</v>
      </c>
      <c r="I28" s="239">
        <v>3760.5362518100001</v>
      </c>
      <c r="J28" s="239">
        <v>0</v>
      </c>
      <c r="K28" s="94"/>
      <c r="L28" s="94"/>
      <c r="M28" s="94"/>
      <c r="N28" s="94">
        <f t="shared" si="2"/>
        <v>587.13259975999972</v>
      </c>
      <c r="O28" s="94">
        <f t="shared" si="0"/>
        <v>587.13259975999972</v>
      </c>
      <c r="P28" s="94">
        <f t="shared" si="0"/>
        <v>0</v>
      </c>
      <c r="Q28" s="94">
        <f t="shared" si="3"/>
        <v>18.501667740273618</v>
      </c>
      <c r="R28" s="94">
        <f t="shared" si="1"/>
        <v>18.501667740273618</v>
      </c>
      <c r="S28" s="240" t="s">
        <v>31</v>
      </c>
      <c r="T28" s="322"/>
      <c r="U28" s="322"/>
      <c r="V28" s="322"/>
      <c r="W28" s="322"/>
      <c r="X28" s="322"/>
    </row>
    <row r="29" spans="1:24" s="96" customFormat="1" x14ac:dyDescent="0.25">
      <c r="A29" s="238" t="s">
        <v>235</v>
      </c>
      <c r="B29" s="94">
        <v>250.7061277</v>
      </c>
      <c r="C29" s="94">
        <v>250.7061277</v>
      </c>
      <c r="D29" s="94">
        <v>0</v>
      </c>
      <c r="E29" s="94"/>
      <c r="F29" s="94"/>
      <c r="G29" s="94"/>
      <c r="H29" s="239">
        <v>247.52102829</v>
      </c>
      <c r="I29" s="239">
        <v>247.52102829</v>
      </c>
      <c r="J29" s="239">
        <v>0</v>
      </c>
      <c r="K29" s="94"/>
      <c r="L29" s="94"/>
      <c r="M29" s="94"/>
      <c r="N29" s="94">
        <f t="shared" si="2"/>
        <v>-3.1850994099999923</v>
      </c>
      <c r="O29" s="94">
        <f t="shared" si="0"/>
        <v>-3.1850994099999923</v>
      </c>
      <c r="P29" s="94">
        <f t="shared" si="0"/>
        <v>0</v>
      </c>
      <c r="Q29" s="94">
        <f t="shared" si="3"/>
        <v>-1.2704513604116414</v>
      </c>
      <c r="R29" s="94">
        <f t="shared" si="1"/>
        <v>-1.2704513604116414</v>
      </c>
      <c r="S29" s="240" t="s">
        <v>31</v>
      </c>
      <c r="T29" s="322"/>
      <c r="U29" s="322"/>
      <c r="V29" s="322"/>
      <c r="W29" s="322"/>
      <c r="X29" s="322"/>
    </row>
    <row r="30" spans="1:24" s="96" customFormat="1" x14ac:dyDescent="0.25">
      <c r="A30" s="238" t="s">
        <v>236</v>
      </c>
      <c r="B30" s="239">
        <v>253.18712153999999</v>
      </c>
      <c r="C30" s="239">
        <v>0</v>
      </c>
      <c r="D30" s="94">
        <v>253.18712153999999</v>
      </c>
      <c r="E30" s="94"/>
      <c r="F30" s="94"/>
      <c r="G30" s="94"/>
      <c r="H30" s="239">
        <v>326.07340182999997</v>
      </c>
      <c r="I30" s="239">
        <v>0</v>
      </c>
      <c r="J30" s="239">
        <v>326.07340182999997</v>
      </c>
      <c r="K30" s="94">
        <v>518.70702568000002</v>
      </c>
      <c r="L30" s="94">
        <v>1E-3</v>
      </c>
      <c r="M30" s="94">
        <v>207.67959443999999</v>
      </c>
      <c r="N30" s="94">
        <f t="shared" si="2"/>
        <v>72.886280289999974</v>
      </c>
      <c r="O30" s="94">
        <f t="shared" si="0"/>
        <v>0</v>
      </c>
      <c r="P30" s="94">
        <f t="shared" si="0"/>
        <v>72.886280289999974</v>
      </c>
      <c r="Q30" s="94">
        <f t="shared" si="3"/>
        <v>28.787514880959293</v>
      </c>
      <c r="R30" s="165" t="s">
        <v>31</v>
      </c>
      <c r="S30" s="95">
        <f t="shared" si="1"/>
        <v>28.787514880959293</v>
      </c>
      <c r="T30" s="322"/>
      <c r="U30" s="322"/>
      <c r="V30" s="322"/>
      <c r="W30" s="322"/>
      <c r="X30" s="322"/>
    </row>
    <row r="31" spans="1:24" ht="26.4" x14ac:dyDescent="0.25">
      <c r="A31" s="237" t="s">
        <v>237</v>
      </c>
      <c r="B31" s="31">
        <v>1231.43586774</v>
      </c>
      <c r="C31" s="31">
        <v>1231.43586774</v>
      </c>
      <c r="D31" s="31">
        <v>0</v>
      </c>
      <c r="E31" s="31"/>
      <c r="F31" s="31"/>
      <c r="G31" s="31"/>
      <c r="H31" s="31">
        <v>1384.9466389700001</v>
      </c>
      <c r="I31" s="31">
        <v>1384.9466389700001</v>
      </c>
      <c r="J31" s="31">
        <v>0</v>
      </c>
      <c r="K31" s="31">
        <v>0</v>
      </c>
      <c r="L31" s="31">
        <v>0</v>
      </c>
      <c r="M31" s="31">
        <v>0</v>
      </c>
      <c r="N31" s="31">
        <f t="shared" si="2"/>
        <v>153.51077123000005</v>
      </c>
      <c r="O31" s="31">
        <f t="shared" si="0"/>
        <v>153.51077123000005</v>
      </c>
      <c r="P31" s="31">
        <f t="shared" si="0"/>
        <v>0</v>
      </c>
      <c r="Q31" s="31">
        <f t="shared" si="3"/>
        <v>12.465998047606931</v>
      </c>
      <c r="R31" s="31">
        <f t="shared" si="1"/>
        <v>12.465998047606931</v>
      </c>
      <c r="S31" s="240" t="s">
        <v>31</v>
      </c>
    </row>
    <row r="32" spans="1:24" s="96" customFormat="1" ht="26.4" x14ac:dyDescent="0.25">
      <c r="A32" s="238" t="s">
        <v>238</v>
      </c>
      <c r="B32" s="239">
        <v>1143.5195880000001</v>
      </c>
      <c r="C32" s="239">
        <v>1143.5195880000001</v>
      </c>
      <c r="D32" s="94">
        <v>0</v>
      </c>
      <c r="E32" s="94"/>
      <c r="F32" s="94"/>
      <c r="G32" s="94"/>
      <c r="H32" s="239">
        <v>1279.9517840000001</v>
      </c>
      <c r="I32" s="239">
        <v>1279.9517840000001</v>
      </c>
      <c r="J32" s="239">
        <v>0</v>
      </c>
      <c r="K32" s="94"/>
      <c r="L32" s="94"/>
      <c r="M32" s="94"/>
      <c r="N32" s="94">
        <f t="shared" si="2"/>
        <v>136.43219599999998</v>
      </c>
      <c r="O32" s="94">
        <f t="shared" si="0"/>
        <v>136.43219599999998</v>
      </c>
      <c r="P32" s="94">
        <f t="shared" si="0"/>
        <v>0</v>
      </c>
      <c r="Q32" s="94">
        <f t="shared" si="3"/>
        <v>11.930901528203634</v>
      </c>
      <c r="R32" s="94">
        <f t="shared" si="1"/>
        <v>11.930901528203634</v>
      </c>
      <c r="S32" s="240" t="s">
        <v>31</v>
      </c>
      <c r="T32" s="322"/>
      <c r="U32" s="322"/>
      <c r="V32" s="322"/>
      <c r="W32" s="322"/>
      <c r="X32" s="322"/>
    </row>
    <row r="33" spans="1:24" x14ac:dyDescent="0.25">
      <c r="A33" s="237" t="s">
        <v>37</v>
      </c>
      <c r="B33" s="31">
        <v>165.16883443999998</v>
      </c>
      <c r="C33" s="31">
        <v>76.875636299999996</v>
      </c>
      <c r="D33" s="31">
        <v>88.293198140000001</v>
      </c>
      <c r="E33" s="31"/>
      <c r="F33" s="31"/>
      <c r="G33" s="31"/>
      <c r="H33" s="31">
        <v>172.58207513999997</v>
      </c>
      <c r="I33" s="31">
        <v>73.979083519999989</v>
      </c>
      <c r="J33" s="31">
        <v>98.602991619999983</v>
      </c>
      <c r="K33" s="31">
        <v>145.56005133000002</v>
      </c>
      <c r="L33" s="31">
        <v>39.89364939</v>
      </c>
      <c r="M33" s="31">
        <v>4.0784915699999997</v>
      </c>
      <c r="N33" s="31">
        <f t="shared" si="2"/>
        <v>7.4132406999999887</v>
      </c>
      <c r="O33" s="31">
        <f t="shared" si="0"/>
        <v>-2.8965527800000075</v>
      </c>
      <c r="P33" s="31">
        <f t="shared" si="0"/>
        <v>10.309793479999982</v>
      </c>
      <c r="Q33" s="31">
        <f t="shared" si="3"/>
        <v>4.4882805676593591</v>
      </c>
      <c r="R33" s="31">
        <f t="shared" si="1"/>
        <v>-3.7678423482525432</v>
      </c>
      <c r="S33" s="33">
        <f t="shared" si="1"/>
        <v>11.676769782030661</v>
      </c>
    </row>
    <row r="34" spans="1:24" ht="26.4" x14ac:dyDescent="0.25">
      <c r="A34" s="237" t="s">
        <v>38</v>
      </c>
      <c r="B34" s="31">
        <v>0.17871526999999998</v>
      </c>
      <c r="C34" s="31">
        <v>1.7383919999999997E-2</v>
      </c>
      <c r="D34" s="31">
        <v>0.16133135000000001</v>
      </c>
      <c r="E34" s="31"/>
      <c r="F34" s="31"/>
      <c r="G34" s="31"/>
      <c r="H34" s="31">
        <v>1.0566239999999999E-2</v>
      </c>
      <c r="I34" s="31">
        <v>-1.676646E-2</v>
      </c>
      <c r="J34" s="31">
        <v>2.7332700000000001E-2</v>
      </c>
      <c r="K34" s="31">
        <v>-6.8984899999999988E-2</v>
      </c>
      <c r="L34" s="31">
        <v>0.16786114000000002</v>
      </c>
      <c r="M34" s="31">
        <v>1.866203E-2</v>
      </c>
      <c r="N34" s="31">
        <f t="shared" si="2"/>
        <v>-0.16814902999999998</v>
      </c>
      <c r="O34" s="31">
        <f t="shared" si="0"/>
        <v>-3.4150379999999994E-2</v>
      </c>
      <c r="P34" s="31">
        <f t="shared" si="0"/>
        <v>-0.13399865</v>
      </c>
      <c r="Q34" s="31">
        <f t="shared" si="3"/>
        <v>-94.087668054330223</v>
      </c>
      <c r="R34" s="31">
        <f t="shared" si="1"/>
        <v>-196.44809686192758</v>
      </c>
      <c r="S34" s="33">
        <f t="shared" si="1"/>
        <v>-83.058035527502867</v>
      </c>
    </row>
    <row r="35" spans="1:24" ht="39.6" x14ac:dyDescent="0.25">
      <c r="A35" s="237" t="s">
        <v>39</v>
      </c>
      <c r="B35" s="31">
        <v>507.44698074000001</v>
      </c>
      <c r="C35" s="31">
        <v>12.2972418</v>
      </c>
      <c r="D35" s="31">
        <v>495.14973894000002</v>
      </c>
      <c r="E35" s="31"/>
      <c r="F35" s="31"/>
      <c r="G35" s="31"/>
      <c r="H35" s="31">
        <v>540.05311866</v>
      </c>
      <c r="I35" s="31">
        <v>12.892391009999999</v>
      </c>
      <c r="J35" s="31">
        <v>527.16072765000001</v>
      </c>
      <c r="K35" s="31">
        <v>889.92551114000003</v>
      </c>
      <c r="L35" s="31">
        <v>202.02694713999998</v>
      </c>
      <c r="M35" s="31">
        <v>165.33806622999998</v>
      </c>
      <c r="N35" s="31">
        <f t="shared" si="2"/>
        <v>32.606137919999981</v>
      </c>
      <c r="O35" s="31">
        <f t="shared" si="0"/>
        <v>0.59514920999999887</v>
      </c>
      <c r="P35" s="31">
        <f t="shared" si="0"/>
        <v>32.010988709999992</v>
      </c>
      <c r="Q35" s="31">
        <f t="shared" si="3"/>
        <v>6.4255260465735944</v>
      </c>
      <c r="R35" s="31">
        <f t="shared" si="1"/>
        <v>4.8396967358973058</v>
      </c>
      <c r="S35" s="33">
        <f t="shared" si="1"/>
        <v>6.4649107517511908</v>
      </c>
    </row>
    <row r="36" spans="1:24" ht="26.4" x14ac:dyDescent="0.25">
      <c r="A36" s="237" t="s">
        <v>239</v>
      </c>
      <c r="B36" s="31">
        <v>322.28062355000003</v>
      </c>
      <c r="C36" s="31">
        <v>286.18563237000001</v>
      </c>
      <c r="D36" s="31">
        <v>36.094991180000001</v>
      </c>
      <c r="E36" s="31"/>
      <c r="F36" s="31"/>
      <c r="G36" s="31"/>
      <c r="H36" s="31">
        <v>490.70148791000003</v>
      </c>
      <c r="I36" s="31">
        <v>443.09143363999999</v>
      </c>
      <c r="J36" s="31">
        <v>47.610054269999999</v>
      </c>
      <c r="K36" s="31">
        <v>91.111124140000001</v>
      </c>
      <c r="L36" s="31">
        <v>42.880357170000003</v>
      </c>
      <c r="M36" s="31">
        <v>0</v>
      </c>
      <c r="N36" s="31">
        <f t="shared" si="2"/>
        <v>168.42086436</v>
      </c>
      <c r="O36" s="31">
        <f t="shared" si="0"/>
        <v>156.90580126999998</v>
      </c>
      <c r="P36" s="31">
        <f t="shared" si="0"/>
        <v>11.515063089999998</v>
      </c>
      <c r="Q36" s="31">
        <f t="shared" si="3"/>
        <v>52.25907239001927</v>
      </c>
      <c r="R36" s="31">
        <f t="shared" si="1"/>
        <v>54.826582302755725</v>
      </c>
      <c r="S36" s="33">
        <f t="shared" si="1"/>
        <v>31.902108058639499</v>
      </c>
    </row>
    <row r="37" spans="1:24" s="96" customFormat="1" ht="26.4" x14ac:dyDescent="0.25">
      <c r="A37" s="238" t="s">
        <v>240</v>
      </c>
      <c r="B37" s="94">
        <v>62.345893680000003</v>
      </c>
      <c r="C37" s="94">
        <v>26.250902499999999</v>
      </c>
      <c r="D37" s="94">
        <v>36.094991180000001</v>
      </c>
      <c r="E37" s="94"/>
      <c r="F37" s="94"/>
      <c r="G37" s="94"/>
      <c r="H37" s="239">
        <v>82.235548809999997</v>
      </c>
      <c r="I37" s="239">
        <v>34.625494539999998</v>
      </c>
      <c r="J37" s="239">
        <v>47.610054269999999</v>
      </c>
      <c r="K37" s="94">
        <v>91.111124140000001</v>
      </c>
      <c r="L37" s="94">
        <v>42.880357170000003</v>
      </c>
      <c r="M37" s="94">
        <v>0</v>
      </c>
      <c r="N37" s="94">
        <f t="shared" si="2"/>
        <v>19.889655129999994</v>
      </c>
      <c r="O37" s="94">
        <f t="shared" si="2"/>
        <v>8.3745920399999996</v>
      </c>
      <c r="P37" s="94">
        <f t="shared" si="2"/>
        <v>11.515063089999998</v>
      </c>
      <c r="Q37" s="94">
        <f t="shared" si="3"/>
        <v>31.90210927456863</v>
      </c>
      <c r="R37" s="94">
        <f t="shared" si="3"/>
        <v>31.902110946471254</v>
      </c>
      <c r="S37" s="95">
        <f t="shared" si="3"/>
        <v>31.902108058639499</v>
      </c>
      <c r="T37" s="322"/>
      <c r="U37" s="322"/>
      <c r="V37" s="322"/>
      <c r="W37" s="322"/>
      <c r="X37" s="322"/>
    </row>
    <row r="38" spans="1:24" s="96" customFormat="1" x14ac:dyDescent="0.25">
      <c r="A38" s="238" t="s">
        <v>241</v>
      </c>
      <c r="B38" s="94">
        <v>13.717044320000001</v>
      </c>
      <c r="C38" s="94">
        <v>13.717044320000001</v>
      </c>
      <c r="D38" s="94">
        <v>0</v>
      </c>
      <c r="E38" s="94"/>
      <c r="F38" s="94"/>
      <c r="G38" s="94"/>
      <c r="H38" s="239">
        <v>55.234695700000003</v>
      </c>
      <c r="I38" s="239">
        <v>55.234695700000003</v>
      </c>
      <c r="J38" s="239">
        <v>0</v>
      </c>
      <c r="K38" s="94"/>
      <c r="L38" s="94"/>
      <c r="M38" s="94"/>
      <c r="N38" s="94">
        <f t="shared" si="2"/>
        <v>41.517651380000004</v>
      </c>
      <c r="O38" s="94">
        <f t="shared" si="2"/>
        <v>41.517651380000004</v>
      </c>
      <c r="P38" s="94">
        <f t="shared" si="2"/>
        <v>0</v>
      </c>
      <c r="Q38" s="94">
        <f t="shared" ref="Q38" si="21">H38/B38%-100</f>
        <v>302.67199267895927</v>
      </c>
      <c r="R38" s="94">
        <f t="shared" ref="R38" si="22">I38/C38%-100</f>
        <v>302.67199267895927</v>
      </c>
      <c r="S38" s="240" t="s">
        <v>31</v>
      </c>
      <c r="T38" s="322"/>
      <c r="U38" s="322"/>
      <c r="V38" s="322"/>
      <c r="W38" s="322"/>
      <c r="X38" s="322"/>
    </row>
    <row r="39" spans="1:24" s="96" customFormat="1" x14ac:dyDescent="0.25">
      <c r="A39" s="238" t="s">
        <v>242</v>
      </c>
      <c r="B39" s="94">
        <v>246.21768555</v>
      </c>
      <c r="C39" s="94">
        <v>246.21768555</v>
      </c>
      <c r="D39" s="94">
        <v>0</v>
      </c>
      <c r="E39" s="94"/>
      <c r="F39" s="94"/>
      <c r="G39" s="94"/>
      <c r="H39" s="239">
        <v>353.23124339999998</v>
      </c>
      <c r="I39" s="239">
        <v>353.23124339999998</v>
      </c>
      <c r="J39" s="239">
        <v>0</v>
      </c>
      <c r="K39" s="94"/>
      <c r="L39" s="94"/>
      <c r="M39" s="94"/>
      <c r="N39" s="94">
        <f t="shared" si="2"/>
        <v>107.01355784999998</v>
      </c>
      <c r="O39" s="94">
        <f t="shared" si="2"/>
        <v>107.01355784999998</v>
      </c>
      <c r="P39" s="94">
        <f t="shared" si="2"/>
        <v>0</v>
      </c>
      <c r="Q39" s="94">
        <f t="shared" si="3"/>
        <v>43.46298585780039</v>
      </c>
      <c r="R39" s="94">
        <f t="shared" si="3"/>
        <v>43.46298585780039</v>
      </c>
      <c r="S39" s="240" t="s">
        <v>31</v>
      </c>
      <c r="T39" s="322"/>
      <c r="U39" s="322"/>
      <c r="V39" s="322"/>
      <c r="W39" s="322"/>
      <c r="X39" s="322"/>
    </row>
    <row r="40" spans="1:24" ht="26.4" x14ac:dyDescent="0.25">
      <c r="A40" s="237" t="s">
        <v>379</v>
      </c>
      <c r="B40" s="31">
        <v>205.53503868000001</v>
      </c>
      <c r="C40" s="31">
        <v>116.49845031999999</v>
      </c>
      <c r="D40" s="31">
        <v>89.036588359999996</v>
      </c>
      <c r="E40" s="31"/>
      <c r="F40" s="31"/>
      <c r="G40" s="31"/>
      <c r="H40" s="31">
        <v>152.34614577000002</v>
      </c>
      <c r="I40" s="31">
        <v>74.020185609999999</v>
      </c>
      <c r="J40" s="31">
        <v>78.325960159999994</v>
      </c>
      <c r="K40" s="31">
        <v>58.120725200000003</v>
      </c>
      <c r="L40" s="31">
        <v>15.113301570000001</v>
      </c>
      <c r="M40" s="31">
        <v>50.030786249999998</v>
      </c>
      <c r="N40" s="31">
        <f t="shared" si="2"/>
        <v>-53.188892909999993</v>
      </c>
      <c r="O40" s="31">
        <f t="shared" si="2"/>
        <v>-42.478264709999991</v>
      </c>
      <c r="P40" s="31">
        <f>J40-D40</f>
        <v>-10.710628200000002</v>
      </c>
      <c r="Q40" s="31">
        <f t="shared" si="3"/>
        <v>-25.878260588361499</v>
      </c>
      <c r="R40" s="31">
        <f t="shared" si="3"/>
        <v>-36.462514817424562</v>
      </c>
      <c r="S40" s="33">
        <f t="shared" si="3"/>
        <v>-12.029468331259409</v>
      </c>
    </row>
    <row r="41" spans="1:24" s="96" customFormat="1" x14ac:dyDescent="0.25">
      <c r="A41" s="238" t="s">
        <v>243</v>
      </c>
      <c r="B41" s="94">
        <v>40.828375960000002</v>
      </c>
      <c r="C41" s="94">
        <v>1.4171264099999998</v>
      </c>
      <c r="D41" s="94">
        <v>39.411249549999994</v>
      </c>
      <c r="E41" s="94"/>
      <c r="F41" s="94"/>
      <c r="G41" s="94"/>
      <c r="H41" s="239">
        <v>57.696372869999998</v>
      </c>
      <c r="I41" s="239">
        <v>6.4081530500000001</v>
      </c>
      <c r="J41" s="239">
        <v>51.288219820000002</v>
      </c>
      <c r="K41" s="94">
        <v>30.575795660000001</v>
      </c>
      <c r="L41" s="94">
        <v>2.898279</v>
      </c>
      <c r="M41" s="94">
        <v>17.471884020000001</v>
      </c>
      <c r="N41" s="94">
        <f t="shared" si="2"/>
        <v>16.867996909999995</v>
      </c>
      <c r="O41" s="94">
        <f t="shared" si="2"/>
        <v>4.9910266400000003</v>
      </c>
      <c r="P41" s="94">
        <f>J41-D41</f>
        <v>11.876970270000008</v>
      </c>
      <c r="Q41" s="94">
        <f t="shared" si="3"/>
        <v>41.314395964526625</v>
      </c>
      <c r="R41" s="94">
        <f t="shared" si="3"/>
        <v>352.19346734212655</v>
      </c>
      <c r="S41" s="95">
        <f t="shared" si="3"/>
        <v>30.13599011858787</v>
      </c>
      <c r="T41" s="322"/>
      <c r="U41" s="322"/>
      <c r="V41" s="322"/>
      <c r="W41" s="322"/>
      <c r="X41" s="322"/>
    </row>
    <row r="42" spans="1:24" s="96" customFormat="1" x14ac:dyDescent="0.25">
      <c r="A42" s="238" t="s">
        <v>244</v>
      </c>
      <c r="B42" s="94">
        <v>155.27092691999999</v>
      </c>
      <c r="C42" s="94">
        <v>113.31208434</v>
      </c>
      <c r="D42" s="94">
        <v>41.958842579999995</v>
      </c>
      <c r="E42" s="94"/>
      <c r="F42" s="94"/>
      <c r="G42" s="94"/>
      <c r="H42" s="239">
        <v>94.649772900000002</v>
      </c>
      <c r="I42" s="239">
        <v>67.612032560000003</v>
      </c>
      <c r="J42" s="239">
        <v>27.037740339999999</v>
      </c>
      <c r="K42" s="94">
        <v>26.487430839999998</v>
      </c>
      <c r="L42" s="94">
        <v>9.3435754399999986</v>
      </c>
      <c r="M42" s="94">
        <v>13.7852111</v>
      </c>
      <c r="N42" s="94">
        <f t="shared" si="2"/>
        <v>-60.621154019999992</v>
      </c>
      <c r="O42" s="94">
        <f t="shared" si="2"/>
        <v>-45.700051779999995</v>
      </c>
      <c r="P42" s="94">
        <f>J42-D42</f>
        <v>-14.921102239999996</v>
      </c>
      <c r="Q42" s="94">
        <f t="shared" si="3"/>
        <v>-39.042179513254105</v>
      </c>
      <c r="R42" s="94">
        <f t="shared" si="3"/>
        <v>-40.331136829920212</v>
      </c>
      <c r="S42" s="95">
        <f t="shared" si="3"/>
        <v>-35.561281776424053</v>
      </c>
      <c r="T42" s="322"/>
      <c r="U42" s="322"/>
      <c r="V42" s="322"/>
      <c r="W42" s="322"/>
      <c r="X42" s="322"/>
    </row>
    <row r="43" spans="1:24" x14ac:dyDescent="0.25">
      <c r="A43" s="237" t="s">
        <v>42</v>
      </c>
      <c r="B43" s="31">
        <v>319.86582066000005</v>
      </c>
      <c r="C43" s="31">
        <v>0.1265367</v>
      </c>
      <c r="D43" s="31">
        <v>319.73928395999997</v>
      </c>
      <c r="E43" s="31"/>
      <c r="F43" s="31"/>
      <c r="G43" s="31"/>
      <c r="H43" s="31">
        <v>354.22487645000001</v>
      </c>
      <c r="I43" s="31">
        <v>5.2141344299999997</v>
      </c>
      <c r="J43" s="31">
        <v>349.01074202000001</v>
      </c>
      <c r="K43" s="31">
        <v>745.93770970000003</v>
      </c>
      <c r="L43" s="31">
        <v>117.74537706</v>
      </c>
      <c r="M43" s="31">
        <v>67.538476900000006</v>
      </c>
      <c r="N43" s="31">
        <f t="shared" si="2"/>
        <v>34.359055789999957</v>
      </c>
      <c r="O43" s="31">
        <f t="shared" si="2"/>
        <v>5.0875977299999997</v>
      </c>
      <c r="P43" s="31">
        <f t="shared" si="2"/>
        <v>29.271458060000043</v>
      </c>
      <c r="Q43" s="31">
        <f t="shared" si="3"/>
        <v>10.741709045094183</v>
      </c>
      <c r="R43" s="31">
        <f t="shared" si="3"/>
        <v>4020.6499221174563</v>
      </c>
      <c r="S43" s="33">
        <f t="shared" si="3"/>
        <v>9.1547893951191668</v>
      </c>
    </row>
    <row r="44" spans="1:24" x14ac:dyDescent="0.25">
      <c r="A44" s="237" t="s">
        <v>43</v>
      </c>
      <c r="B44" s="31">
        <v>0.61324411000000001</v>
      </c>
      <c r="C44" s="31">
        <v>0.56800850000000003</v>
      </c>
      <c r="D44" s="31">
        <v>4.5235610000000002E-2</v>
      </c>
      <c r="E44" s="31"/>
      <c r="F44" s="31"/>
      <c r="G44" s="31"/>
      <c r="H44" s="31">
        <v>0.65026982999999994</v>
      </c>
      <c r="I44" s="31">
        <v>0.64148850000000002</v>
      </c>
      <c r="J44" s="31">
        <v>8.7813300000000004E-3</v>
      </c>
      <c r="K44" s="31">
        <v>0</v>
      </c>
      <c r="L44" s="31">
        <v>0</v>
      </c>
      <c r="M44" s="31">
        <v>0.10872841</v>
      </c>
      <c r="N44" s="31">
        <f t="shared" si="2"/>
        <v>3.7025719999999929E-2</v>
      </c>
      <c r="O44" s="31">
        <f t="shared" si="2"/>
        <v>7.347999999999999E-2</v>
      </c>
      <c r="P44" s="31">
        <f t="shared" si="2"/>
        <v>-3.6454280000000006E-2</v>
      </c>
      <c r="Q44" s="31">
        <f t="shared" si="3"/>
        <v>6.0376804923572678</v>
      </c>
      <c r="R44" s="31">
        <f t="shared" si="3"/>
        <v>12.936426127425904</v>
      </c>
      <c r="S44" s="33">
        <f t="shared" si="3"/>
        <v>-80.587572489903422</v>
      </c>
    </row>
    <row r="45" spans="1:24" x14ac:dyDescent="0.25">
      <c r="A45" s="237" t="s">
        <v>44</v>
      </c>
      <c r="B45" s="31">
        <v>262.26421395</v>
      </c>
      <c r="C45" s="31">
        <v>170.47653500999999</v>
      </c>
      <c r="D45" s="31">
        <v>91.787678939999992</v>
      </c>
      <c r="E45" s="31"/>
      <c r="F45" s="31"/>
      <c r="G45" s="31"/>
      <c r="H45" s="31">
        <v>285.38564006000001</v>
      </c>
      <c r="I45" s="31">
        <v>199.00570324</v>
      </c>
      <c r="J45" s="31">
        <v>86.379936820000012</v>
      </c>
      <c r="K45" s="31">
        <v>133.05738516</v>
      </c>
      <c r="L45" s="31">
        <v>39.297494590000007</v>
      </c>
      <c r="M45" s="31">
        <v>8.7263814499999999</v>
      </c>
      <c r="N45" s="31">
        <f t="shared" si="2"/>
        <v>23.121426110000016</v>
      </c>
      <c r="O45" s="31">
        <f t="shared" si="2"/>
        <v>28.52916823000001</v>
      </c>
      <c r="P45" s="31">
        <f t="shared" si="2"/>
        <v>-5.4077421199999804</v>
      </c>
      <c r="Q45" s="31">
        <f t="shared" si="3"/>
        <v>8.8160812189222497</v>
      </c>
      <c r="R45" s="31">
        <f t="shared" si="3"/>
        <v>16.73495312907815</v>
      </c>
      <c r="S45" s="33">
        <f t="shared" si="3"/>
        <v>-5.8915773690441995</v>
      </c>
    </row>
    <row r="46" spans="1:24" x14ac:dyDescent="0.25">
      <c r="A46" s="237" t="s">
        <v>45</v>
      </c>
      <c r="B46" s="31">
        <v>10.40724691</v>
      </c>
      <c r="C46" s="31">
        <v>0.86233150000000003</v>
      </c>
      <c r="D46" s="48">
        <v>9.5449154099999998</v>
      </c>
      <c r="E46" s="31"/>
      <c r="F46" s="31"/>
      <c r="G46" s="31"/>
      <c r="H46" s="31">
        <v>22.228648969999998</v>
      </c>
      <c r="I46" s="31">
        <v>13.685947949999999</v>
      </c>
      <c r="J46" s="48">
        <v>8.5427010199999991</v>
      </c>
      <c r="K46" s="31">
        <v>9.1900785500000008</v>
      </c>
      <c r="L46" s="31">
        <v>5.9170970000000003E-2</v>
      </c>
      <c r="M46" s="31">
        <v>6.1365095099999998</v>
      </c>
      <c r="N46" s="31">
        <f t="shared" si="2"/>
        <v>11.821402059999999</v>
      </c>
      <c r="O46" s="31">
        <f t="shared" si="2"/>
        <v>12.823616449999999</v>
      </c>
      <c r="P46" s="31">
        <f t="shared" si="2"/>
        <v>-1.0022143900000007</v>
      </c>
      <c r="Q46" s="31">
        <f t="shared" si="3"/>
        <v>113.58817718297027</v>
      </c>
      <c r="R46" s="31">
        <f t="shared" si="3"/>
        <v>1487.0866308374448</v>
      </c>
      <c r="S46" s="33">
        <f t="shared" si="3"/>
        <v>-10.499981895596505</v>
      </c>
    </row>
    <row r="47" spans="1:24" s="241" customFormat="1" ht="26.4" x14ac:dyDescent="0.25">
      <c r="A47" s="237" t="s">
        <v>47</v>
      </c>
      <c r="B47" s="31">
        <v>0</v>
      </c>
      <c r="C47" s="31">
        <v>0</v>
      </c>
      <c r="D47" s="31">
        <v>0</v>
      </c>
      <c r="E47" s="31"/>
      <c r="F47" s="31"/>
      <c r="G47" s="31"/>
      <c r="H47" s="31">
        <v>0</v>
      </c>
      <c r="I47" s="31">
        <v>0</v>
      </c>
      <c r="J47" s="31">
        <v>0</v>
      </c>
      <c r="K47" s="31"/>
      <c r="L47" s="31"/>
      <c r="M47" s="31"/>
      <c r="N47" s="31">
        <f>H47-B47</f>
        <v>0</v>
      </c>
      <c r="O47" s="31">
        <f t="shared" si="2"/>
        <v>0</v>
      </c>
      <c r="P47" s="31">
        <f t="shared" si="2"/>
        <v>0</v>
      </c>
      <c r="Q47" s="49" t="s">
        <v>31</v>
      </c>
      <c r="R47" s="49" t="s">
        <v>31</v>
      </c>
      <c r="S47" s="46" t="s">
        <v>31</v>
      </c>
      <c r="T47" s="323"/>
      <c r="U47" s="323"/>
      <c r="V47" s="323"/>
      <c r="W47" s="323"/>
      <c r="X47" s="323"/>
    </row>
    <row r="48" spans="1:24" s="39" customFormat="1" x14ac:dyDescent="0.25">
      <c r="A48" s="34" t="s">
        <v>48</v>
      </c>
      <c r="B48" s="35">
        <v>7848.0260594499996</v>
      </c>
      <c r="C48" s="35">
        <v>7914.8195815299996</v>
      </c>
      <c r="D48" s="35">
        <v>10065.525982360001</v>
      </c>
      <c r="E48" s="35"/>
      <c r="F48" s="35"/>
      <c r="G48" s="35"/>
      <c r="H48" s="35">
        <v>9142.4860999899993</v>
      </c>
      <c r="I48" s="35">
        <v>9223.6969439799996</v>
      </c>
      <c r="J48" s="35">
        <v>11197.26653425</v>
      </c>
      <c r="K48" s="35">
        <v>8506.432424229999</v>
      </c>
      <c r="L48" s="35">
        <v>12966.188553549999</v>
      </c>
      <c r="M48" s="35">
        <v>2981.7611813899998</v>
      </c>
      <c r="N48" s="35">
        <f t="shared" si="2"/>
        <v>1294.4600405399997</v>
      </c>
      <c r="O48" s="35">
        <f t="shared" si="2"/>
        <v>1308.87736245</v>
      </c>
      <c r="P48" s="35">
        <f t="shared" si="2"/>
        <v>1131.7405518899996</v>
      </c>
      <c r="Q48" s="35">
        <f t="shared" si="3"/>
        <v>16.494084381655554</v>
      </c>
      <c r="R48" s="35">
        <f t="shared" si="3"/>
        <v>16.537046093942465</v>
      </c>
      <c r="S48" s="36">
        <f t="shared" si="3"/>
        <v>11.243729874359218</v>
      </c>
      <c r="T48" s="59"/>
      <c r="U48" s="59"/>
      <c r="V48" s="59"/>
      <c r="W48" s="59"/>
      <c r="X48" s="59"/>
    </row>
    <row r="49" spans="1:24" x14ac:dyDescent="0.25">
      <c r="A49" s="40" t="s">
        <v>50</v>
      </c>
      <c r="B49" s="31">
        <v>7721.4301385500003</v>
      </c>
      <c r="C49" s="31">
        <v>7721.4297055100005</v>
      </c>
      <c r="D49" s="31">
        <v>10132.319937479997</v>
      </c>
      <c r="E49" s="31"/>
      <c r="F49" s="31"/>
      <c r="G49" s="31"/>
      <c r="H49" s="31">
        <v>9110.5274588100001</v>
      </c>
      <c r="I49" s="31">
        <v>9110.5274588100001</v>
      </c>
      <c r="J49" s="31">
        <v>11278.477378239999</v>
      </c>
      <c r="K49" s="31">
        <v>8687.6106230400001</v>
      </c>
      <c r="L49" s="31">
        <v>12848.836455930001</v>
      </c>
      <c r="M49" s="31">
        <v>3012.5910873499997</v>
      </c>
      <c r="N49" s="31">
        <f t="shared" si="2"/>
        <v>1389.0973202599998</v>
      </c>
      <c r="O49" s="31">
        <f t="shared" si="2"/>
        <v>1389.0977532999996</v>
      </c>
      <c r="P49" s="31">
        <f>J49-D49</f>
        <v>1146.1574407600019</v>
      </c>
      <c r="Q49" s="31">
        <f t="shared" si="3"/>
        <v>17.990155908097833</v>
      </c>
      <c r="R49" s="31">
        <f t="shared" si="3"/>
        <v>17.990162525325346</v>
      </c>
      <c r="S49" s="33">
        <f t="shared" si="3"/>
        <v>11.311895477365496</v>
      </c>
    </row>
    <row r="50" spans="1:24" ht="26.4" x14ac:dyDescent="0.25">
      <c r="A50" s="40" t="s">
        <v>51</v>
      </c>
      <c r="B50" s="31">
        <v>77.512273680000007</v>
      </c>
      <c r="C50" s="31">
        <v>77.512273680000007</v>
      </c>
      <c r="D50" s="31">
        <v>0</v>
      </c>
      <c r="E50" s="31"/>
      <c r="F50" s="31"/>
      <c r="G50" s="31"/>
      <c r="H50" s="31">
        <v>38.493000000000002</v>
      </c>
      <c r="I50" s="31">
        <v>38.493000000000002</v>
      </c>
      <c r="J50" s="31">
        <v>0</v>
      </c>
      <c r="K50" s="31">
        <v>1.67136</v>
      </c>
      <c r="L50" s="31">
        <v>0</v>
      </c>
      <c r="M50" s="31">
        <v>7.9000000000000001E-2</v>
      </c>
      <c r="N50" s="31">
        <f t="shared" si="2"/>
        <v>-39.019273680000005</v>
      </c>
      <c r="O50" s="31">
        <f t="shared" si="2"/>
        <v>-39.019273680000005</v>
      </c>
      <c r="P50" s="31">
        <f t="shared" si="2"/>
        <v>0</v>
      </c>
      <c r="Q50" s="31">
        <f t="shared" si="3"/>
        <v>-50.339477643355337</v>
      </c>
      <c r="R50" s="31">
        <f t="shared" si="3"/>
        <v>-50.339477643355337</v>
      </c>
      <c r="S50" s="46" t="s">
        <v>31</v>
      </c>
    </row>
    <row r="51" spans="1:24" s="66" customFormat="1" ht="26.4" x14ac:dyDescent="0.25">
      <c r="A51" s="40" t="s">
        <v>52</v>
      </c>
      <c r="B51" s="32">
        <v>2.4929784500000003</v>
      </c>
      <c r="C51" s="32">
        <v>0.755</v>
      </c>
      <c r="D51" s="32">
        <v>1.73797845</v>
      </c>
      <c r="E51" s="32"/>
      <c r="F51" s="32"/>
      <c r="G51" s="32"/>
      <c r="H51" s="32">
        <v>1.074808</v>
      </c>
      <c r="I51" s="32">
        <v>9.5000000000000001E-2</v>
      </c>
      <c r="J51" s="32">
        <v>0.97980800000000001</v>
      </c>
      <c r="K51" s="32">
        <v>0</v>
      </c>
      <c r="L51" s="32">
        <v>106.58834899999999</v>
      </c>
      <c r="M51" s="32">
        <v>0.11899999999999999</v>
      </c>
      <c r="N51" s="31">
        <f t="shared" si="2"/>
        <v>-1.4181704500000003</v>
      </c>
      <c r="O51" s="31">
        <f t="shared" si="2"/>
        <v>-0.66</v>
      </c>
      <c r="P51" s="31">
        <f t="shared" si="2"/>
        <v>-0.75817044999999994</v>
      </c>
      <c r="Q51" s="31">
        <f t="shared" si="3"/>
        <v>-56.886590816699602</v>
      </c>
      <c r="R51" s="31">
        <f t="shared" si="3"/>
        <v>-87.41721854304636</v>
      </c>
      <c r="S51" s="33">
        <f t="shared" si="3"/>
        <v>-43.623696830072888</v>
      </c>
      <c r="T51" s="194"/>
      <c r="U51" s="194"/>
      <c r="V51" s="194"/>
      <c r="W51" s="194"/>
      <c r="X51" s="194"/>
    </row>
    <row r="52" spans="1:24" x14ac:dyDescent="0.25">
      <c r="A52" s="40" t="s">
        <v>53</v>
      </c>
      <c r="B52" s="31">
        <v>70.045782760000009</v>
      </c>
      <c r="C52" s="31">
        <v>45</v>
      </c>
      <c r="D52" s="31">
        <v>25.045782760000002</v>
      </c>
      <c r="E52" s="31"/>
      <c r="F52" s="31"/>
      <c r="G52" s="31"/>
      <c r="H52" s="31">
        <v>32.77382618</v>
      </c>
      <c r="I52" s="31">
        <v>3.4173893099999999</v>
      </c>
      <c r="J52" s="31">
        <v>29.35643687</v>
      </c>
      <c r="K52" s="31">
        <v>4.9307575999999997</v>
      </c>
      <c r="L52" s="31">
        <v>8.9747444999999999</v>
      </c>
      <c r="M52" s="31">
        <v>8.1271741199999994</v>
      </c>
      <c r="N52" s="31">
        <f t="shared" si="2"/>
        <v>-37.271956580000008</v>
      </c>
      <c r="O52" s="31">
        <f t="shared" si="2"/>
        <v>-41.582610690000003</v>
      </c>
      <c r="P52" s="31">
        <f t="shared" si="2"/>
        <v>4.310654109999998</v>
      </c>
      <c r="Q52" s="31">
        <f t="shared" si="3"/>
        <v>-53.210850263043021</v>
      </c>
      <c r="R52" s="31">
        <f t="shared" si="3"/>
        <v>-92.405801533333332</v>
      </c>
      <c r="S52" s="33">
        <f t="shared" si="3"/>
        <v>17.211097578009969</v>
      </c>
    </row>
    <row r="53" spans="1:24" ht="26.4" x14ac:dyDescent="0.25">
      <c r="A53" s="40" t="s">
        <v>55</v>
      </c>
      <c r="B53" s="31">
        <v>22.69387996</v>
      </c>
      <c r="C53" s="31">
        <v>116.27159629000001</v>
      </c>
      <c r="D53" s="31">
        <v>4.8932956999999995</v>
      </c>
      <c r="E53" s="31"/>
      <c r="F53" s="31"/>
      <c r="G53" s="31"/>
      <c r="H53" s="31">
        <v>15.3814741</v>
      </c>
      <c r="I53" s="31">
        <v>126.92856295999999</v>
      </c>
      <c r="J53" s="31">
        <v>10.810894960000001</v>
      </c>
      <c r="K53" s="31">
        <v>9.4423191400000004</v>
      </c>
      <c r="L53" s="31">
        <v>55.314676720000001</v>
      </c>
      <c r="M53" s="31">
        <v>14.08613109</v>
      </c>
      <c r="N53" s="31">
        <f t="shared" si="2"/>
        <v>-7.3124058600000001</v>
      </c>
      <c r="O53" s="31">
        <f t="shared" si="2"/>
        <v>10.656966669999989</v>
      </c>
      <c r="P53" s="31">
        <f t="shared" si="2"/>
        <v>5.9175992600000011</v>
      </c>
      <c r="Q53" s="31">
        <f t="shared" si="3"/>
        <v>-32.221928876370058</v>
      </c>
      <c r="R53" s="31">
        <f t="shared" si="3"/>
        <v>9.1655804255235296</v>
      </c>
      <c r="S53" s="33">
        <f t="shared" si="3"/>
        <v>120.93279504853962</v>
      </c>
    </row>
    <row r="54" spans="1:24" x14ac:dyDescent="0.25">
      <c r="A54" s="40" t="s">
        <v>56</v>
      </c>
      <c r="B54" s="31">
        <v>-46.148993950000005</v>
      </c>
      <c r="C54" s="31">
        <v>-46.148993950000005</v>
      </c>
      <c r="D54" s="31">
        <v>-98.471012029999997</v>
      </c>
      <c r="E54" s="31"/>
      <c r="F54" s="31"/>
      <c r="G54" s="31"/>
      <c r="H54" s="31">
        <v>-55.764467100000005</v>
      </c>
      <c r="I54" s="31">
        <v>-55.764467100000005</v>
      </c>
      <c r="J54" s="31">
        <v>-122.35798382</v>
      </c>
      <c r="K54" s="31">
        <v>-197.22263555000001</v>
      </c>
      <c r="L54" s="31">
        <v>-53.5256726</v>
      </c>
      <c r="M54" s="31">
        <v>-53.24121117</v>
      </c>
      <c r="N54" s="31">
        <f t="shared" si="2"/>
        <v>-9.6154731499999997</v>
      </c>
      <c r="O54" s="31">
        <f t="shared" si="2"/>
        <v>-9.6154731499999997</v>
      </c>
      <c r="P54" s="31">
        <f t="shared" si="2"/>
        <v>-23.886971790000004</v>
      </c>
      <c r="Q54" s="31">
        <f t="shared" si="3"/>
        <v>20.835715639690548</v>
      </c>
      <c r="R54" s="31">
        <f t="shared" si="3"/>
        <v>20.835715639690548</v>
      </c>
      <c r="S54" s="33">
        <f t="shared" si="3"/>
        <v>24.257871730537971</v>
      </c>
    </row>
    <row r="55" spans="1:24" s="39" customFormat="1" x14ac:dyDescent="0.25">
      <c r="A55" s="242" t="s">
        <v>245</v>
      </c>
      <c r="B55" s="243">
        <f t="shared" ref="B55:P55" si="23">B48+B10</f>
        <v>38161.028595709999</v>
      </c>
      <c r="C55" s="243">
        <f t="shared" si="23"/>
        <v>32172.345083149998</v>
      </c>
      <c r="D55" s="243">
        <f t="shared" si="23"/>
        <v>16121.003016999999</v>
      </c>
      <c r="E55" s="243">
        <f t="shared" si="23"/>
        <v>0</v>
      </c>
      <c r="F55" s="243">
        <f t="shared" si="23"/>
        <v>0</v>
      </c>
      <c r="G55" s="243">
        <f t="shared" si="23"/>
        <v>0</v>
      </c>
      <c r="H55" s="243">
        <f t="shared" si="23"/>
        <v>44184.464047720001</v>
      </c>
      <c r="I55" s="243">
        <f t="shared" si="23"/>
        <v>37681.495846599995</v>
      </c>
      <c r="J55" s="243">
        <f t="shared" si="23"/>
        <v>17781.445579359999</v>
      </c>
      <c r="K55" s="243">
        <f t="shared" si="23"/>
        <v>18047.763029440001</v>
      </c>
      <c r="L55" s="243">
        <f t="shared" si="23"/>
        <v>15144.476821979999</v>
      </c>
      <c r="M55" s="243">
        <f t="shared" si="23"/>
        <v>4194.2491358299994</v>
      </c>
      <c r="N55" s="243">
        <f t="shared" si="23"/>
        <v>6023.4354520100042</v>
      </c>
      <c r="O55" s="243">
        <f t="shared" si="23"/>
        <v>5509.1507634499985</v>
      </c>
      <c r="P55" s="243">
        <f t="shared" si="23"/>
        <v>1660.4425623600009</v>
      </c>
      <c r="Q55" s="243">
        <f t="shared" si="3"/>
        <v>15.784258636799819</v>
      </c>
      <c r="R55" s="243">
        <f t="shared" si="3"/>
        <v>17.12387066970561</v>
      </c>
      <c r="S55" s="244">
        <f t="shared" si="3"/>
        <v>10.299871295905248</v>
      </c>
      <c r="T55" s="59"/>
      <c r="U55" s="59"/>
      <c r="V55" s="59"/>
      <c r="W55" s="59"/>
      <c r="X55" s="59"/>
    </row>
    <row r="56" spans="1:24" s="39" customFormat="1" x14ac:dyDescent="0.25">
      <c r="A56" s="242" t="s">
        <v>58</v>
      </c>
      <c r="B56" s="243">
        <f t="shared" ref="B56:P56" si="24">+B11+B12+B13+B21+B26+B31+B33+B34</f>
        <v>28684.589367659999</v>
      </c>
      <c r="C56" s="243">
        <f t="shared" si="24"/>
        <v>23670.510765420004</v>
      </c>
      <c r="D56" s="243">
        <f t="shared" si="24"/>
        <v>5014.0786022399998</v>
      </c>
      <c r="E56" s="243">
        <f t="shared" si="24"/>
        <v>0</v>
      </c>
      <c r="F56" s="243">
        <f t="shared" si="24"/>
        <v>0</v>
      </c>
      <c r="G56" s="243">
        <f t="shared" si="24"/>
        <v>0</v>
      </c>
      <c r="H56" s="243">
        <f t="shared" si="24"/>
        <v>33196.387760080004</v>
      </c>
      <c r="I56" s="243">
        <f t="shared" si="24"/>
        <v>27709.247618240002</v>
      </c>
      <c r="J56" s="243">
        <f t="shared" si="24"/>
        <v>5487.140141840001</v>
      </c>
      <c r="K56" s="243">
        <f t="shared" si="24"/>
        <v>7613.9880713199991</v>
      </c>
      <c r="L56" s="243">
        <f t="shared" si="24"/>
        <v>1761.1656199300003</v>
      </c>
      <c r="M56" s="243">
        <f t="shared" si="24"/>
        <v>914.60900569</v>
      </c>
      <c r="N56" s="243">
        <f t="shared" si="24"/>
        <v>4511.7983924199998</v>
      </c>
      <c r="O56" s="243">
        <f t="shared" si="24"/>
        <v>4038.7368528199995</v>
      </c>
      <c r="P56" s="243">
        <f t="shared" si="24"/>
        <v>473.0615396000004</v>
      </c>
      <c r="Q56" s="243">
        <f t="shared" ref="Q56:S57" si="25">H56/B56%-100</f>
        <v>15.72899766697293</v>
      </c>
      <c r="R56" s="243">
        <f t="shared" si="25"/>
        <v>17.062313918126961</v>
      </c>
      <c r="S56" s="244">
        <f t="shared" si="25"/>
        <v>9.4346654116803137</v>
      </c>
      <c r="T56" s="59"/>
      <c r="U56" s="59"/>
      <c r="V56" s="59"/>
      <c r="W56" s="59"/>
      <c r="X56" s="59"/>
    </row>
    <row r="57" spans="1:24" s="39" customFormat="1" x14ac:dyDescent="0.25">
      <c r="A57" s="242" t="s">
        <v>59</v>
      </c>
      <c r="B57" s="243">
        <f>+B35+B36+B40+B43+B44+B45+B46+B47</f>
        <v>1628.4131686000003</v>
      </c>
      <c r="C57" s="243">
        <f t="shared" ref="C57:P57" si="26">+C35+C36+C40+C43+C44+C45+C46+C47</f>
        <v>587.01473620000002</v>
      </c>
      <c r="D57" s="243">
        <f t="shared" si="26"/>
        <v>1041.3984323999998</v>
      </c>
      <c r="E57" s="243">
        <f t="shared" si="26"/>
        <v>0</v>
      </c>
      <c r="F57" s="243">
        <f t="shared" si="26"/>
        <v>0</v>
      </c>
      <c r="G57" s="243">
        <f t="shared" si="26"/>
        <v>0</v>
      </c>
      <c r="H57" s="243">
        <f>+H35+H36+H40+H43+H44+H45+H46+H47</f>
        <v>1845.5901876500002</v>
      </c>
      <c r="I57" s="243">
        <f t="shared" si="26"/>
        <v>748.55128437999997</v>
      </c>
      <c r="J57" s="243">
        <f t="shared" si="26"/>
        <v>1097.03890327</v>
      </c>
      <c r="K57" s="243">
        <f t="shared" si="26"/>
        <v>1927.3425338900001</v>
      </c>
      <c r="L57" s="243">
        <f t="shared" si="26"/>
        <v>417.12264849999997</v>
      </c>
      <c r="M57" s="243">
        <f t="shared" si="26"/>
        <v>297.87894875000001</v>
      </c>
      <c r="N57" s="243">
        <f t="shared" si="26"/>
        <v>217.17701904999996</v>
      </c>
      <c r="O57" s="243">
        <f t="shared" si="26"/>
        <v>161.53654817999998</v>
      </c>
      <c r="P57" s="243">
        <f t="shared" si="26"/>
        <v>55.640470870000051</v>
      </c>
      <c r="Q57" s="243">
        <f>H57/B57%-100</f>
        <v>13.336727019759621</v>
      </c>
      <c r="R57" s="243">
        <f t="shared" si="25"/>
        <v>27.518312270266989</v>
      </c>
      <c r="S57" s="244">
        <f>J57/D57%-100</f>
        <v>5.3428610163903869</v>
      </c>
      <c r="T57" s="59"/>
      <c r="U57" s="59"/>
      <c r="V57" s="59"/>
      <c r="W57" s="59"/>
      <c r="X57" s="59"/>
    </row>
    <row r="58" spans="1:24" s="1" customFormat="1" x14ac:dyDescent="0.25">
      <c r="A58" s="227" t="s">
        <v>65</v>
      </c>
      <c r="B58" s="55"/>
      <c r="C58" s="55"/>
      <c r="D58" s="55"/>
      <c r="E58" s="55"/>
      <c r="F58" s="55"/>
      <c r="G58" s="55"/>
      <c r="H58" s="55"/>
      <c r="I58" s="55"/>
      <c r="J58" s="55"/>
      <c r="K58" s="55"/>
      <c r="L58" s="55"/>
      <c r="M58" s="55"/>
      <c r="N58" s="55"/>
      <c r="O58" s="55"/>
      <c r="P58" s="55"/>
      <c r="Q58" s="55"/>
      <c r="R58" s="55"/>
      <c r="S58" s="252"/>
      <c r="T58" s="7"/>
      <c r="U58" s="7"/>
      <c r="V58" s="7"/>
      <c r="W58" s="7"/>
      <c r="X58" s="7"/>
    </row>
    <row r="59" spans="1:24" x14ac:dyDescent="0.25">
      <c r="A59" s="91" t="s">
        <v>246</v>
      </c>
      <c r="B59" s="35">
        <v>2347.5143720200003</v>
      </c>
      <c r="C59" s="35">
        <v>917.57874859000003</v>
      </c>
      <c r="D59" s="35">
        <v>1467.0472574400001</v>
      </c>
      <c r="E59" s="35"/>
      <c r="F59" s="35"/>
      <c r="G59" s="35"/>
      <c r="H59" s="35">
        <v>2591.1712588</v>
      </c>
      <c r="I59" s="35">
        <v>1051.67277423</v>
      </c>
      <c r="J59" s="35">
        <v>1573.0856087100001</v>
      </c>
      <c r="K59" s="35"/>
      <c r="L59" s="35"/>
      <c r="M59" s="35"/>
      <c r="N59" s="35">
        <f t="shared" ref="N59:P82" si="27">H59-B59</f>
        <v>243.6568867799997</v>
      </c>
      <c r="O59" s="35">
        <f t="shared" si="27"/>
        <v>134.09402563999993</v>
      </c>
      <c r="P59" s="35">
        <f t="shared" si="27"/>
        <v>106.03835127000002</v>
      </c>
      <c r="Q59" s="35">
        <f t="shared" ref="Q59:S82" si="28">H59/B59%-100</f>
        <v>10.379356551940376</v>
      </c>
      <c r="R59" s="35">
        <f t="shared" si="28"/>
        <v>14.613898354343519</v>
      </c>
      <c r="S59" s="36">
        <f t="shared" si="28"/>
        <v>7.2280119629572823</v>
      </c>
    </row>
    <row r="60" spans="1:24" ht="26.4" x14ac:dyDescent="0.25">
      <c r="A60" s="245" t="s">
        <v>247</v>
      </c>
      <c r="B60" s="31">
        <v>74.067979730000005</v>
      </c>
      <c r="C60" s="31">
        <v>2.4432685800000002</v>
      </c>
      <c r="D60" s="31">
        <v>71.62471115000001</v>
      </c>
      <c r="E60" s="31"/>
      <c r="F60" s="31"/>
      <c r="G60" s="31"/>
      <c r="H60" s="31">
        <v>78.137194180000009</v>
      </c>
      <c r="I60" s="31">
        <v>3.2645818499999999</v>
      </c>
      <c r="J60" s="31">
        <v>74.872612329999995</v>
      </c>
      <c r="K60" s="31"/>
      <c r="L60" s="31"/>
      <c r="M60" s="31"/>
      <c r="N60" s="31">
        <f t="shared" si="27"/>
        <v>4.069214450000004</v>
      </c>
      <c r="O60" s="31">
        <f t="shared" si="27"/>
        <v>0.82131326999999965</v>
      </c>
      <c r="P60" s="31">
        <f t="shared" si="27"/>
        <v>3.2479011799999853</v>
      </c>
      <c r="Q60" s="31">
        <f t="shared" si="28"/>
        <v>5.4938915099797754</v>
      </c>
      <c r="R60" s="31">
        <f t="shared" si="28"/>
        <v>33.615349402152077</v>
      </c>
      <c r="S60" s="33">
        <f t="shared" si="28"/>
        <v>4.5346098125241667</v>
      </c>
    </row>
    <row r="61" spans="1:24" ht="52.8" x14ac:dyDescent="0.25">
      <c r="A61" s="245" t="s">
        <v>248</v>
      </c>
      <c r="B61" s="31">
        <v>165.63964759000001</v>
      </c>
      <c r="C61" s="31">
        <v>94.98014993000001</v>
      </c>
      <c r="D61" s="31">
        <v>70.666880579999997</v>
      </c>
      <c r="E61" s="31"/>
      <c r="F61" s="31"/>
      <c r="G61" s="31"/>
      <c r="H61" s="31">
        <v>160.48192761000001</v>
      </c>
      <c r="I61" s="31">
        <v>91.504526010000006</v>
      </c>
      <c r="J61" s="31">
        <f>68.98406379-J62</f>
        <v>68.983563789999991</v>
      </c>
      <c r="K61" s="31"/>
      <c r="L61" s="31"/>
      <c r="M61" s="31"/>
      <c r="N61" s="31">
        <f t="shared" si="27"/>
        <v>-5.157719979999996</v>
      </c>
      <c r="O61" s="31">
        <f t="shared" si="27"/>
        <v>-3.4756239200000039</v>
      </c>
      <c r="P61" s="31">
        <f t="shared" si="27"/>
        <v>-1.6833167900000063</v>
      </c>
      <c r="Q61" s="31">
        <f t="shared" si="28"/>
        <v>-3.113819701407877</v>
      </c>
      <c r="R61" s="31">
        <f t="shared" si="28"/>
        <v>-3.6593161019029026</v>
      </c>
      <c r="S61" s="33">
        <f t="shared" si="28"/>
        <v>-2.38204485069123</v>
      </c>
    </row>
    <row r="62" spans="1:24" s="250" customFormat="1" hidden="1" x14ac:dyDescent="0.25">
      <c r="A62" s="247" t="s">
        <v>320</v>
      </c>
      <c r="B62" s="248"/>
      <c r="C62" s="248"/>
      <c r="D62" s="248"/>
      <c r="E62" s="248"/>
      <c r="F62" s="248"/>
      <c r="G62" s="248"/>
      <c r="H62" s="248">
        <v>0</v>
      </c>
      <c r="I62" s="248">
        <v>6.1621899999999997E-3</v>
      </c>
      <c r="J62" s="248">
        <v>5.0000000000000001E-4</v>
      </c>
      <c r="K62" s="248"/>
      <c r="L62" s="248"/>
      <c r="M62" s="248"/>
      <c r="N62" s="248"/>
      <c r="O62" s="248"/>
      <c r="P62" s="248"/>
      <c r="Q62" s="248"/>
      <c r="R62" s="248"/>
      <c r="S62" s="249"/>
      <c r="T62" s="324"/>
      <c r="U62" s="324"/>
      <c r="V62" s="324"/>
      <c r="W62" s="324"/>
      <c r="X62" s="324"/>
    </row>
    <row r="63" spans="1:24" ht="39.6" x14ac:dyDescent="0.25">
      <c r="A63" s="245" t="s">
        <v>249</v>
      </c>
      <c r="B63" s="31">
        <v>874.35710847000007</v>
      </c>
      <c r="C63" s="31">
        <v>156.45786335</v>
      </c>
      <c r="D63" s="31">
        <v>746.11391820999995</v>
      </c>
      <c r="E63" s="31"/>
      <c r="F63" s="31"/>
      <c r="G63" s="31"/>
      <c r="H63" s="31">
        <v>938.33319816999995</v>
      </c>
      <c r="I63" s="31">
        <v>180.16958438</v>
      </c>
      <c r="J63" s="31">
        <f>798.09467007-J64</f>
        <v>788.10638239000002</v>
      </c>
      <c r="K63" s="31"/>
      <c r="L63" s="31"/>
      <c r="M63" s="31"/>
      <c r="N63" s="31">
        <f t="shared" si="27"/>
        <v>63.976089699999875</v>
      </c>
      <c r="O63" s="31">
        <f t="shared" si="27"/>
        <v>23.711721030000007</v>
      </c>
      <c r="P63" s="31">
        <f t="shared" si="27"/>
        <v>41.99246418000007</v>
      </c>
      <c r="Q63" s="31">
        <f t="shared" si="28"/>
        <v>7.3169290991353506</v>
      </c>
      <c r="R63" s="31">
        <f t="shared" si="28"/>
        <v>15.155339924945991</v>
      </c>
      <c r="S63" s="33">
        <f t="shared" si="28"/>
        <v>5.6281571962555148</v>
      </c>
    </row>
    <row r="64" spans="1:24" s="64" customFormat="1" hidden="1" x14ac:dyDescent="0.25">
      <c r="A64" s="251" t="s">
        <v>320</v>
      </c>
      <c r="B64" s="55"/>
      <c r="C64" s="55"/>
      <c r="D64" s="55"/>
      <c r="E64" s="55"/>
      <c r="F64" s="55"/>
      <c r="G64" s="55"/>
      <c r="H64" s="55">
        <v>6.0749999999999998E-2</v>
      </c>
      <c r="I64" s="55">
        <v>30.003518600000003</v>
      </c>
      <c r="J64" s="55">
        <v>9.9882876799999991</v>
      </c>
      <c r="K64" s="55"/>
      <c r="L64" s="55"/>
      <c r="M64" s="55"/>
      <c r="N64" s="55"/>
      <c r="O64" s="55"/>
      <c r="P64" s="55"/>
      <c r="Q64" s="55"/>
      <c r="R64" s="55"/>
      <c r="S64" s="252"/>
      <c r="T64" s="63"/>
      <c r="U64" s="63"/>
      <c r="V64" s="63"/>
      <c r="W64" s="63"/>
      <c r="X64" s="63"/>
    </row>
    <row r="65" spans="1:24" x14ac:dyDescent="0.25">
      <c r="A65" s="245" t="s">
        <v>250</v>
      </c>
      <c r="B65" s="31">
        <v>137.67271511000001</v>
      </c>
      <c r="C65" s="31">
        <v>137.67271511000001</v>
      </c>
      <c r="D65" s="31">
        <v>0</v>
      </c>
      <c r="E65" s="31"/>
      <c r="F65" s="31"/>
      <c r="G65" s="31"/>
      <c r="H65" s="31">
        <v>149.72192888999999</v>
      </c>
      <c r="I65" s="31">
        <v>149.72192888999999</v>
      </c>
      <c r="J65" s="31">
        <v>3.5978433500000002</v>
      </c>
      <c r="K65" s="31"/>
      <c r="L65" s="31"/>
      <c r="M65" s="31"/>
      <c r="N65" s="31">
        <f t="shared" si="27"/>
        <v>12.049213779999974</v>
      </c>
      <c r="O65" s="31">
        <f t="shared" si="27"/>
        <v>12.049213779999974</v>
      </c>
      <c r="P65" s="31">
        <f t="shared" si="27"/>
        <v>3.5978433500000002</v>
      </c>
      <c r="Q65" s="31">
        <f t="shared" si="28"/>
        <v>8.7520710043182532</v>
      </c>
      <c r="R65" s="31">
        <f t="shared" si="28"/>
        <v>8.7520710043182532</v>
      </c>
      <c r="S65" s="46" t="s">
        <v>31</v>
      </c>
    </row>
    <row r="66" spans="1:24" ht="39.6" x14ac:dyDescent="0.25">
      <c r="A66" s="245" t="s">
        <v>251</v>
      </c>
      <c r="B66" s="31">
        <v>213.98664847999999</v>
      </c>
      <c r="C66" s="31">
        <v>68.423507150000006</v>
      </c>
      <c r="D66" s="31">
        <v>145.56314133000001</v>
      </c>
      <c r="E66" s="31"/>
      <c r="F66" s="31"/>
      <c r="G66" s="31"/>
      <c r="H66" s="31">
        <v>232.45033883000002</v>
      </c>
      <c r="I66" s="31">
        <v>77.247468830000003</v>
      </c>
      <c r="J66" s="31">
        <f>158.87068533-J67</f>
        <v>155.18921999999998</v>
      </c>
      <c r="K66" s="31"/>
      <c r="L66" s="31"/>
      <c r="M66" s="31"/>
      <c r="N66" s="31">
        <f t="shared" si="27"/>
        <v>18.463690350000036</v>
      </c>
      <c r="O66" s="31">
        <f t="shared" si="27"/>
        <v>8.8239616799999965</v>
      </c>
      <c r="P66" s="31">
        <f t="shared" si="27"/>
        <v>9.6260786699999699</v>
      </c>
      <c r="Q66" s="31">
        <f t="shared" si="28"/>
        <v>8.628431017146255</v>
      </c>
      <c r="R66" s="31">
        <f t="shared" si="28"/>
        <v>12.89609674735884</v>
      </c>
      <c r="S66" s="33">
        <f t="shared" si="28"/>
        <v>6.6129918481060344</v>
      </c>
    </row>
    <row r="67" spans="1:24" s="64" customFormat="1" hidden="1" x14ac:dyDescent="0.25">
      <c r="A67" s="251" t="s">
        <v>320</v>
      </c>
      <c r="B67" s="55"/>
      <c r="C67" s="55"/>
      <c r="D67" s="55"/>
      <c r="E67" s="55"/>
      <c r="F67" s="55"/>
      <c r="G67" s="55"/>
      <c r="H67" s="55">
        <v>1.3650000000000001E-2</v>
      </c>
      <c r="I67" s="55">
        <v>0</v>
      </c>
      <c r="J67" s="55">
        <v>3.68146533</v>
      </c>
      <c r="K67" s="55"/>
      <c r="L67" s="55"/>
      <c r="M67" s="55"/>
      <c r="N67" s="55"/>
      <c r="O67" s="55"/>
      <c r="P67" s="55"/>
      <c r="Q67" s="55"/>
      <c r="R67" s="55"/>
      <c r="S67" s="252"/>
      <c r="T67" s="63"/>
      <c r="U67" s="63"/>
      <c r="V67" s="63"/>
      <c r="W67" s="63"/>
      <c r="X67" s="63"/>
    </row>
    <row r="68" spans="1:24" ht="26.4" x14ac:dyDescent="0.25">
      <c r="A68" s="245" t="s">
        <v>252</v>
      </c>
      <c r="B68" s="31">
        <v>53.512639440000001</v>
      </c>
      <c r="C68" s="31">
        <v>27.942685230000002</v>
      </c>
      <c r="D68" s="31">
        <v>25.569954210000002</v>
      </c>
      <c r="E68" s="31"/>
      <c r="F68" s="31"/>
      <c r="G68" s="31"/>
      <c r="H68" s="31">
        <v>30.530161600000003</v>
      </c>
      <c r="I68" s="31">
        <v>19.82490486</v>
      </c>
      <c r="J68" s="31">
        <f>10.70525674-J69</f>
        <v>10.705256739999999</v>
      </c>
      <c r="K68" s="31"/>
      <c r="L68" s="31"/>
      <c r="M68" s="31"/>
      <c r="N68" s="31">
        <f t="shared" si="27"/>
        <v>-22.982477839999998</v>
      </c>
      <c r="O68" s="31">
        <f t="shared" si="27"/>
        <v>-8.117780370000002</v>
      </c>
      <c r="P68" s="31">
        <f t="shared" si="27"/>
        <v>-14.864697470000003</v>
      </c>
      <c r="Q68" s="31">
        <f t="shared" si="28"/>
        <v>-42.947756045127711</v>
      </c>
      <c r="R68" s="31">
        <f t="shared" si="28"/>
        <v>-29.051539976138514</v>
      </c>
      <c r="S68" s="33">
        <f t="shared" si="28"/>
        <v>-58.133453614815842</v>
      </c>
    </row>
    <row r="69" spans="1:24" s="64" customFormat="1" hidden="1" x14ac:dyDescent="0.25">
      <c r="A69" s="251" t="s">
        <v>320</v>
      </c>
      <c r="B69" s="55"/>
      <c r="C69" s="55"/>
      <c r="D69" s="55"/>
      <c r="E69" s="55"/>
      <c r="F69" s="55"/>
      <c r="G69" s="55"/>
      <c r="H69" s="55">
        <v>0</v>
      </c>
      <c r="I69" s="55">
        <v>0</v>
      </c>
      <c r="J69" s="55">
        <v>0</v>
      </c>
      <c r="K69" s="55"/>
      <c r="L69" s="55"/>
      <c r="M69" s="55"/>
      <c r="N69" s="55"/>
      <c r="O69" s="55"/>
      <c r="P69" s="55"/>
      <c r="Q69" s="31"/>
      <c r="R69" s="31"/>
      <c r="S69" s="33"/>
      <c r="T69" s="63"/>
      <c r="U69" s="63"/>
      <c r="V69" s="63"/>
      <c r="W69" s="63"/>
      <c r="X69" s="63"/>
    </row>
    <row r="70" spans="1:24" hidden="1" x14ac:dyDescent="0.25">
      <c r="A70" s="245" t="s">
        <v>253</v>
      </c>
      <c r="B70" s="31">
        <v>6.0000000000000001E-3</v>
      </c>
      <c r="C70" s="31">
        <v>0</v>
      </c>
      <c r="D70" s="31">
        <v>6.0000000000000001E-3</v>
      </c>
      <c r="E70" s="31"/>
      <c r="F70" s="31"/>
      <c r="G70" s="31"/>
      <c r="H70" s="31">
        <v>0</v>
      </c>
      <c r="I70" s="31">
        <v>0</v>
      </c>
      <c r="J70" s="31">
        <v>0</v>
      </c>
      <c r="K70" s="31"/>
      <c r="L70" s="31"/>
      <c r="M70" s="31"/>
      <c r="N70" s="31">
        <f t="shared" si="27"/>
        <v>-6.0000000000000001E-3</v>
      </c>
      <c r="O70" s="31">
        <f t="shared" si="27"/>
        <v>0</v>
      </c>
      <c r="P70" s="31">
        <f t="shared" si="27"/>
        <v>-6.0000000000000001E-3</v>
      </c>
      <c r="Q70" s="31">
        <f t="shared" ref="Q70:Q72" si="29">H70/B70%-100</f>
        <v>-100</v>
      </c>
      <c r="R70" s="49" t="s">
        <v>31</v>
      </c>
      <c r="S70" s="33">
        <f t="shared" ref="S70" si="30">J70/D70%-100</f>
        <v>-100</v>
      </c>
    </row>
    <row r="71" spans="1:24" s="64" customFormat="1" hidden="1" x14ac:dyDescent="0.25">
      <c r="A71" s="251" t="s">
        <v>320</v>
      </c>
      <c r="B71" s="55"/>
      <c r="C71" s="55"/>
      <c r="D71" s="55"/>
      <c r="E71" s="55"/>
      <c r="F71" s="55"/>
      <c r="G71" s="55"/>
      <c r="H71" s="55"/>
      <c r="I71" s="55"/>
      <c r="J71" s="55"/>
      <c r="K71" s="55"/>
      <c r="L71" s="55"/>
      <c r="M71" s="55"/>
      <c r="N71" s="55">
        <f t="shared" si="27"/>
        <v>0</v>
      </c>
      <c r="O71" s="55">
        <f t="shared" si="27"/>
        <v>0</v>
      </c>
      <c r="P71" s="55">
        <f t="shared" si="27"/>
        <v>0</v>
      </c>
      <c r="Q71" s="31"/>
      <c r="R71" s="31"/>
      <c r="S71" s="33"/>
      <c r="T71" s="63"/>
      <c r="U71" s="63"/>
      <c r="V71" s="63"/>
      <c r="W71" s="63"/>
      <c r="X71" s="63"/>
    </row>
    <row r="72" spans="1:24" ht="26.4" x14ac:dyDescent="0.25">
      <c r="A72" s="245" t="s">
        <v>254</v>
      </c>
      <c r="B72" s="31">
        <v>4.5</v>
      </c>
      <c r="C72" s="31">
        <v>4.5</v>
      </c>
      <c r="D72" s="31">
        <v>0</v>
      </c>
      <c r="E72" s="31"/>
      <c r="F72" s="31"/>
      <c r="G72" s="31"/>
      <c r="H72" s="31">
        <v>13.49</v>
      </c>
      <c r="I72" s="31">
        <v>13.49</v>
      </c>
      <c r="J72" s="31">
        <v>0</v>
      </c>
      <c r="K72" s="31"/>
      <c r="L72" s="31"/>
      <c r="M72" s="31"/>
      <c r="N72" s="31">
        <f t="shared" si="27"/>
        <v>8.99</v>
      </c>
      <c r="O72" s="31">
        <f t="shared" si="27"/>
        <v>8.99</v>
      </c>
      <c r="P72" s="31">
        <f t="shared" si="27"/>
        <v>0</v>
      </c>
      <c r="Q72" s="31">
        <f t="shared" si="29"/>
        <v>199.77777777777777</v>
      </c>
      <c r="R72" s="31">
        <f t="shared" ref="R72" si="31">I72/C72%-100</f>
        <v>199.77777777777777</v>
      </c>
      <c r="S72" s="46" t="s">
        <v>31</v>
      </c>
    </row>
    <row r="73" spans="1:24" x14ac:dyDescent="0.25">
      <c r="A73" s="245" t="s">
        <v>255</v>
      </c>
      <c r="B73" s="31">
        <v>823.7716332</v>
      </c>
      <c r="C73" s="31">
        <v>425.15855923999999</v>
      </c>
      <c r="D73" s="31">
        <v>407.50265195999998</v>
      </c>
      <c r="E73" s="31"/>
      <c r="F73" s="31"/>
      <c r="G73" s="31"/>
      <c r="H73" s="31">
        <v>988.02650951999999</v>
      </c>
      <c r="I73" s="31">
        <v>516.44977941000002</v>
      </c>
      <c r="J73" s="31">
        <f>479.01449003-J74</f>
        <v>471.63073011</v>
      </c>
      <c r="K73" s="31"/>
      <c r="L73" s="31"/>
      <c r="M73" s="31"/>
      <c r="N73" s="31">
        <f t="shared" si="27"/>
        <v>164.25487631999999</v>
      </c>
      <c r="O73" s="31">
        <f t="shared" si="27"/>
        <v>91.291220170000031</v>
      </c>
      <c r="P73" s="31">
        <f t="shared" si="27"/>
        <v>64.128078150000022</v>
      </c>
      <c r="Q73" s="31">
        <f t="shared" si="28"/>
        <v>19.93937029391752</v>
      </c>
      <c r="R73" s="31">
        <f t="shared" si="28"/>
        <v>21.472276209889642</v>
      </c>
      <c r="S73" s="33">
        <f t="shared" si="28"/>
        <v>15.736849279767327</v>
      </c>
    </row>
    <row r="74" spans="1:24" s="64" customFormat="1" hidden="1" x14ac:dyDescent="0.25">
      <c r="A74" s="251" t="s">
        <v>320</v>
      </c>
      <c r="B74" s="55"/>
      <c r="C74" s="55"/>
      <c r="D74" s="55"/>
      <c r="E74" s="55"/>
      <c r="F74" s="55"/>
      <c r="G74" s="55"/>
      <c r="H74" s="55">
        <v>0</v>
      </c>
      <c r="I74" s="55">
        <v>5.3999999999999999E-2</v>
      </c>
      <c r="J74" s="55">
        <v>7.3837599200000001</v>
      </c>
      <c r="K74" s="55"/>
      <c r="L74" s="55"/>
      <c r="M74" s="55"/>
      <c r="N74" s="55"/>
      <c r="O74" s="55"/>
      <c r="P74" s="55"/>
      <c r="Q74" s="55"/>
      <c r="R74" s="55"/>
      <c r="S74" s="252"/>
      <c r="T74" s="63"/>
      <c r="U74" s="63"/>
      <c r="V74" s="63"/>
      <c r="W74" s="63"/>
      <c r="X74" s="63"/>
    </row>
    <row r="75" spans="1:24" x14ac:dyDescent="0.25">
      <c r="A75" s="91" t="s">
        <v>256</v>
      </c>
      <c r="B75" s="35">
        <v>12.927462689999999</v>
      </c>
      <c r="C75" s="35">
        <v>14.077232039999998</v>
      </c>
      <c r="D75" s="35">
        <v>12.92746269</v>
      </c>
      <c r="E75" s="35"/>
      <c r="F75" s="35"/>
      <c r="G75" s="35"/>
      <c r="H75" s="35">
        <v>12.819518159999999</v>
      </c>
      <c r="I75" s="35">
        <v>14.12029094</v>
      </c>
      <c r="J75" s="35">
        <v>12.819518159999999</v>
      </c>
      <c r="K75" s="35"/>
      <c r="L75" s="35"/>
      <c r="M75" s="35"/>
      <c r="N75" s="35">
        <f t="shared" si="27"/>
        <v>-0.10794452999999926</v>
      </c>
      <c r="O75" s="35">
        <f t="shared" si="27"/>
        <v>4.3058900000001898E-2</v>
      </c>
      <c r="P75" s="35">
        <f t="shared" si="27"/>
        <v>-0.10794453000000104</v>
      </c>
      <c r="Q75" s="35">
        <f t="shared" si="28"/>
        <v>-0.83500167502707257</v>
      </c>
      <c r="R75" s="35">
        <f t="shared" si="28"/>
        <v>0.30587618274424244</v>
      </c>
      <c r="S75" s="36">
        <f t="shared" si="28"/>
        <v>-0.83500167502707257</v>
      </c>
    </row>
    <row r="76" spans="1:24" ht="26.4" x14ac:dyDescent="0.25">
      <c r="A76" s="245" t="s">
        <v>257</v>
      </c>
      <c r="B76" s="31">
        <v>12.927462689999999</v>
      </c>
      <c r="C76" s="31">
        <v>14.077232039999998</v>
      </c>
      <c r="D76" s="31">
        <v>12.92746269</v>
      </c>
      <c r="E76" s="31"/>
      <c r="F76" s="31"/>
      <c r="G76" s="31"/>
      <c r="H76" s="31">
        <v>12.819518159999999</v>
      </c>
      <c r="I76" s="31">
        <v>14.12029094</v>
      </c>
      <c r="J76" s="31">
        <f>24.44888043-J77</f>
        <v>12.819518159999999</v>
      </c>
      <c r="K76" s="31"/>
      <c r="L76" s="31"/>
      <c r="M76" s="31"/>
      <c r="N76" s="31">
        <f t="shared" si="27"/>
        <v>-0.10794452999999926</v>
      </c>
      <c r="O76" s="31">
        <f t="shared" si="27"/>
        <v>4.3058900000001898E-2</v>
      </c>
      <c r="P76" s="31">
        <f>J76-D76</f>
        <v>-0.10794453000000104</v>
      </c>
      <c r="Q76" s="31">
        <f t="shared" si="28"/>
        <v>-0.83500167502707257</v>
      </c>
      <c r="R76" s="31">
        <f t="shared" si="28"/>
        <v>0.30587618274424244</v>
      </c>
      <c r="S76" s="33">
        <f t="shared" si="28"/>
        <v>-0.83500167502707257</v>
      </c>
    </row>
    <row r="77" spans="1:24" s="64" customFormat="1" hidden="1" x14ac:dyDescent="0.25">
      <c r="A77" s="251" t="s">
        <v>320</v>
      </c>
      <c r="B77" s="55"/>
      <c r="C77" s="55"/>
      <c r="D77" s="55"/>
      <c r="E77" s="55"/>
      <c r="F77" s="55"/>
      <c r="G77" s="55"/>
      <c r="H77" s="55">
        <v>0</v>
      </c>
      <c r="I77" s="55">
        <v>14.12029094</v>
      </c>
      <c r="J77" s="55">
        <v>11.62936227</v>
      </c>
      <c r="K77" s="55"/>
      <c r="L77" s="55"/>
      <c r="M77" s="55"/>
      <c r="N77" s="55"/>
      <c r="O77" s="55"/>
      <c r="P77" s="55"/>
      <c r="Q77" s="55"/>
      <c r="R77" s="55"/>
      <c r="S77" s="252"/>
      <c r="T77" s="63"/>
      <c r="U77" s="63"/>
      <c r="V77" s="63"/>
      <c r="W77" s="63"/>
      <c r="X77" s="63"/>
    </row>
    <row r="78" spans="1:24" ht="26.4" x14ac:dyDescent="0.25">
      <c r="A78" s="91" t="s">
        <v>258</v>
      </c>
      <c r="B78" s="35">
        <v>562.44890049000003</v>
      </c>
      <c r="C78" s="35">
        <v>490.16005468999998</v>
      </c>
      <c r="D78" s="35">
        <v>72.888845799999999</v>
      </c>
      <c r="E78" s="35"/>
      <c r="F78" s="35"/>
      <c r="G78" s="35"/>
      <c r="H78" s="35">
        <v>788.00426128999993</v>
      </c>
      <c r="I78" s="35">
        <v>704.76983972000005</v>
      </c>
      <c r="J78" s="35">
        <v>83.834421569999989</v>
      </c>
      <c r="K78" s="35">
        <f>SUM(K79:K84)</f>
        <v>0</v>
      </c>
      <c r="L78" s="35">
        <f>SUM(L79:L84)</f>
        <v>0</v>
      </c>
      <c r="M78" s="35">
        <f>SUM(M79:M84)</f>
        <v>0</v>
      </c>
      <c r="N78" s="35">
        <f t="shared" si="27"/>
        <v>225.5553607999999</v>
      </c>
      <c r="O78" s="35">
        <f t="shared" si="27"/>
        <v>214.60978503000007</v>
      </c>
      <c r="P78" s="35">
        <f t="shared" si="27"/>
        <v>10.945575769999991</v>
      </c>
      <c r="Q78" s="35">
        <f t="shared" si="28"/>
        <v>40.10237385182873</v>
      </c>
      <c r="R78" s="35">
        <f t="shared" si="28"/>
        <v>43.783613735258228</v>
      </c>
      <c r="S78" s="36">
        <f t="shared" si="28"/>
        <v>15.016804903227026</v>
      </c>
    </row>
    <row r="79" spans="1:24" hidden="1" x14ac:dyDescent="0.25">
      <c r="A79" s="245" t="s">
        <v>259</v>
      </c>
      <c r="B79" s="31">
        <v>2.5600000000000002E-3</v>
      </c>
      <c r="C79" s="31">
        <v>0</v>
      </c>
      <c r="D79" s="31">
        <v>2.5600000000000002E-3</v>
      </c>
      <c r="E79" s="31"/>
      <c r="F79" s="31"/>
      <c r="G79" s="31"/>
      <c r="H79" s="31"/>
      <c r="I79" s="31"/>
      <c r="J79" s="31"/>
      <c r="K79" s="31"/>
      <c r="L79" s="31"/>
      <c r="M79" s="31"/>
      <c r="N79" s="31">
        <f t="shared" si="27"/>
        <v>-2.5600000000000002E-3</v>
      </c>
      <c r="O79" s="31">
        <f t="shared" si="27"/>
        <v>0</v>
      </c>
      <c r="P79" s="31">
        <f t="shared" si="27"/>
        <v>-2.5600000000000002E-3</v>
      </c>
      <c r="Q79" s="49" t="s">
        <v>31</v>
      </c>
      <c r="R79" s="49" t="s">
        <v>31</v>
      </c>
      <c r="S79" s="33">
        <f t="shared" si="28"/>
        <v>-100</v>
      </c>
    </row>
    <row r="80" spans="1:24" ht="39.6" x14ac:dyDescent="0.25">
      <c r="A80" s="245" t="s">
        <v>260</v>
      </c>
      <c r="B80" s="31">
        <v>152.83177191999999</v>
      </c>
      <c r="C80" s="31">
        <v>84.381507299999996</v>
      </c>
      <c r="D80" s="31">
        <v>68.450264619999999</v>
      </c>
      <c r="E80" s="31"/>
      <c r="F80" s="31"/>
      <c r="G80" s="31"/>
      <c r="H80" s="31">
        <v>330.95543643000002</v>
      </c>
      <c r="I80" s="31">
        <v>251.86205772999998</v>
      </c>
      <c r="J80" s="31">
        <f>79.50874299-J81</f>
        <v>79.093378700000002</v>
      </c>
      <c r="K80" s="31"/>
      <c r="L80" s="31"/>
      <c r="M80" s="31"/>
      <c r="N80" s="31">
        <f t="shared" si="27"/>
        <v>178.12366451000003</v>
      </c>
      <c r="O80" s="31">
        <f t="shared" si="27"/>
        <v>167.48055042999999</v>
      </c>
      <c r="P80" s="31">
        <f t="shared" si="27"/>
        <v>10.643114080000004</v>
      </c>
      <c r="Q80" s="31">
        <f>H80/B80%-100</f>
        <v>116.54884470176731</v>
      </c>
      <c r="R80" s="31">
        <f t="shared" si="28"/>
        <v>198.48015968067449</v>
      </c>
      <c r="S80" s="33">
        <f t="shared" si="28"/>
        <v>15.548682154970464</v>
      </c>
    </row>
    <row r="81" spans="1:24" s="64" customFormat="1" hidden="1" x14ac:dyDescent="0.25">
      <c r="A81" s="251" t="s">
        <v>320</v>
      </c>
      <c r="B81" s="55"/>
      <c r="C81" s="55"/>
      <c r="D81" s="55"/>
      <c r="E81" s="55"/>
      <c r="F81" s="55"/>
      <c r="G81" s="55"/>
      <c r="H81" s="55">
        <v>0</v>
      </c>
      <c r="I81" s="55">
        <v>0</v>
      </c>
      <c r="J81" s="55">
        <v>0.41536429000000002</v>
      </c>
      <c r="K81" s="55"/>
      <c r="L81" s="55"/>
      <c r="M81" s="55"/>
      <c r="N81" s="55"/>
      <c r="O81" s="55"/>
      <c r="P81" s="55"/>
      <c r="Q81" s="55"/>
      <c r="R81" s="55"/>
      <c r="S81" s="252"/>
      <c r="T81" s="63"/>
      <c r="U81" s="63"/>
      <c r="V81" s="63"/>
      <c r="W81" s="63"/>
      <c r="X81" s="63"/>
    </row>
    <row r="82" spans="1:24" x14ac:dyDescent="0.25">
      <c r="A82" s="245" t="s">
        <v>261</v>
      </c>
      <c r="B82" s="31">
        <v>409.41867332999999</v>
      </c>
      <c r="C82" s="31">
        <v>405.77854738999997</v>
      </c>
      <c r="D82" s="31">
        <v>4.2401259400000004</v>
      </c>
      <c r="E82" s="31"/>
      <c r="F82" s="31"/>
      <c r="G82" s="31"/>
      <c r="H82" s="31">
        <v>456.71701586</v>
      </c>
      <c r="I82" s="31">
        <v>452.90778198999999</v>
      </c>
      <c r="J82" s="31">
        <f>4.48798248-J83</f>
        <v>4.4092338700000004</v>
      </c>
      <c r="K82" s="31"/>
      <c r="L82" s="31"/>
      <c r="M82" s="31"/>
      <c r="N82" s="31">
        <f t="shared" si="27"/>
        <v>47.298342530000014</v>
      </c>
      <c r="O82" s="31">
        <f t="shared" si="27"/>
        <v>47.129234600000018</v>
      </c>
      <c r="P82" s="31">
        <f t="shared" si="27"/>
        <v>0.16910793000000002</v>
      </c>
      <c r="Q82" s="31">
        <f t="shared" si="28"/>
        <v>11.55256113388765</v>
      </c>
      <c r="R82" s="31">
        <f t="shared" si="28"/>
        <v>11.614520999973749</v>
      </c>
      <c r="S82" s="33">
        <f t="shared" si="28"/>
        <v>3.9882761123835877</v>
      </c>
    </row>
    <row r="83" spans="1:24" s="64" customFormat="1" hidden="1" x14ac:dyDescent="0.25">
      <c r="A83" s="251" t="s">
        <v>320</v>
      </c>
      <c r="B83" s="55"/>
      <c r="C83" s="55"/>
      <c r="D83" s="55"/>
      <c r="E83" s="55"/>
      <c r="F83" s="55"/>
      <c r="G83" s="55"/>
      <c r="H83" s="55">
        <v>0</v>
      </c>
      <c r="I83" s="55">
        <v>0.6</v>
      </c>
      <c r="J83" s="55">
        <v>7.8748609999999997E-2</v>
      </c>
      <c r="K83" s="55"/>
      <c r="L83" s="55"/>
      <c r="M83" s="55"/>
      <c r="N83" s="55"/>
      <c r="O83" s="55"/>
      <c r="P83" s="55"/>
      <c r="Q83" s="55"/>
      <c r="R83" s="55"/>
      <c r="S83" s="252"/>
      <c r="T83" s="63"/>
      <c r="U83" s="63"/>
      <c r="V83" s="63"/>
      <c r="W83" s="63"/>
      <c r="X83" s="63"/>
    </row>
    <row r="84" spans="1:24" ht="39.6" x14ac:dyDescent="0.25">
      <c r="A84" s="245" t="s">
        <v>262</v>
      </c>
      <c r="B84" s="31">
        <v>0.19589524</v>
      </c>
      <c r="C84" s="31">
        <v>0</v>
      </c>
      <c r="D84" s="31">
        <v>0.19589524</v>
      </c>
      <c r="E84" s="31"/>
      <c r="F84" s="31"/>
      <c r="G84" s="31"/>
      <c r="H84" s="31">
        <v>0.33180900000000002</v>
      </c>
      <c r="I84" s="31">
        <v>0</v>
      </c>
      <c r="J84" s="31">
        <v>0.33180900000000002</v>
      </c>
      <c r="K84" s="31"/>
      <c r="L84" s="31"/>
      <c r="M84" s="31"/>
      <c r="N84" s="31">
        <f t="shared" ref="N84:P176" si="32">H84-B84</f>
        <v>0.13591376000000002</v>
      </c>
      <c r="O84" s="31">
        <f t="shared" si="32"/>
        <v>0</v>
      </c>
      <c r="P84" s="31">
        <f t="shared" si="32"/>
        <v>0.13591376000000002</v>
      </c>
      <c r="Q84" s="31">
        <f t="shared" ref="Q84:R174" si="33">H84/B84%-100</f>
        <v>69.380838452225788</v>
      </c>
      <c r="R84" s="49" t="s">
        <v>31</v>
      </c>
      <c r="S84" s="33">
        <f t="shared" ref="S84:S174" si="34">J84/D84%-100</f>
        <v>69.380838452225788</v>
      </c>
    </row>
    <row r="85" spans="1:24" x14ac:dyDescent="0.25">
      <c r="A85" s="91" t="s">
        <v>263</v>
      </c>
      <c r="B85" s="35">
        <v>3891.3937290999997</v>
      </c>
      <c r="C85" s="35">
        <v>3270.1434516499999</v>
      </c>
      <c r="D85" s="35">
        <v>650.04345193000006</v>
      </c>
      <c r="E85" s="35"/>
      <c r="F85" s="35"/>
      <c r="G85" s="35"/>
      <c r="H85" s="35">
        <v>3728.3033043299997</v>
      </c>
      <c r="I85" s="35">
        <v>2860.4292722600003</v>
      </c>
      <c r="J85" s="35">
        <v>913.58071617000007</v>
      </c>
      <c r="K85" s="35"/>
      <c r="L85" s="35"/>
      <c r="M85" s="35"/>
      <c r="N85" s="35">
        <f t="shared" si="32"/>
        <v>-163.09042477000003</v>
      </c>
      <c r="O85" s="35">
        <f t="shared" si="32"/>
        <v>-409.71417938999957</v>
      </c>
      <c r="P85" s="35">
        <f t="shared" si="32"/>
        <v>263.53726424000001</v>
      </c>
      <c r="Q85" s="35">
        <f t="shared" si="33"/>
        <v>-4.1910543143039831</v>
      </c>
      <c r="R85" s="35">
        <f t="shared" si="33"/>
        <v>-12.528935976287897</v>
      </c>
      <c r="S85" s="36">
        <f t="shared" si="34"/>
        <v>40.541484335785441</v>
      </c>
    </row>
    <row r="86" spans="1:24" x14ac:dyDescent="0.25">
      <c r="A86" s="245" t="s">
        <v>264</v>
      </c>
      <c r="B86" s="31">
        <v>229.77823018999999</v>
      </c>
      <c r="C86" s="31">
        <v>229.73627216999998</v>
      </c>
      <c r="D86" s="31">
        <v>4.1958019999999999E-2</v>
      </c>
      <c r="E86" s="31"/>
      <c r="F86" s="31"/>
      <c r="G86" s="31"/>
      <c r="H86" s="31">
        <v>229.01995391</v>
      </c>
      <c r="I86" s="31">
        <v>229.00033219999997</v>
      </c>
      <c r="J86" s="31">
        <v>1.9621710000000001E-2</v>
      </c>
      <c r="K86" s="31"/>
      <c r="L86" s="31"/>
      <c r="M86" s="31"/>
      <c r="N86" s="31">
        <f t="shared" si="32"/>
        <v>-0.75827627999998981</v>
      </c>
      <c r="O86" s="31">
        <f t="shared" si="32"/>
        <v>-0.735939970000004</v>
      </c>
      <c r="P86" s="31">
        <f t="shared" si="32"/>
        <v>-2.2336309999999998E-2</v>
      </c>
      <c r="Q86" s="31">
        <f t="shared" si="33"/>
        <v>-0.33000353400450422</v>
      </c>
      <c r="R86" s="31">
        <f t="shared" si="33"/>
        <v>-0.32034121693044426</v>
      </c>
      <c r="S86" s="33">
        <f t="shared" si="34"/>
        <v>-53.234900026264341</v>
      </c>
    </row>
    <row r="87" spans="1:24" x14ac:dyDescent="0.25">
      <c r="A87" s="245" t="s">
        <v>265</v>
      </c>
      <c r="B87" s="31">
        <v>30.581567399999997</v>
      </c>
      <c r="C87" s="31">
        <v>27.190214319999999</v>
      </c>
      <c r="D87" s="31">
        <v>3.39135308</v>
      </c>
      <c r="E87" s="31"/>
      <c r="F87" s="31"/>
      <c r="G87" s="31"/>
      <c r="H87" s="31">
        <v>29.769176100000003</v>
      </c>
      <c r="I87" s="31">
        <v>29.730518119999999</v>
      </c>
      <c r="J87" s="31">
        <v>3.8657980000000002E-2</v>
      </c>
      <c r="K87" s="31"/>
      <c r="L87" s="31"/>
      <c r="M87" s="31"/>
      <c r="N87" s="31">
        <f t="shared" si="32"/>
        <v>-0.81239129999999449</v>
      </c>
      <c r="O87" s="31">
        <f t="shared" si="32"/>
        <v>2.5403038000000002</v>
      </c>
      <c r="P87" s="31">
        <f t="shared" si="32"/>
        <v>-3.3526951</v>
      </c>
      <c r="Q87" s="31">
        <f t="shared" si="33"/>
        <v>-2.6564737162556185</v>
      </c>
      <c r="R87" s="31">
        <f t="shared" si="33"/>
        <v>9.3427134119037021</v>
      </c>
      <c r="S87" s="33">
        <f t="shared" si="34"/>
        <v>-98.860101585176139</v>
      </c>
    </row>
    <row r="88" spans="1:24" s="64" customFormat="1" hidden="1" x14ac:dyDescent="0.25">
      <c r="A88" s="251" t="s">
        <v>320</v>
      </c>
      <c r="B88" s="55"/>
      <c r="C88" s="55"/>
      <c r="D88" s="55"/>
      <c r="E88" s="55"/>
      <c r="F88" s="55"/>
      <c r="G88" s="55"/>
      <c r="H88" s="55"/>
      <c r="I88" s="55"/>
      <c r="J88" s="55"/>
      <c r="K88" s="55"/>
      <c r="L88" s="55"/>
      <c r="M88" s="55"/>
      <c r="N88" s="55">
        <f t="shared" si="32"/>
        <v>0</v>
      </c>
      <c r="O88" s="55">
        <f t="shared" si="32"/>
        <v>0</v>
      </c>
      <c r="P88" s="55"/>
      <c r="Q88" s="55"/>
      <c r="R88" s="55"/>
      <c r="S88" s="252"/>
      <c r="T88" s="63"/>
      <c r="U88" s="63"/>
      <c r="V88" s="63"/>
      <c r="W88" s="63"/>
      <c r="X88" s="63"/>
    </row>
    <row r="89" spans="1:24" x14ac:dyDescent="0.25">
      <c r="A89" s="245" t="s">
        <v>266</v>
      </c>
      <c r="B89" s="31">
        <v>505.61629156999999</v>
      </c>
      <c r="C89" s="31">
        <v>500.54496637</v>
      </c>
      <c r="D89" s="31">
        <v>5.2513252000000001</v>
      </c>
      <c r="E89" s="31"/>
      <c r="F89" s="31"/>
      <c r="G89" s="31"/>
      <c r="H89" s="31">
        <v>391.94319811000003</v>
      </c>
      <c r="I89" s="31">
        <v>388.16621082</v>
      </c>
      <c r="J89" s="31">
        <v>3.7769872900000001</v>
      </c>
      <c r="K89" s="31"/>
      <c r="L89" s="31"/>
      <c r="M89" s="31"/>
      <c r="N89" s="31">
        <f t="shared" si="32"/>
        <v>-113.67309345999996</v>
      </c>
      <c r="O89" s="31">
        <f t="shared" si="32"/>
        <v>-112.37875554999999</v>
      </c>
      <c r="P89" s="31">
        <f t="shared" si="32"/>
        <v>-1.47433791</v>
      </c>
      <c r="Q89" s="31">
        <f t="shared" si="33"/>
        <v>-22.4820867830487</v>
      </c>
      <c r="R89" s="31">
        <f t="shared" si="33"/>
        <v>-22.451280724083901</v>
      </c>
      <c r="S89" s="33">
        <f t="shared" si="34"/>
        <v>-28.075540056060518</v>
      </c>
    </row>
    <row r="90" spans="1:24" s="64" customFormat="1" hidden="1" x14ac:dyDescent="0.25">
      <c r="A90" s="251" t="s">
        <v>320</v>
      </c>
      <c r="B90" s="55"/>
      <c r="C90" s="55"/>
      <c r="D90" s="55"/>
      <c r="E90" s="55"/>
      <c r="F90" s="55"/>
      <c r="G90" s="55"/>
      <c r="H90" s="55"/>
      <c r="I90" s="55"/>
      <c r="J90" s="55"/>
      <c r="K90" s="55"/>
      <c r="L90" s="55"/>
      <c r="M90" s="55"/>
      <c r="N90" s="55"/>
      <c r="O90" s="55"/>
      <c r="P90" s="55"/>
      <c r="Q90" s="55"/>
      <c r="R90" s="55"/>
      <c r="S90" s="252"/>
      <c r="T90" s="63"/>
      <c r="U90" s="63"/>
      <c r="V90" s="63"/>
      <c r="W90" s="63"/>
      <c r="X90" s="63"/>
    </row>
    <row r="91" spans="1:24" x14ac:dyDescent="0.25">
      <c r="A91" s="245" t="s">
        <v>267</v>
      </c>
      <c r="B91" s="31">
        <v>77.885231419999997</v>
      </c>
      <c r="C91" s="31">
        <v>76.550745419999998</v>
      </c>
      <c r="D91" s="31">
        <v>1.3344860000000001</v>
      </c>
      <c r="E91" s="31"/>
      <c r="F91" s="31"/>
      <c r="G91" s="31"/>
      <c r="H91" s="31">
        <v>8.3216345700000005</v>
      </c>
      <c r="I91" s="31">
        <v>7.9212889299999993</v>
      </c>
      <c r="J91" s="31">
        <v>0.40034564</v>
      </c>
      <c r="K91" s="31"/>
      <c r="L91" s="31"/>
      <c r="M91" s="31"/>
      <c r="N91" s="31">
        <f t="shared" si="32"/>
        <v>-69.563596849999996</v>
      </c>
      <c r="O91" s="31">
        <f t="shared" si="32"/>
        <v>-68.629456489999995</v>
      </c>
      <c r="P91" s="31">
        <f t="shared" si="32"/>
        <v>-0.93414036</v>
      </c>
      <c r="Q91" s="31">
        <f t="shared" si="33"/>
        <v>-89.315516666920885</v>
      </c>
      <c r="R91" s="31">
        <f t="shared" si="33"/>
        <v>-89.652238019970412</v>
      </c>
      <c r="S91" s="33">
        <f t="shared" si="34"/>
        <v>-70.000011989634956</v>
      </c>
      <c r="T91" s="7">
        <f>I91/C91</f>
        <v>0.10347761980029586</v>
      </c>
    </row>
    <row r="92" spans="1:24" s="64" customFormat="1" hidden="1" x14ac:dyDescent="0.25">
      <c r="A92" s="251" t="s">
        <v>320</v>
      </c>
      <c r="B92" s="55"/>
      <c r="C92" s="55"/>
      <c r="D92" s="55"/>
      <c r="E92" s="55"/>
      <c r="F92" s="55"/>
      <c r="G92" s="55"/>
      <c r="H92" s="55"/>
      <c r="I92" s="55"/>
      <c r="J92" s="55"/>
      <c r="K92" s="55"/>
      <c r="L92" s="55"/>
      <c r="M92" s="55"/>
      <c r="N92" s="55"/>
      <c r="O92" s="55"/>
      <c r="P92" s="55"/>
      <c r="Q92" s="55"/>
      <c r="R92" s="55"/>
      <c r="S92" s="252"/>
      <c r="T92" s="63"/>
      <c r="U92" s="63"/>
      <c r="V92" s="63"/>
      <c r="W92" s="63"/>
      <c r="X92" s="63"/>
    </row>
    <row r="93" spans="1:24" x14ac:dyDescent="0.25">
      <c r="A93" s="245" t="s">
        <v>268</v>
      </c>
      <c r="B93" s="31">
        <v>342.11907057999997</v>
      </c>
      <c r="C93" s="31">
        <v>342.11907057999997</v>
      </c>
      <c r="D93" s="31">
        <v>0</v>
      </c>
      <c r="E93" s="31"/>
      <c r="F93" s="31"/>
      <c r="G93" s="31"/>
      <c r="H93" s="31">
        <v>426.39262936</v>
      </c>
      <c r="I93" s="31">
        <v>426.39262936</v>
      </c>
      <c r="J93" s="31">
        <v>0</v>
      </c>
      <c r="K93" s="31"/>
      <c r="L93" s="31"/>
      <c r="M93" s="31"/>
      <c r="N93" s="31">
        <f t="shared" si="32"/>
        <v>84.27355878000003</v>
      </c>
      <c r="O93" s="31">
        <f t="shared" si="32"/>
        <v>84.27355878000003</v>
      </c>
      <c r="P93" s="31">
        <f t="shared" si="32"/>
        <v>0</v>
      </c>
      <c r="Q93" s="31">
        <f t="shared" si="33"/>
        <v>24.632815305247306</v>
      </c>
      <c r="R93" s="31">
        <f t="shared" si="33"/>
        <v>24.632815305247306</v>
      </c>
      <c r="S93" s="46" t="s">
        <v>31</v>
      </c>
    </row>
    <row r="94" spans="1:24" x14ac:dyDescent="0.25">
      <c r="A94" s="245" t="s">
        <v>269</v>
      </c>
      <c r="B94" s="31">
        <v>257.35145318999997</v>
      </c>
      <c r="C94" s="31">
        <v>193.25943272000001</v>
      </c>
      <c r="D94" s="31">
        <v>64.092020469999994</v>
      </c>
      <c r="E94" s="31"/>
      <c r="F94" s="31"/>
      <c r="G94" s="31"/>
      <c r="H94" s="31">
        <v>374.85040619</v>
      </c>
      <c r="I94" s="31">
        <v>209.65952283999999</v>
      </c>
      <c r="J94" s="31">
        <v>169.10978334999999</v>
      </c>
      <c r="K94" s="31"/>
      <c r="L94" s="31"/>
      <c r="M94" s="31"/>
      <c r="N94" s="31">
        <f t="shared" si="32"/>
        <v>117.49895300000003</v>
      </c>
      <c r="O94" s="31">
        <f t="shared" si="32"/>
        <v>16.400090119999987</v>
      </c>
      <c r="P94" s="31">
        <f t="shared" si="32"/>
        <v>105.01776287999999</v>
      </c>
      <c r="Q94" s="31">
        <f t="shared" si="33"/>
        <v>45.657000006621956</v>
      </c>
      <c r="R94" s="31">
        <f t="shared" si="33"/>
        <v>8.486048980471196</v>
      </c>
      <c r="S94" s="33">
        <f t="shared" si="34"/>
        <v>163.85466101689894</v>
      </c>
    </row>
    <row r="95" spans="1:24" s="64" customFormat="1" hidden="1" x14ac:dyDescent="0.25">
      <c r="A95" s="251" t="s">
        <v>320</v>
      </c>
      <c r="B95" s="55"/>
      <c r="C95" s="55"/>
      <c r="D95" s="55"/>
      <c r="E95" s="55"/>
      <c r="F95" s="55"/>
      <c r="G95" s="55"/>
      <c r="H95" s="55"/>
      <c r="I95" s="55"/>
      <c r="J95" s="55"/>
      <c r="K95" s="55"/>
      <c r="L95" s="55"/>
      <c r="M95" s="55"/>
      <c r="N95" s="55"/>
      <c r="O95" s="55"/>
      <c r="P95" s="55"/>
      <c r="Q95" s="55"/>
      <c r="R95" s="55"/>
      <c r="S95" s="252"/>
      <c r="T95" s="63"/>
      <c r="U95" s="63"/>
      <c r="V95" s="63"/>
      <c r="W95" s="63"/>
      <c r="X95" s="63"/>
    </row>
    <row r="96" spans="1:24" x14ac:dyDescent="0.25">
      <c r="A96" s="245" t="s">
        <v>270</v>
      </c>
      <c r="B96" s="31">
        <v>2262.8557875400002</v>
      </c>
      <c r="C96" s="31">
        <v>1761.93034225</v>
      </c>
      <c r="D96" s="31">
        <v>520.43875265000008</v>
      </c>
      <c r="E96" s="31"/>
      <c r="F96" s="31"/>
      <c r="G96" s="31"/>
      <c r="H96" s="31">
        <v>2060.69227224</v>
      </c>
      <c r="I96" s="31">
        <v>1425.26124731</v>
      </c>
      <c r="J96" s="31">
        <v>673.75416065000002</v>
      </c>
      <c r="K96" s="31"/>
      <c r="L96" s="31"/>
      <c r="M96" s="31"/>
      <c r="N96" s="31">
        <f t="shared" si="32"/>
        <v>-202.1635153000002</v>
      </c>
      <c r="O96" s="31">
        <f t="shared" si="32"/>
        <v>-336.66909493999992</v>
      </c>
      <c r="P96" s="31">
        <f t="shared" si="32"/>
        <v>153.31540799999993</v>
      </c>
      <c r="Q96" s="31">
        <f t="shared" si="33"/>
        <v>-8.93399908262721</v>
      </c>
      <c r="R96" s="31">
        <f t="shared" si="33"/>
        <v>-19.107968508566046</v>
      </c>
      <c r="S96" s="33">
        <f t="shared" si="34"/>
        <v>29.458876230745631</v>
      </c>
    </row>
    <row r="97" spans="1:24" s="64" customFormat="1" hidden="1" x14ac:dyDescent="0.25">
      <c r="A97" s="251" t="s">
        <v>320</v>
      </c>
      <c r="B97" s="55"/>
      <c r="C97" s="55"/>
      <c r="D97" s="55"/>
      <c r="E97" s="55"/>
      <c r="F97" s="55"/>
      <c r="G97" s="55"/>
      <c r="H97" s="55"/>
      <c r="I97" s="55"/>
      <c r="J97" s="55"/>
      <c r="K97" s="55"/>
      <c r="L97" s="55"/>
      <c r="M97" s="55"/>
      <c r="N97" s="55"/>
      <c r="O97" s="55"/>
      <c r="P97" s="55"/>
      <c r="Q97" s="31"/>
      <c r="R97" s="31"/>
      <c r="S97" s="33"/>
      <c r="T97" s="63"/>
      <c r="U97" s="63"/>
      <c r="V97" s="63"/>
      <c r="W97" s="63"/>
      <c r="X97" s="63"/>
    </row>
    <row r="98" spans="1:24" x14ac:dyDescent="0.25">
      <c r="A98" s="245" t="s">
        <v>271</v>
      </c>
      <c r="B98" s="31">
        <v>15.89911781</v>
      </c>
      <c r="C98" s="31">
        <v>14.82014281</v>
      </c>
      <c r="D98" s="31">
        <v>1.078975</v>
      </c>
      <c r="E98" s="31"/>
      <c r="F98" s="31"/>
      <c r="G98" s="31"/>
      <c r="H98" s="31">
        <v>20.457546690000001</v>
      </c>
      <c r="I98" s="31">
        <v>13.68754669</v>
      </c>
      <c r="J98" s="31">
        <v>6.77</v>
      </c>
      <c r="K98" s="31"/>
      <c r="L98" s="31"/>
      <c r="M98" s="31"/>
      <c r="N98" s="31">
        <f t="shared" si="32"/>
        <v>4.558428880000001</v>
      </c>
      <c r="O98" s="31">
        <f t="shared" si="32"/>
        <v>-1.1325961200000005</v>
      </c>
      <c r="P98" s="31">
        <f t="shared" si="32"/>
        <v>5.6910249999999998</v>
      </c>
      <c r="Q98" s="31">
        <f t="shared" si="33"/>
        <v>28.670954794315094</v>
      </c>
      <c r="R98" s="31">
        <f t="shared" si="33"/>
        <v>-7.6422753445788203</v>
      </c>
      <c r="S98" s="33">
        <f t="shared" si="34"/>
        <v>527.44734586065465</v>
      </c>
    </row>
    <row r="99" spans="1:24" ht="26.4" x14ac:dyDescent="0.25">
      <c r="A99" s="245" t="s">
        <v>272</v>
      </c>
      <c r="B99" s="31">
        <v>169.30697940000002</v>
      </c>
      <c r="C99" s="31">
        <v>123.99226501000001</v>
      </c>
      <c r="D99" s="31">
        <v>54.414581509999998</v>
      </c>
      <c r="E99" s="31"/>
      <c r="F99" s="31"/>
      <c r="G99" s="31"/>
      <c r="H99" s="31">
        <v>186.85648716</v>
      </c>
      <c r="I99" s="31">
        <v>130.60997598999998</v>
      </c>
      <c r="J99" s="31">
        <v>59.711159549999998</v>
      </c>
      <c r="K99" s="31"/>
      <c r="L99" s="31"/>
      <c r="M99" s="31"/>
      <c r="N99" s="31">
        <f t="shared" si="32"/>
        <v>17.549507759999983</v>
      </c>
      <c r="O99" s="31">
        <f t="shared" si="32"/>
        <v>6.6177109799999698</v>
      </c>
      <c r="P99" s="31">
        <f t="shared" si="32"/>
        <v>5.29657804</v>
      </c>
      <c r="Q99" s="31">
        <f t="shared" si="33"/>
        <v>10.365495753449125</v>
      </c>
      <c r="R99" s="31">
        <f t="shared" si="33"/>
        <v>5.3371966222782135</v>
      </c>
      <c r="S99" s="33">
        <f t="shared" si="34"/>
        <v>9.7337476334842847</v>
      </c>
    </row>
    <row r="100" spans="1:24" s="64" customFormat="1" hidden="1" x14ac:dyDescent="0.25">
      <c r="A100" s="251" t="s">
        <v>320</v>
      </c>
      <c r="B100" s="55"/>
      <c r="C100" s="55"/>
      <c r="D100" s="55"/>
      <c r="E100" s="55"/>
      <c r="F100" s="55"/>
      <c r="G100" s="55"/>
      <c r="H100" s="55"/>
      <c r="I100" s="55"/>
      <c r="J100" s="55"/>
      <c r="K100" s="55"/>
      <c r="L100" s="55"/>
      <c r="M100" s="55"/>
      <c r="N100" s="55"/>
      <c r="O100" s="55"/>
      <c r="P100" s="55"/>
      <c r="Q100" s="55"/>
      <c r="R100" s="55"/>
      <c r="S100" s="252"/>
      <c r="T100" s="63"/>
      <c r="U100" s="63"/>
      <c r="V100" s="63"/>
      <c r="W100" s="63"/>
      <c r="X100" s="63"/>
    </row>
    <row r="101" spans="1:24" x14ac:dyDescent="0.25">
      <c r="A101" s="91" t="s">
        <v>273</v>
      </c>
      <c r="B101" s="35">
        <v>4634.3387279900007</v>
      </c>
      <c r="C101" s="35">
        <v>3849.24232631</v>
      </c>
      <c r="D101" s="35">
        <v>1287.3064787700002</v>
      </c>
      <c r="E101" s="35"/>
      <c r="F101" s="35"/>
      <c r="G101" s="35"/>
      <c r="H101" s="35">
        <v>3192.9014034299998</v>
      </c>
      <c r="I101" s="35">
        <v>2526.4601115700002</v>
      </c>
      <c r="J101" s="35">
        <v>784.61687898000014</v>
      </c>
      <c r="K101" s="35"/>
      <c r="L101" s="35"/>
      <c r="M101" s="35"/>
      <c r="N101" s="35">
        <f t="shared" si="32"/>
        <v>-1441.4373245600009</v>
      </c>
      <c r="O101" s="35">
        <f t="shared" si="32"/>
        <v>-1322.7822147399997</v>
      </c>
      <c r="P101" s="35">
        <f t="shared" si="32"/>
        <v>-502.6895997900001</v>
      </c>
      <c r="Q101" s="35">
        <f t="shared" si="33"/>
        <v>-31.103408903931779</v>
      </c>
      <c r="R101" s="35">
        <f t="shared" si="33"/>
        <v>-34.364742528643518</v>
      </c>
      <c r="S101" s="36">
        <f t="shared" si="34"/>
        <v>-39.049721886765582</v>
      </c>
    </row>
    <row r="102" spans="1:24" x14ac:dyDescent="0.25">
      <c r="A102" s="245" t="s">
        <v>274</v>
      </c>
      <c r="B102" s="31">
        <v>1592.24152641</v>
      </c>
      <c r="C102" s="31">
        <v>1214.6769005599999</v>
      </c>
      <c r="D102" s="31">
        <v>870.74061170000004</v>
      </c>
      <c r="E102" s="31"/>
      <c r="F102" s="31"/>
      <c r="G102" s="31"/>
      <c r="H102" s="31">
        <v>441.09909292000003</v>
      </c>
      <c r="I102" s="31">
        <v>159.75878157</v>
      </c>
      <c r="J102" s="31">
        <v>353.59490957999992</v>
      </c>
      <c r="K102" s="31"/>
      <c r="L102" s="31"/>
      <c r="M102" s="31"/>
      <c r="N102" s="31">
        <f t="shared" si="32"/>
        <v>-1151.14243349</v>
      </c>
      <c r="O102" s="31">
        <f t="shared" si="32"/>
        <v>-1054.91811899</v>
      </c>
      <c r="P102" s="31">
        <f t="shared" si="32"/>
        <v>-517.14570212000012</v>
      </c>
      <c r="Q102" s="31">
        <f t="shared" si="33"/>
        <v>-72.296973442556876</v>
      </c>
      <c r="R102" s="31">
        <f t="shared" si="33"/>
        <v>-86.84763153918982</v>
      </c>
      <c r="S102" s="33">
        <f t="shared" si="34"/>
        <v>-59.391476080384599</v>
      </c>
    </row>
    <row r="103" spans="1:24" s="64" customFormat="1" hidden="1" x14ac:dyDescent="0.25">
      <c r="A103" s="251" t="s">
        <v>320</v>
      </c>
      <c r="B103" s="55"/>
      <c r="C103" s="55"/>
      <c r="D103" s="55"/>
      <c r="E103" s="55"/>
      <c r="F103" s="55"/>
      <c r="G103" s="55"/>
      <c r="H103" s="55"/>
      <c r="I103" s="55"/>
      <c r="J103" s="55"/>
      <c r="K103" s="55"/>
      <c r="L103" s="55"/>
      <c r="M103" s="55"/>
      <c r="N103" s="55"/>
      <c r="O103" s="55"/>
      <c r="P103" s="55"/>
      <c r="Q103" s="55"/>
      <c r="R103" s="55"/>
      <c r="S103" s="252"/>
      <c r="T103" s="63"/>
      <c r="U103" s="63"/>
      <c r="V103" s="63"/>
      <c r="W103" s="63"/>
      <c r="X103" s="63"/>
    </row>
    <row r="104" spans="1:24" x14ac:dyDescent="0.25">
      <c r="A104" s="245" t="s">
        <v>275</v>
      </c>
      <c r="B104" s="31">
        <v>2664.4750412800004</v>
      </c>
      <c r="C104" s="31">
        <v>2610.0484529800001</v>
      </c>
      <c r="D104" s="31">
        <v>63.460679539999994</v>
      </c>
      <c r="E104" s="31"/>
      <c r="F104" s="31"/>
      <c r="G104" s="31"/>
      <c r="H104" s="31">
        <v>2387.21413454</v>
      </c>
      <c r="I104" s="31">
        <v>2336.59743428</v>
      </c>
      <c r="J104" s="31">
        <v>91.22488589000001</v>
      </c>
      <c r="K104" s="31"/>
      <c r="L104" s="31"/>
      <c r="M104" s="31"/>
      <c r="N104" s="31">
        <f t="shared" si="32"/>
        <v>-277.26090674000034</v>
      </c>
      <c r="O104" s="31">
        <f t="shared" si="32"/>
        <v>-273.45101870000008</v>
      </c>
      <c r="P104" s="31">
        <f t="shared" si="32"/>
        <v>27.764206350000016</v>
      </c>
      <c r="Q104" s="31">
        <f t="shared" si="33"/>
        <v>-10.405836138243785</v>
      </c>
      <c r="R104" s="31">
        <f t="shared" si="33"/>
        <v>-10.476856028775615</v>
      </c>
      <c r="S104" s="33">
        <f t="shared" si="34"/>
        <v>43.750250629604295</v>
      </c>
    </row>
    <row r="105" spans="1:24" hidden="1" x14ac:dyDescent="0.25">
      <c r="A105" s="251" t="s">
        <v>320</v>
      </c>
      <c r="B105" s="55"/>
      <c r="C105" s="55"/>
      <c r="D105" s="55"/>
      <c r="E105" s="55"/>
      <c r="F105" s="55"/>
      <c r="G105" s="55"/>
      <c r="H105" s="55"/>
      <c r="I105" s="55"/>
      <c r="J105" s="55"/>
      <c r="K105" s="31"/>
      <c r="L105" s="31"/>
      <c r="M105" s="31"/>
      <c r="N105" s="31"/>
      <c r="O105" s="31"/>
      <c r="P105" s="31"/>
      <c r="Q105" s="31"/>
      <c r="R105" s="31"/>
      <c r="S105" s="33"/>
    </row>
    <row r="106" spans="1:24" x14ac:dyDescent="0.25">
      <c r="A106" s="245" t="s">
        <v>276</v>
      </c>
      <c r="B106" s="31">
        <v>271.56510831000003</v>
      </c>
      <c r="C106" s="31">
        <v>0</v>
      </c>
      <c r="D106" s="31">
        <v>271.56510831000003</v>
      </c>
      <c r="E106" s="31"/>
      <c r="F106" s="31"/>
      <c r="G106" s="31"/>
      <c r="H106" s="31">
        <v>249.20267080000002</v>
      </c>
      <c r="I106" s="31">
        <v>5.3128032599999999</v>
      </c>
      <c r="J106" s="31">
        <v>249.20267080000002</v>
      </c>
      <c r="K106" s="31"/>
      <c r="L106" s="31"/>
      <c r="M106" s="31"/>
      <c r="N106" s="31">
        <f t="shared" si="32"/>
        <v>-22.362437510000007</v>
      </c>
      <c r="O106" s="31">
        <f t="shared" si="32"/>
        <v>5.3128032599999999</v>
      </c>
      <c r="P106" s="31">
        <f t="shared" si="32"/>
        <v>-22.362437510000007</v>
      </c>
      <c r="Q106" s="31">
        <f t="shared" si="33"/>
        <v>-8.2346504855375571</v>
      </c>
      <c r="R106" s="49" t="s">
        <v>31</v>
      </c>
      <c r="S106" s="33">
        <f t="shared" si="34"/>
        <v>-8.2346504855375571</v>
      </c>
    </row>
    <row r="107" spans="1:24" hidden="1" x14ac:dyDescent="0.25">
      <c r="A107" s="251" t="s">
        <v>320</v>
      </c>
      <c r="B107" s="55"/>
      <c r="C107" s="55"/>
      <c r="D107" s="55"/>
      <c r="E107" s="55"/>
      <c r="F107" s="55"/>
      <c r="G107" s="55"/>
      <c r="H107" s="55"/>
      <c r="I107" s="55"/>
      <c r="J107" s="55"/>
      <c r="K107" s="31"/>
      <c r="L107" s="31"/>
      <c r="M107" s="31"/>
      <c r="N107" s="31"/>
      <c r="O107" s="31"/>
      <c r="P107" s="31"/>
      <c r="Q107" s="31"/>
      <c r="R107" s="31"/>
      <c r="S107" s="33"/>
    </row>
    <row r="108" spans="1:24" ht="26.4" x14ac:dyDescent="0.25">
      <c r="A108" s="245" t="s">
        <v>277</v>
      </c>
      <c r="B108" s="31">
        <v>106.05705198999999</v>
      </c>
      <c r="C108" s="31">
        <v>24.516972769999999</v>
      </c>
      <c r="D108" s="31">
        <v>81.54007922000001</v>
      </c>
      <c r="E108" s="31"/>
      <c r="F108" s="31"/>
      <c r="G108" s="31"/>
      <c r="H108" s="31">
        <v>115.38550517</v>
      </c>
      <c r="I108" s="31">
        <v>24.791092460000002</v>
      </c>
      <c r="J108" s="31">
        <v>90.594412710000014</v>
      </c>
      <c r="K108" s="31"/>
      <c r="L108" s="31"/>
      <c r="M108" s="31"/>
      <c r="N108" s="31">
        <f t="shared" si="32"/>
        <v>9.328453180000011</v>
      </c>
      <c r="O108" s="31">
        <f t="shared" si="32"/>
        <v>0.27411969000000269</v>
      </c>
      <c r="P108" s="31">
        <f t="shared" si="32"/>
        <v>9.0543334900000048</v>
      </c>
      <c r="Q108" s="31">
        <f t="shared" si="33"/>
        <v>8.7956934545753569</v>
      </c>
      <c r="R108" s="31">
        <f t="shared" si="33"/>
        <v>1.1180813086982226</v>
      </c>
      <c r="S108" s="33">
        <f t="shared" si="34"/>
        <v>11.104150960622533</v>
      </c>
    </row>
    <row r="109" spans="1:24" hidden="1" x14ac:dyDescent="0.25">
      <c r="A109" s="251" t="s">
        <v>320</v>
      </c>
      <c r="B109" s="55"/>
      <c r="C109" s="55"/>
      <c r="D109" s="55"/>
      <c r="E109" s="55"/>
      <c r="F109" s="55"/>
      <c r="G109" s="55"/>
      <c r="H109" s="55"/>
      <c r="I109" s="55"/>
      <c r="J109" s="55"/>
      <c r="K109" s="31"/>
      <c r="L109" s="31"/>
      <c r="M109" s="31"/>
      <c r="N109" s="31"/>
      <c r="O109" s="31"/>
      <c r="P109" s="31"/>
      <c r="Q109" s="31"/>
      <c r="R109" s="31"/>
      <c r="S109" s="33"/>
    </row>
    <row r="110" spans="1:24" x14ac:dyDescent="0.25">
      <c r="A110" s="246" t="s">
        <v>278</v>
      </c>
      <c r="B110" s="35">
        <v>26.04027726</v>
      </c>
      <c r="C110" s="35">
        <v>25.823331840000002</v>
      </c>
      <c r="D110" s="35">
        <v>0.21694542</v>
      </c>
      <c r="E110" s="35"/>
      <c r="F110" s="35"/>
      <c r="G110" s="35"/>
      <c r="H110" s="35">
        <v>25.82740373</v>
      </c>
      <c r="I110" s="35">
        <v>25.493437989999997</v>
      </c>
      <c r="J110" s="35">
        <v>0.33396574000000001</v>
      </c>
      <c r="K110" s="35"/>
      <c r="L110" s="35"/>
      <c r="M110" s="35"/>
      <c r="N110" s="35">
        <f t="shared" si="32"/>
        <v>-0.21287352999999953</v>
      </c>
      <c r="O110" s="35">
        <f t="shared" si="32"/>
        <v>-0.32989385000000482</v>
      </c>
      <c r="P110" s="35">
        <f t="shared" si="32"/>
        <v>0.11702032000000001</v>
      </c>
      <c r="Q110" s="35">
        <f t="shared" si="33"/>
        <v>-0.81747797027871627</v>
      </c>
      <c r="R110" s="35">
        <f t="shared" si="33"/>
        <v>-1.2775030427677194</v>
      </c>
      <c r="S110" s="36">
        <f t="shared" si="34"/>
        <v>53.939981770530125</v>
      </c>
    </row>
    <row r="111" spans="1:24" ht="26.4" hidden="1" x14ac:dyDescent="0.25">
      <c r="A111" s="245" t="s">
        <v>279</v>
      </c>
      <c r="B111" s="31"/>
      <c r="C111" s="31"/>
      <c r="D111" s="31"/>
      <c r="E111" s="31"/>
      <c r="F111" s="31"/>
      <c r="G111" s="31"/>
      <c r="H111" s="31"/>
      <c r="I111" s="31"/>
      <c r="J111" s="31"/>
      <c r="K111" s="31"/>
      <c r="L111" s="31"/>
      <c r="M111" s="31"/>
      <c r="N111" s="31">
        <f t="shared" si="32"/>
        <v>0</v>
      </c>
      <c r="O111" s="31">
        <f t="shared" si="32"/>
        <v>0</v>
      </c>
      <c r="P111" s="31">
        <f t="shared" si="32"/>
        <v>0</v>
      </c>
      <c r="Q111" s="49" t="s">
        <v>31</v>
      </c>
      <c r="R111" s="49" t="s">
        <v>31</v>
      </c>
      <c r="S111" s="46" t="s">
        <v>31</v>
      </c>
    </row>
    <row r="112" spans="1:24" ht="26.4" x14ac:dyDescent="0.25">
      <c r="A112" s="245" t="s">
        <v>280</v>
      </c>
      <c r="B112" s="31">
        <v>25.823331840000002</v>
      </c>
      <c r="C112" s="31">
        <v>25.823331840000002</v>
      </c>
      <c r="D112" s="31">
        <v>0</v>
      </c>
      <c r="E112" s="31"/>
      <c r="F112" s="31"/>
      <c r="G112" s="31"/>
      <c r="H112" s="31">
        <v>16.239999999999998</v>
      </c>
      <c r="I112" s="31">
        <v>16.239999999999998</v>
      </c>
      <c r="J112" s="31">
        <v>0</v>
      </c>
      <c r="K112" s="31"/>
      <c r="L112" s="31"/>
      <c r="M112" s="31"/>
      <c r="N112" s="31">
        <f t="shared" si="32"/>
        <v>-9.5833318400000032</v>
      </c>
      <c r="O112" s="31">
        <f t="shared" si="32"/>
        <v>-9.5833318400000032</v>
      </c>
      <c r="P112" s="31">
        <f t="shared" si="32"/>
        <v>0</v>
      </c>
      <c r="Q112" s="31">
        <f t="shared" si="33"/>
        <v>-37.111136159260241</v>
      </c>
      <c r="R112" s="31">
        <f t="shared" si="33"/>
        <v>-37.111136159260241</v>
      </c>
      <c r="S112" s="46" t="s">
        <v>31</v>
      </c>
    </row>
    <row r="113" spans="1:24" ht="26.4" hidden="1" x14ac:dyDescent="0.25">
      <c r="A113" s="245" t="s">
        <v>423</v>
      </c>
      <c r="B113" s="31">
        <v>0</v>
      </c>
      <c r="C113" s="31">
        <v>0</v>
      </c>
      <c r="D113" s="31">
        <v>0</v>
      </c>
      <c r="E113" s="31"/>
      <c r="F113" s="31"/>
      <c r="G113" s="31"/>
      <c r="H113" s="31">
        <v>0</v>
      </c>
      <c r="I113" s="31">
        <v>0</v>
      </c>
      <c r="J113" s="31">
        <v>0</v>
      </c>
      <c r="K113" s="31"/>
      <c r="L113" s="31"/>
      <c r="M113" s="31"/>
      <c r="N113" s="31">
        <f t="shared" ref="N113" si="35">H113-B113</f>
        <v>0</v>
      </c>
      <c r="O113" s="31">
        <f t="shared" ref="O113" si="36">I113-C113</f>
        <v>0</v>
      </c>
      <c r="P113" s="31">
        <f t="shared" ref="P113" si="37">J113-D113</f>
        <v>0</v>
      </c>
      <c r="Q113" s="49" t="s">
        <v>31</v>
      </c>
      <c r="R113" s="49" t="s">
        <v>31</v>
      </c>
      <c r="S113" s="46" t="s">
        <v>31</v>
      </c>
    </row>
    <row r="114" spans="1:24" ht="26.4" x14ac:dyDescent="0.25">
      <c r="A114" s="245" t="s">
        <v>281</v>
      </c>
      <c r="B114" s="31">
        <v>0.21694542</v>
      </c>
      <c r="C114" s="31">
        <v>0</v>
      </c>
      <c r="D114" s="31">
        <v>0.21694542</v>
      </c>
      <c r="E114" s="31"/>
      <c r="F114" s="31"/>
      <c r="G114" s="31"/>
      <c r="H114" s="31">
        <v>9.5874037300000001</v>
      </c>
      <c r="I114" s="31">
        <v>9.2534379900000001</v>
      </c>
      <c r="J114" s="31">
        <v>0.33396574000000001</v>
      </c>
      <c r="K114" s="31"/>
      <c r="L114" s="31"/>
      <c r="M114" s="31"/>
      <c r="N114" s="31">
        <f t="shared" si="32"/>
        <v>9.3704583100000001</v>
      </c>
      <c r="O114" s="31">
        <f t="shared" si="32"/>
        <v>9.2534379900000001</v>
      </c>
      <c r="P114" s="31">
        <f t="shared" si="32"/>
        <v>0.11702032000000001</v>
      </c>
      <c r="Q114" s="31">
        <f t="shared" si="33"/>
        <v>4319.2699389551526</v>
      </c>
      <c r="R114" s="49" t="s">
        <v>31</v>
      </c>
      <c r="S114" s="33">
        <f t="shared" si="34"/>
        <v>53.939981770530125</v>
      </c>
    </row>
    <row r="115" spans="1:24" x14ac:dyDescent="0.25">
      <c r="A115" s="91" t="s">
        <v>282</v>
      </c>
      <c r="B115" s="35">
        <v>13590.683674300002</v>
      </c>
      <c r="C115" s="35">
        <v>9775.8621275900005</v>
      </c>
      <c r="D115" s="35">
        <v>11174.049146439998</v>
      </c>
      <c r="E115" s="35"/>
      <c r="F115" s="35"/>
      <c r="G115" s="35"/>
      <c r="H115" s="35">
        <v>15577.24789314</v>
      </c>
      <c r="I115" s="35">
        <v>11138.74992801</v>
      </c>
      <c r="J115" s="35">
        <v>12646.545627449999</v>
      </c>
      <c r="K115" s="35">
        <f t="shared" ref="K115:M115" si="38">K116+K118+K120+K122+K123+K124+K126+K127</f>
        <v>3089.6900873200002</v>
      </c>
      <c r="L115" s="35">
        <f t="shared" si="38"/>
        <v>0</v>
      </c>
      <c r="M115" s="35">
        <f t="shared" si="38"/>
        <v>0</v>
      </c>
      <c r="N115" s="35">
        <f t="shared" si="32"/>
        <v>1986.5642188399979</v>
      </c>
      <c r="O115" s="35">
        <f t="shared" si="32"/>
        <v>1362.8878004199996</v>
      </c>
      <c r="P115" s="35">
        <f t="shared" si="32"/>
        <v>1472.4964810100009</v>
      </c>
      <c r="Q115" s="35">
        <f t="shared" si="33"/>
        <v>14.617102909963194</v>
      </c>
      <c r="R115" s="35">
        <f t="shared" si="33"/>
        <v>13.941356604995278</v>
      </c>
      <c r="S115" s="36">
        <f t="shared" si="34"/>
        <v>13.177823559860855</v>
      </c>
    </row>
    <row r="116" spans="1:24" x14ac:dyDescent="0.25">
      <c r="A116" s="245" t="s">
        <v>283</v>
      </c>
      <c r="B116" s="31">
        <v>3887.0083846900002</v>
      </c>
      <c r="C116" s="31">
        <v>0</v>
      </c>
      <c r="D116" s="31">
        <v>3887.0083846900002</v>
      </c>
      <c r="E116" s="31"/>
      <c r="F116" s="31"/>
      <c r="G116" s="31"/>
      <c r="H116" s="31">
        <v>4698.7712529700002</v>
      </c>
      <c r="I116" s="31">
        <v>8.7423200800000007</v>
      </c>
      <c r="J116" s="31">
        <v>4693.0659529700006</v>
      </c>
      <c r="K116" s="31">
        <v>3089.6900873200002</v>
      </c>
      <c r="L116" s="31"/>
      <c r="M116" s="31"/>
      <c r="N116" s="31">
        <f t="shared" si="32"/>
        <v>811.76286828000002</v>
      </c>
      <c r="O116" s="31">
        <f t="shared" si="32"/>
        <v>8.7423200800000007</v>
      </c>
      <c r="P116" s="31">
        <f t="shared" si="32"/>
        <v>806.0575682800004</v>
      </c>
      <c r="Q116" s="31">
        <f t="shared" si="33"/>
        <v>20.884000957583225</v>
      </c>
      <c r="R116" s="49" t="s">
        <v>31</v>
      </c>
      <c r="S116" s="33">
        <f t="shared" si="34"/>
        <v>20.737222267254921</v>
      </c>
    </row>
    <row r="117" spans="1:24" s="64" customFormat="1" hidden="1" x14ac:dyDescent="0.25">
      <c r="A117" s="251" t="s">
        <v>320</v>
      </c>
      <c r="B117" s="55"/>
      <c r="C117" s="55"/>
      <c r="D117" s="55"/>
      <c r="E117" s="55"/>
      <c r="F117" s="55"/>
      <c r="G117" s="55"/>
      <c r="H117" s="55"/>
      <c r="I117" s="55"/>
      <c r="J117" s="55"/>
      <c r="K117" s="55"/>
      <c r="L117" s="55"/>
      <c r="M117" s="55"/>
      <c r="N117" s="55"/>
      <c r="O117" s="55"/>
      <c r="P117" s="55"/>
      <c r="Q117" s="55"/>
      <c r="R117" s="55"/>
      <c r="S117" s="252"/>
      <c r="T117" s="63"/>
      <c r="U117" s="63"/>
      <c r="V117" s="63"/>
      <c r="W117" s="63"/>
      <c r="X117" s="63"/>
    </row>
    <row r="118" spans="1:24" x14ac:dyDescent="0.25">
      <c r="A118" s="245" t="s">
        <v>284</v>
      </c>
      <c r="B118" s="31">
        <v>6870.2269512399998</v>
      </c>
      <c r="C118" s="31">
        <v>7893.2359856200001</v>
      </c>
      <c r="D118" s="31">
        <v>6027.5444551600003</v>
      </c>
      <c r="E118" s="31"/>
      <c r="F118" s="31"/>
      <c r="G118" s="31"/>
      <c r="H118" s="31">
        <v>7570.1842077399997</v>
      </c>
      <c r="I118" s="31">
        <v>8948.3829725899996</v>
      </c>
      <c r="J118" s="31">
        <v>6475.2694527399999</v>
      </c>
      <c r="K118" s="31"/>
      <c r="L118" s="31"/>
      <c r="M118" s="31"/>
      <c r="N118" s="31">
        <f t="shared" si="32"/>
        <v>699.95725649999986</v>
      </c>
      <c r="O118" s="31">
        <f t="shared" si="32"/>
        <v>1055.1469869699995</v>
      </c>
      <c r="P118" s="31">
        <f t="shared" si="32"/>
        <v>447.72499757999958</v>
      </c>
      <c r="Q118" s="31">
        <f t="shared" si="33"/>
        <v>10.188269783047943</v>
      </c>
      <c r="R118" s="31">
        <f t="shared" si="33"/>
        <v>13.367736488460253</v>
      </c>
      <c r="S118" s="33">
        <f t="shared" si="34"/>
        <v>7.4279833340211354</v>
      </c>
    </row>
    <row r="119" spans="1:24" hidden="1" x14ac:dyDescent="0.25">
      <c r="A119" s="251" t="s">
        <v>320</v>
      </c>
      <c r="B119" s="55"/>
      <c r="C119" s="55"/>
      <c r="D119" s="55"/>
      <c r="E119" s="55"/>
      <c r="F119" s="55"/>
      <c r="G119" s="55"/>
      <c r="H119" s="55"/>
      <c r="I119" s="55"/>
      <c r="J119" s="55"/>
      <c r="K119" s="31"/>
      <c r="L119" s="31"/>
      <c r="M119" s="31"/>
      <c r="N119" s="31"/>
      <c r="O119" s="31"/>
      <c r="P119" s="31"/>
      <c r="Q119" s="31"/>
      <c r="R119" s="31"/>
      <c r="S119" s="33"/>
    </row>
    <row r="120" spans="1:24" x14ac:dyDescent="0.25">
      <c r="A120" s="245" t="s">
        <v>348</v>
      </c>
      <c r="B120" s="31">
        <v>981.89966492999997</v>
      </c>
      <c r="C120" s="31">
        <v>73.686570000000003</v>
      </c>
      <c r="D120" s="31">
        <v>908.31309493000003</v>
      </c>
      <c r="E120" s="31"/>
      <c r="F120" s="31"/>
      <c r="G120" s="31"/>
      <c r="H120" s="31">
        <v>1256.1644735699999</v>
      </c>
      <c r="I120" s="31">
        <v>113.63119451</v>
      </c>
      <c r="J120" s="31">
        <v>1168.9974845699999</v>
      </c>
      <c r="K120" s="31"/>
      <c r="L120" s="31"/>
      <c r="M120" s="31"/>
      <c r="N120" s="31">
        <f t="shared" ref="N120" si="39">H120-B120</f>
        <v>274.26480863999996</v>
      </c>
      <c r="O120" s="31">
        <f t="shared" ref="O120" si="40">I120-C120</f>
        <v>39.944624509999997</v>
      </c>
      <c r="P120" s="31">
        <f t="shared" ref="P120" si="41">J120-D120</f>
        <v>260.68438963999984</v>
      </c>
      <c r="Q120" s="49" t="s">
        <v>31</v>
      </c>
      <c r="R120" s="49" t="s">
        <v>31</v>
      </c>
      <c r="S120" s="46" t="s">
        <v>31</v>
      </c>
    </row>
    <row r="121" spans="1:24" hidden="1" x14ac:dyDescent="0.25">
      <c r="A121" s="251" t="s">
        <v>320</v>
      </c>
      <c r="B121" s="55"/>
      <c r="C121" s="55"/>
      <c r="D121" s="55"/>
      <c r="E121" s="55"/>
      <c r="F121" s="55"/>
      <c r="G121" s="55"/>
      <c r="H121" s="55"/>
      <c r="I121" s="55"/>
      <c r="J121" s="55"/>
      <c r="K121" s="31"/>
      <c r="L121" s="31"/>
      <c r="M121" s="31"/>
      <c r="N121" s="31"/>
      <c r="O121" s="31"/>
      <c r="P121" s="31"/>
      <c r="Q121" s="31"/>
      <c r="R121" s="31"/>
      <c r="S121" s="33"/>
    </row>
    <row r="122" spans="1:24" x14ac:dyDescent="0.25">
      <c r="A122" s="245" t="s">
        <v>285</v>
      </c>
      <c r="B122" s="31">
        <v>1185.0119094700001</v>
      </c>
      <c r="C122" s="31">
        <v>1185.0119094700001</v>
      </c>
      <c r="D122" s="31">
        <v>0</v>
      </c>
      <c r="E122" s="31"/>
      <c r="F122" s="31"/>
      <c r="G122" s="31"/>
      <c r="H122" s="31">
        <v>1423.1837956700001</v>
      </c>
      <c r="I122" s="31">
        <v>1423.1837956700001</v>
      </c>
      <c r="J122" s="31">
        <v>0</v>
      </c>
      <c r="K122" s="31"/>
      <c r="L122" s="31"/>
      <c r="M122" s="31"/>
      <c r="N122" s="31">
        <f t="shared" si="32"/>
        <v>238.17188620000002</v>
      </c>
      <c r="O122" s="31">
        <f t="shared" si="32"/>
        <v>238.17188620000002</v>
      </c>
      <c r="P122" s="31">
        <f t="shared" si="32"/>
        <v>0</v>
      </c>
      <c r="Q122" s="31">
        <f t="shared" si="33"/>
        <v>20.098691354631455</v>
      </c>
      <c r="R122" s="31">
        <f t="shared" si="33"/>
        <v>20.098691354631455</v>
      </c>
      <c r="S122" s="46" t="s">
        <v>31</v>
      </c>
    </row>
    <row r="123" spans="1:24" ht="26.4" x14ac:dyDescent="0.25">
      <c r="A123" s="245" t="s">
        <v>286</v>
      </c>
      <c r="B123" s="31">
        <v>55.207734869999996</v>
      </c>
      <c r="C123" s="31">
        <v>53.529482739999999</v>
      </c>
      <c r="D123" s="31">
        <v>1.67825213</v>
      </c>
      <c r="E123" s="31"/>
      <c r="F123" s="31"/>
      <c r="G123" s="31"/>
      <c r="H123" s="31">
        <v>67.052723409999999</v>
      </c>
      <c r="I123" s="31">
        <v>65.261975669999998</v>
      </c>
      <c r="J123" s="31">
        <v>1.79074774</v>
      </c>
      <c r="K123" s="31"/>
      <c r="L123" s="31"/>
      <c r="M123" s="31"/>
      <c r="N123" s="31">
        <f t="shared" si="32"/>
        <v>11.844988540000003</v>
      </c>
      <c r="O123" s="31">
        <f t="shared" si="32"/>
        <v>11.732492929999999</v>
      </c>
      <c r="P123" s="31">
        <f t="shared" si="32"/>
        <v>0.11249561000000008</v>
      </c>
      <c r="Q123" s="31">
        <f t="shared" si="33"/>
        <v>21.455306159348694</v>
      </c>
      <c r="R123" s="31">
        <f t="shared" si="33"/>
        <v>21.917814874069151</v>
      </c>
      <c r="S123" s="33">
        <f t="shared" si="34"/>
        <v>6.703141202031432</v>
      </c>
    </row>
    <row r="124" spans="1:24" x14ac:dyDescent="0.25">
      <c r="A124" s="245" t="s">
        <v>349</v>
      </c>
      <c r="B124" s="31">
        <v>244.69001109000001</v>
      </c>
      <c r="C124" s="31">
        <v>201.12780280999999</v>
      </c>
      <c r="D124" s="31">
        <v>100.84616009</v>
      </c>
      <c r="E124" s="31"/>
      <c r="F124" s="31"/>
      <c r="G124" s="31"/>
      <c r="H124" s="31">
        <v>241.02428544999998</v>
      </c>
      <c r="I124" s="31">
        <v>216.43339444</v>
      </c>
      <c r="J124" s="31">
        <v>88.450047770000012</v>
      </c>
      <c r="K124" s="31"/>
      <c r="L124" s="31"/>
      <c r="M124" s="31"/>
      <c r="N124" s="31">
        <f t="shared" si="32"/>
        <v>-3.6657256400000335</v>
      </c>
      <c r="O124" s="31">
        <f t="shared" si="32"/>
        <v>15.305591630000009</v>
      </c>
      <c r="P124" s="31">
        <f t="shared" si="32"/>
        <v>-12.396112319999986</v>
      </c>
      <c r="Q124" s="31">
        <f t="shared" si="33"/>
        <v>-1.4981100469408801</v>
      </c>
      <c r="R124" s="31">
        <f t="shared" si="33"/>
        <v>7.6098835746039413</v>
      </c>
      <c r="S124" s="33">
        <f t="shared" si="34"/>
        <v>-12.292101463196119</v>
      </c>
    </row>
    <row r="125" spans="1:24" hidden="1" x14ac:dyDescent="0.25">
      <c r="A125" s="251" t="s">
        <v>320</v>
      </c>
      <c r="B125" s="55"/>
      <c r="C125" s="55"/>
      <c r="D125" s="55"/>
      <c r="E125" s="55"/>
      <c r="F125" s="55"/>
      <c r="G125" s="55"/>
      <c r="H125" s="55"/>
      <c r="I125" s="55"/>
      <c r="J125" s="55"/>
      <c r="K125" s="31"/>
      <c r="L125" s="31"/>
      <c r="M125" s="31"/>
      <c r="N125" s="31"/>
      <c r="O125" s="31"/>
      <c r="P125" s="31"/>
      <c r="Q125" s="31"/>
      <c r="R125" s="31"/>
      <c r="S125" s="33"/>
    </row>
    <row r="126" spans="1:24" ht="26.4" x14ac:dyDescent="0.25">
      <c r="A126" s="245" t="s">
        <v>287</v>
      </c>
      <c r="B126" s="31">
        <v>1.6620760000000001</v>
      </c>
      <c r="C126" s="31">
        <v>1.6620760000000001</v>
      </c>
      <c r="D126" s="31">
        <v>0</v>
      </c>
      <c r="E126" s="31"/>
      <c r="F126" s="31"/>
      <c r="G126" s="31"/>
      <c r="H126" s="31">
        <v>1.8160860000000001</v>
      </c>
      <c r="I126" s="31">
        <v>1.8160860000000001</v>
      </c>
      <c r="J126" s="31">
        <v>0</v>
      </c>
      <c r="K126" s="31"/>
      <c r="L126" s="31"/>
      <c r="M126" s="31"/>
      <c r="N126" s="31">
        <f t="shared" si="32"/>
        <v>0.15400999999999998</v>
      </c>
      <c r="O126" s="31">
        <f t="shared" si="32"/>
        <v>0.15400999999999998</v>
      </c>
      <c r="P126" s="31">
        <f t="shared" si="32"/>
        <v>0</v>
      </c>
      <c r="Q126" s="31">
        <f t="shared" si="33"/>
        <v>9.2661226081117718</v>
      </c>
      <c r="R126" s="31">
        <f t="shared" si="33"/>
        <v>9.2661226081117718</v>
      </c>
      <c r="S126" s="46" t="s">
        <v>31</v>
      </c>
    </row>
    <row r="127" spans="1:24" x14ac:dyDescent="0.25">
      <c r="A127" s="245" t="s">
        <v>288</v>
      </c>
      <c r="B127" s="31">
        <v>364.97694201000002</v>
      </c>
      <c r="C127" s="31">
        <v>367.60830095</v>
      </c>
      <c r="D127" s="31">
        <v>248.65879944</v>
      </c>
      <c r="E127" s="31"/>
      <c r="F127" s="31"/>
      <c r="G127" s="31"/>
      <c r="H127" s="31">
        <v>319.05106832999996</v>
      </c>
      <c r="I127" s="31">
        <v>361.29818905000002</v>
      </c>
      <c r="J127" s="31">
        <v>218.97194166</v>
      </c>
      <c r="K127" s="31"/>
      <c r="L127" s="31"/>
      <c r="M127" s="31"/>
      <c r="N127" s="31">
        <f t="shared" si="32"/>
        <v>-45.925873680000052</v>
      </c>
      <c r="O127" s="31">
        <f t="shared" si="32"/>
        <v>-6.3101118999999812</v>
      </c>
      <c r="P127" s="31">
        <f t="shared" si="32"/>
        <v>-29.686857779999997</v>
      </c>
      <c r="Q127" s="31">
        <f t="shared" si="33"/>
        <v>-12.58322606000182</v>
      </c>
      <c r="R127" s="31">
        <f t="shared" si="33"/>
        <v>-1.7165313959703639</v>
      </c>
      <c r="S127" s="33">
        <f t="shared" si="34"/>
        <v>-11.938792372060519</v>
      </c>
    </row>
    <row r="128" spans="1:24" hidden="1" x14ac:dyDescent="0.25">
      <c r="A128" s="251" t="s">
        <v>320</v>
      </c>
      <c r="B128" s="55"/>
      <c r="C128" s="55"/>
      <c r="D128" s="55"/>
      <c r="E128" s="55"/>
      <c r="F128" s="55"/>
      <c r="G128" s="55"/>
      <c r="H128" s="55"/>
      <c r="I128" s="55"/>
      <c r="J128" s="55"/>
      <c r="K128" s="31"/>
      <c r="L128" s="31"/>
      <c r="M128" s="31"/>
      <c r="N128" s="31"/>
      <c r="O128" s="31"/>
      <c r="P128" s="31"/>
      <c r="Q128" s="31"/>
      <c r="R128" s="31"/>
      <c r="S128" s="33"/>
    </row>
    <row r="129" spans="1:24" x14ac:dyDescent="0.25">
      <c r="A129" s="91" t="s">
        <v>289</v>
      </c>
      <c r="B129" s="35">
        <v>1315.3667207199999</v>
      </c>
      <c r="C129" s="35">
        <v>455.46473102000004</v>
      </c>
      <c r="D129" s="35">
        <v>888.25482496000006</v>
      </c>
      <c r="E129" s="35"/>
      <c r="F129" s="35"/>
      <c r="G129" s="35"/>
      <c r="H129" s="35">
        <v>1899.8378687699999</v>
      </c>
      <c r="I129" s="35">
        <v>883.45241059</v>
      </c>
      <c r="J129" s="35">
        <v>1268.8390488499999</v>
      </c>
      <c r="K129" s="35">
        <f t="shared" ref="K129:M129" si="42">K130+K132</f>
        <v>0</v>
      </c>
      <c r="L129" s="35">
        <f t="shared" si="42"/>
        <v>0</v>
      </c>
      <c r="M129" s="35">
        <f t="shared" si="42"/>
        <v>0</v>
      </c>
      <c r="N129" s="35">
        <f t="shared" si="32"/>
        <v>584.47114805000001</v>
      </c>
      <c r="O129" s="35">
        <f t="shared" si="32"/>
        <v>427.98767956999995</v>
      </c>
      <c r="P129" s="35">
        <f t="shared" si="32"/>
        <v>380.58422388999986</v>
      </c>
      <c r="Q129" s="35">
        <f t="shared" si="33"/>
        <v>44.434083578614093</v>
      </c>
      <c r="R129" s="35">
        <f t="shared" si="33"/>
        <v>93.967249365616965</v>
      </c>
      <c r="S129" s="36">
        <f t="shared" si="34"/>
        <v>42.846288384320161</v>
      </c>
    </row>
    <row r="130" spans="1:24" x14ac:dyDescent="0.25">
      <c r="A130" s="245" t="s">
        <v>290</v>
      </c>
      <c r="B130" s="31">
        <v>1257.4546621</v>
      </c>
      <c r="C130" s="31">
        <v>433.77981322000005</v>
      </c>
      <c r="D130" s="31">
        <v>852.02768414000002</v>
      </c>
      <c r="E130" s="31"/>
      <c r="F130" s="31"/>
      <c r="G130" s="31"/>
      <c r="H130" s="31">
        <v>1843.3766756700002</v>
      </c>
      <c r="I130" s="31">
        <v>862.53372134000006</v>
      </c>
      <c r="J130" s="31">
        <f>1319.08656293-J131</f>
        <v>1233.2965449999999</v>
      </c>
      <c r="K130" s="31"/>
      <c r="L130" s="31"/>
      <c r="M130" s="31"/>
      <c r="N130" s="31">
        <f t="shared" si="32"/>
        <v>585.92201357000022</v>
      </c>
      <c r="O130" s="31">
        <f t="shared" si="32"/>
        <v>428.75390812000001</v>
      </c>
      <c r="P130" s="31">
        <f t="shared" si="32"/>
        <v>381.2688608599999</v>
      </c>
      <c r="Q130" s="31">
        <f t="shared" si="33"/>
        <v>46.595875877662792</v>
      </c>
      <c r="R130" s="31">
        <f t="shared" si="33"/>
        <v>98.841369527389446</v>
      </c>
      <c r="S130" s="33">
        <f t="shared" si="34"/>
        <v>44.748412282499515</v>
      </c>
    </row>
    <row r="131" spans="1:24" s="64" customFormat="1" hidden="1" x14ac:dyDescent="0.25">
      <c r="A131" s="251" t="s">
        <v>320</v>
      </c>
      <c r="B131" s="55"/>
      <c r="C131" s="55"/>
      <c r="D131" s="55"/>
      <c r="E131" s="55"/>
      <c r="F131" s="55"/>
      <c r="G131" s="55"/>
      <c r="H131" s="55">
        <v>0.25330000000000003</v>
      </c>
      <c r="I131" s="55">
        <v>252.70689066999998</v>
      </c>
      <c r="J131" s="55">
        <v>85.790017930000005</v>
      </c>
      <c r="K131" s="55"/>
      <c r="L131" s="55"/>
      <c r="M131" s="55"/>
      <c r="N131" s="55"/>
      <c r="O131" s="55"/>
      <c r="P131" s="55"/>
      <c r="Q131" s="55"/>
      <c r="R131" s="55"/>
      <c r="S131" s="252"/>
      <c r="T131" s="63"/>
      <c r="U131" s="63"/>
      <c r="V131" s="63"/>
      <c r="W131" s="63"/>
      <c r="X131" s="63"/>
    </row>
    <row r="132" spans="1:24" ht="26.4" x14ac:dyDescent="0.25">
      <c r="A132" s="245" t="s">
        <v>291</v>
      </c>
      <c r="B132" s="31">
        <v>57.912058619999996</v>
      </c>
      <c r="C132" s="31">
        <v>21.684917800000001</v>
      </c>
      <c r="D132" s="31">
        <v>36.227140819999995</v>
      </c>
      <c r="E132" s="31"/>
      <c r="F132" s="31"/>
      <c r="G132" s="31"/>
      <c r="H132" s="31">
        <v>56.461193100000003</v>
      </c>
      <c r="I132" s="31">
        <v>20.91868925</v>
      </c>
      <c r="J132" s="31">
        <f>35.78750385-J133</f>
        <v>35.542503850000003</v>
      </c>
      <c r="K132" s="31"/>
      <c r="L132" s="31"/>
      <c r="M132" s="31"/>
      <c r="N132" s="31">
        <f t="shared" si="32"/>
        <v>-1.4508655199999936</v>
      </c>
      <c r="O132" s="31">
        <f t="shared" si="32"/>
        <v>-0.76622855000000101</v>
      </c>
      <c r="P132" s="31">
        <f t="shared" si="32"/>
        <v>-0.68463696999999257</v>
      </c>
      <c r="Q132" s="31">
        <f t="shared" si="33"/>
        <v>-2.5052908747728964</v>
      </c>
      <c r="R132" s="31">
        <f t="shared" si="33"/>
        <v>-3.5334630136343037</v>
      </c>
      <c r="S132" s="33">
        <f t="shared" si="34"/>
        <v>-1.8898454432319625</v>
      </c>
    </row>
    <row r="133" spans="1:24" hidden="1" x14ac:dyDescent="0.25">
      <c r="A133" s="251" t="s">
        <v>320</v>
      </c>
      <c r="B133" s="55"/>
      <c r="C133" s="55"/>
      <c r="D133" s="55"/>
      <c r="E133" s="55"/>
      <c r="F133" s="55"/>
      <c r="G133" s="55"/>
      <c r="H133" s="55">
        <v>0</v>
      </c>
      <c r="I133" s="55">
        <v>0</v>
      </c>
      <c r="J133" s="55">
        <v>0.245</v>
      </c>
      <c r="K133" s="55"/>
      <c r="L133" s="55"/>
      <c r="M133" s="55"/>
      <c r="N133" s="55"/>
      <c r="O133" s="55"/>
      <c r="P133" s="55"/>
      <c r="Q133" s="55"/>
      <c r="R133" s="55"/>
      <c r="S133" s="252"/>
    </row>
    <row r="134" spans="1:24" x14ac:dyDescent="0.25">
      <c r="A134" s="91" t="s">
        <v>292</v>
      </c>
      <c r="B134" s="35">
        <v>2279.8163331999999</v>
      </c>
      <c r="C134" s="35">
        <v>2279.6163331999996</v>
      </c>
      <c r="D134" s="35">
        <v>0.2</v>
      </c>
      <c r="E134" s="35"/>
      <c r="F134" s="35"/>
      <c r="G134" s="35"/>
      <c r="H134" s="35">
        <v>2826.9970679200001</v>
      </c>
      <c r="I134" s="35">
        <v>2826.9395679200002</v>
      </c>
      <c r="J134" s="35">
        <v>5.7500000000000002E-2</v>
      </c>
      <c r="K134" s="35">
        <f t="shared" ref="K134:M134" si="43">K135+K136+K138+K139+K140+K141+K142</f>
        <v>0</v>
      </c>
      <c r="L134" s="35">
        <f t="shared" si="43"/>
        <v>0</v>
      </c>
      <c r="M134" s="35">
        <f t="shared" si="43"/>
        <v>0</v>
      </c>
      <c r="N134" s="35">
        <f t="shared" si="32"/>
        <v>547.18073472000015</v>
      </c>
      <c r="O134" s="35">
        <f t="shared" si="32"/>
        <v>547.32323472000053</v>
      </c>
      <c r="P134" s="35">
        <f t="shared" si="32"/>
        <v>-0.14250000000000002</v>
      </c>
      <c r="Q134" s="35">
        <f t="shared" si="33"/>
        <v>24.001088453996886</v>
      </c>
      <c r="R134" s="35">
        <f t="shared" si="33"/>
        <v>24.0094452188671</v>
      </c>
      <c r="S134" s="36">
        <f t="shared" si="34"/>
        <v>-71.25</v>
      </c>
    </row>
    <row r="135" spans="1:24" x14ac:dyDescent="0.25">
      <c r="A135" s="245" t="s">
        <v>293</v>
      </c>
      <c r="B135" s="31">
        <v>678.58412699999997</v>
      </c>
      <c r="C135" s="31">
        <v>678.58412699999997</v>
      </c>
      <c r="D135" s="31">
        <v>0</v>
      </c>
      <c r="E135" s="31"/>
      <c r="F135" s="31"/>
      <c r="G135" s="31"/>
      <c r="H135" s="31">
        <v>994.31352900000002</v>
      </c>
      <c r="I135" s="31">
        <v>994.31352900000002</v>
      </c>
      <c r="J135" s="31">
        <v>0</v>
      </c>
      <c r="K135" s="31"/>
      <c r="L135" s="31"/>
      <c r="M135" s="31"/>
      <c r="N135" s="31">
        <f t="shared" si="32"/>
        <v>315.72940200000005</v>
      </c>
      <c r="O135" s="31">
        <f t="shared" si="32"/>
        <v>315.72940200000005</v>
      </c>
      <c r="P135" s="31">
        <f t="shared" si="32"/>
        <v>0</v>
      </c>
      <c r="Q135" s="31">
        <f t="shared" si="33"/>
        <v>46.527672758251839</v>
      </c>
      <c r="R135" s="31">
        <f t="shared" si="33"/>
        <v>46.527672758251839</v>
      </c>
      <c r="S135" s="46" t="s">
        <v>31</v>
      </c>
    </row>
    <row r="136" spans="1:24" x14ac:dyDescent="0.25">
      <c r="A136" s="245" t="s">
        <v>294</v>
      </c>
      <c r="B136" s="31">
        <v>965.89396284999998</v>
      </c>
      <c r="C136" s="31">
        <v>965.89396284999998</v>
      </c>
      <c r="D136" s="31">
        <v>0</v>
      </c>
      <c r="E136" s="31"/>
      <c r="F136" s="31"/>
      <c r="G136" s="31"/>
      <c r="H136" s="31">
        <v>977.86915679999993</v>
      </c>
      <c r="I136" s="31">
        <v>977.86915679999993</v>
      </c>
      <c r="J136" s="31">
        <v>0</v>
      </c>
      <c r="K136" s="31"/>
      <c r="L136" s="31"/>
      <c r="M136" s="31"/>
      <c r="N136" s="31">
        <f t="shared" si="32"/>
        <v>11.975193949999948</v>
      </c>
      <c r="O136" s="31">
        <f t="shared" si="32"/>
        <v>11.975193949999948</v>
      </c>
      <c r="P136" s="31">
        <f t="shared" si="32"/>
        <v>0</v>
      </c>
      <c r="Q136" s="31">
        <f t="shared" ref="Q136" si="44">H136/B136%-100</f>
        <v>1.2398042032135095</v>
      </c>
      <c r="R136" s="31">
        <f t="shared" ref="R136" si="45">I136/C136%-100</f>
        <v>1.2398042032135095</v>
      </c>
      <c r="S136" s="46" t="s">
        <v>31</v>
      </c>
    </row>
    <row r="137" spans="1:24" ht="26.4" x14ac:dyDescent="0.25">
      <c r="A137" s="245" t="s">
        <v>322</v>
      </c>
      <c r="B137" s="31">
        <v>10.842499999999999</v>
      </c>
      <c r="C137" s="31">
        <v>10.842499999999999</v>
      </c>
      <c r="D137" s="31">
        <v>0</v>
      </c>
      <c r="E137" s="31"/>
      <c r="F137" s="31"/>
      <c r="G137" s="31"/>
      <c r="H137" s="31">
        <v>13.4566</v>
      </c>
      <c r="I137" s="31">
        <v>13.4566</v>
      </c>
      <c r="J137" s="31">
        <v>0</v>
      </c>
      <c r="K137" s="31"/>
      <c r="L137" s="31"/>
      <c r="M137" s="31"/>
      <c r="N137" s="31">
        <f t="shared" ref="N137" si="46">H137-B137</f>
        <v>2.6141000000000005</v>
      </c>
      <c r="O137" s="31">
        <f t="shared" ref="O137" si="47">I137-C137</f>
        <v>2.6141000000000005</v>
      </c>
      <c r="P137" s="31">
        <f t="shared" ref="P137" si="48">J137-D137</f>
        <v>0</v>
      </c>
      <c r="Q137" s="31">
        <f t="shared" ref="Q137" si="49">H137/B137%-100</f>
        <v>24.10975328568135</v>
      </c>
      <c r="R137" s="31">
        <f t="shared" ref="R137" si="50">I137/C137%-100</f>
        <v>24.10975328568135</v>
      </c>
      <c r="S137" s="46" t="s">
        <v>31</v>
      </c>
    </row>
    <row r="138" spans="1:24" x14ac:dyDescent="0.25">
      <c r="A138" s="245" t="s">
        <v>295</v>
      </c>
      <c r="B138" s="31">
        <v>140.12445890000001</v>
      </c>
      <c r="C138" s="31">
        <v>140.12445890000001</v>
      </c>
      <c r="D138" s="31">
        <v>0</v>
      </c>
      <c r="E138" s="31"/>
      <c r="F138" s="31"/>
      <c r="G138" s="31"/>
      <c r="H138" s="31">
        <v>293.98948908</v>
      </c>
      <c r="I138" s="31">
        <v>293.98948908</v>
      </c>
      <c r="J138" s="31">
        <v>0</v>
      </c>
      <c r="K138" s="31"/>
      <c r="L138" s="31"/>
      <c r="M138" s="31"/>
      <c r="N138" s="31">
        <f t="shared" si="32"/>
        <v>153.86503017999999</v>
      </c>
      <c r="O138" s="31">
        <f t="shared" si="32"/>
        <v>153.86503017999999</v>
      </c>
      <c r="P138" s="31">
        <f t="shared" si="32"/>
        <v>0</v>
      </c>
      <c r="Q138" s="31">
        <f t="shared" ref="Q138" si="51">H138/B138%-100</f>
        <v>109.80597633551324</v>
      </c>
      <c r="R138" s="31">
        <f t="shared" ref="R138" si="52">I138/C138%-100</f>
        <v>109.80597633551324</v>
      </c>
      <c r="S138" s="46" t="s">
        <v>31</v>
      </c>
      <c r="T138" s="7">
        <f>N138/B138</f>
        <v>1.0980597633551326</v>
      </c>
    </row>
    <row r="139" spans="1:24" x14ac:dyDescent="0.25">
      <c r="A139" s="245" t="s">
        <v>296</v>
      </c>
      <c r="B139" s="31">
        <v>95.569810000000004</v>
      </c>
      <c r="C139" s="31">
        <v>95.569810000000004</v>
      </c>
      <c r="D139" s="31">
        <v>0</v>
      </c>
      <c r="E139" s="31"/>
      <c r="F139" s="31"/>
      <c r="G139" s="31"/>
      <c r="H139" s="31">
        <v>82.923242110000004</v>
      </c>
      <c r="I139" s="31">
        <v>82.923242110000004</v>
      </c>
      <c r="J139" s="31">
        <v>0</v>
      </c>
      <c r="K139" s="31"/>
      <c r="L139" s="31"/>
      <c r="M139" s="31"/>
      <c r="N139" s="31">
        <f t="shared" si="32"/>
        <v>-12.64656789</v>
      </c>
      <c r="O139" s="31">
        <f t="shared" si="32"/>
        <v>-12.64656789</v>
      </c>
      <c r="P139" s="31">
        <f t="shared" si="32"/>
        <v>0</v>
      </c>
      <c r="Q139" s="31">
        <f t="shared" si="33"/>
        <v>-13.232806353805657</v>
      </c>
      <c r="R139" s="31">
        <f t="shared" si="33"/>
        <v>-13.232806353805657</v>
      </c>
      <c r="S139" s="46" t="s">
        <v>31</v>
      </c>
    </row>
    <row r="140" spans="1:24" ht="39.6" x14ac:dyDescent="0.25">
      <c r="A140" s="245" t="s">
        <v>297</v>
      </c>
      <c r="B140" s="31">
        <v>59.7699</v>
      </c>
      <c r="C140" s="31">
        <v>59.7699</v>
      </c>
      <c r="D140" s="31">
        <v>0</v>
      </c>
      <c r="E140" s="31"/>
      <c r="F140" s="31"/>
      <c r="G140" s="31"/>
      <c r="H140" s="31">
        <v>72.001999999999995</v>
      </c>
      <c r="I140" s="31">
        <v>72.001999999999995</v>
      </c>
      <c r="J140" s="31">
        <v>0</v>
      </c>
      <c r="K140" s="31"/>
      <c r="L140" s="31"/>
      <c r="M140" s="31"/>
      <c r="N140" s="31">
        <f t="shared" si="32"/>
        <v>12.232099999999996</v>
      </c>
      <c r="O140" s="31">
        <f t="shared" si="32"/>
        <v>12.232099999999996</v>
      </c>
      <c r="P140" s="31">
        <f t="shared" si="32"/>
        <v>0</v>
      </c>
      <c r="Q140" s="31">
        <f t="shared" si="33"/>
        <v>20.46531782720065</v>
      </c>
      <c r="R140" s="31">
        <f t="shared" si="33"/>
        <v>20.46531782720065</v>
      </c>
      <c r="S140" s="46" t="s">
        <v>31</v>
      </c>
    </row>
    <row r="141" spans="1:24" ht="26.4" x14ac:dyDescent="0.25">
      <c r="A141" s="245" t="s">
        <v>298</v>
      </c>
      <c r="B141" s="31"/>
      <c r="C141" s="31"/>
      <c r="D141" s="31"/>
      <c r="E141" s="31"/>
      <c r="F141" s="31"/>
      <c r="G141" s="31"/>
      <c r="H141" s="31"/>
      <c r="I141" s="31"/>
      <c r="J141" s="31"/>
      <c r="K141" s="31"/>
      <c r="L141" s="31"/>
      <c r="M141" s="31"/>
      <c r="N141" s="31">
        <f t="shared" si="32"/>
        <v>0</v>
      </c>
      <c r="O141" s="31">
        <f t="shared" si="32"/>
        <v>0</v>
      </c>
      <c r="P141" s="31">
        <f t="shared" si="32"/>
        <v>0</v>
      </c>
      <c r="Q141" s="49" t="s">
        <v>31</v>
      </c>
      <c r="R141" s="49" t="s">
        <v>31</v>
      </c>
      <c r="S141" s="46" t="s">
        <v>31</v>
      </c>
    </row>
    <row r="142" spans="1:24" ht="26.4" x14ac:dyDescent="0.25">
      <c r="A142" s="245" t="s">
        <v>299</v>
      </c>
      <c r="B142" s="31">
        <v>329.03157444999999</v>
      </c>
      <c r="C142" s="31">
        <v>328.83157445000001</v>
      </c>
      <c r="D142" s="31">
        <v>0.2</v>
      </c>
      <c r="E142" s="31"/>
      <c r="F142" s="31"/>
      <c r="G142" s="31"/>
      <c r="H142" s="31">
        <v>392.44305093000003</v>
      </c>
      <c r="I142" s="31">
        <v>392.38555093000002</v>
      </c>
      <c r="J142" s="31">
        <v>5.7500000000000002E-2</v>
      </c>
      <c r="K142" s="31"/>
      <c r="L142" s="31"/>
      <c r="M142" s="31"/>
      <c r="N142" s="31">
        <f t="shared" si="32"/>
        <v>63.411476480000033</v>
      </c>
      <c r="O142" s="31">
        <f t="shared" si="32"/>
        <v>63.553976480000017</v>
      </c>
      <c r="P142" s="31">
        <f t="shared" si="32"/>
        <v>-0.14250000000000002</v>
      </c>
      <c r="Q142" s="31">
        <f t="shared" si="33"/>
        <v>19.272155441615865</v>
      </c>
      <c r="R142" s="31">
        <f t="shared" si="33"/>
        <v>19.327212292888746</v>
      </c>
      <c r="S142" s="33">
        <f t="shared" si="34"/>
        <v>-71.25</v>
      </c>
    </row>
    <row r="143" spans="1:24" x14ac:dyDescent="0.25">
      <c r="A143" s="91" t="s">
        <v>300</v>
      </c>
      <c r="B143" s="35">
        <v>10555.837270510001</v>
      </c>
      <c r="C143" s="35">
        <v>10388.700004939999</v>
      </c>
      <c r="D143" s="35">
        <v>756.97809851000011</v>
      </c>
      <c r="E143" s="35"/>
      <c r="F143" s="35"/>
      <c r="G143" s="35"/>
      <c r="H143" s="35">
        <v>10856.854834360001</v>
      </c>
      <c r="I143" s="35">
        <v>10707.094188749999</v>
      </c>
      <c r="J143" s="35">
        <v>692.81575538000004</v>
      </c>
      <c r="K143" s="35"/>
      <c r="L143" s="35"/>
      <c r="M143" s="35"/>
      <c r="N143" s="35">
        <f t="shared" si="32"/>
        <v>301.01756385000044</v>
      </c>
      <c r="O143" s="35">
        <f t="shared" si="32"/>
        <v>318.39418380999996</v>
      </c>
      <c r="P143" s="35">
        <f t="shared" si="32"/>
        <v>-64.162343130000068</v>
      </c>
      <c r="Q143" s="35">
        <f t="shared" si="33"/>
        <v>2.8516692341493126</v>
      </c>
      <c r="R143" s="35">
        <f t="shared" si="33"/>
        <v>3.0648125719156099</v>
      </c>
      <c r="S143" s="36">
        <f t="shared" si="34"/>
        <v>-8.4761161856986575</v>
      </c>
      <c r="T143" s="7">
        <f>H134+H143</f>
        <v>13683.851902280001</v>
      </c>
      <c r="U143" s="7">
        <f>T143/H172%</f>
        <v>32.03068988470978</v>
      </c>
    </row>
    <row r="144" spans="1:24" x14ac:dyDescent="0.25">
      <c r="A144" s="245" t="s">
        <v>301</v>
      </c>
      <c r="B144" s="31">
        <v>98.51972726999999</v>
      </c>
      <c r="C144" s="31">
        <v>41.426305849999999</v>
      </c>
      <c r="D144" s="31">
        <v>57.093421419999999</v>
      </c>
      <c r="E144" s="31"/>
      <c r="F144" s="31"/>
      <c r="G144" s="31"/>
      <c r="H144" s="31">
        <v>100.80515321999999</v>
      </c>
      <c r="I144" s="31">
        <v>39.19013855</v>
      </c>
      <c r="J144" s="31">
        <f>61.61501467-J145</f>
        <v>61.615014670000001</v>
      </c>
      <c r="K144" s="31"/>
      <c r="L144" s="31"/>
      <c r="M144" s="31"/>
      <c r="N144" s="31">
        <f t="shared" si="32"/>
        <v>2.285425950000004</v>
      </c>
      <c r="O144" s="31">
        <f t="shared" si="32"/>
        <v>-2.2361672999999982</v>
      </c>
      <c r="P144" s="31">
        <f t="shared" si="32"/>
        <v>4.5215932500000022</v>
      </c>
      <c r="Q144" s="31">
        <f t="shared" si="33"/>
        <v>2.3197647956704515</v>
      </c>
      <c r="R144" s="31">
        <f t="shared" si="33"/>
        <v>-5.3979404007127982</v>
      </c>
      <c r="S144" s="33">
        <f t="shared" si="34"/>
        <v>7.9196396669548221</v>
      </c>
    </row>
    <row r="145" spans="1:24" s="64" customFormat="1" hidden="1" x14ac:dyDescent="0.25">
      <c r="A145" s="251" t="s">
        <v>320</v>
      </c>
      <c r="B145" s="55"/>
      <c r="C145" s="55"/>
      <c r="D145" s="55"/>
      <c r="E145" s="55"/>
      <c r="F145" s="55"/>
      <c r="G145" s="55"/>
      <c r="H145" s="55">
        <v>6.7924279000000007</v>
      </c>
      <c r="I145" s="55">
        <v>6.7924279000000007</v>
      </c>
      <c r="J145" s="55">
        <v>0</v>
      </c>
      <c r="K145" s="55"/>
      <c r="L145" s="55"/>
      <c r="M145" s="55"/>
      <c r="N145" s="55"/>
      <c r="O145" s="55"/>
      <c r="P145" s="55"/>
      <c r="Q145" s="55"/>
      <c r="R145" s="55"/>
      <c r="S145" s="252"/>
      <c r="T145" s="63"/>
      <c r="U145" s="63"/>
      <c r="V145" s="63"/>
      <c r="W145" s="63"/>
      <c r="X145" s="63"/>
    </row>
    <row r="146" spans="1:24" x14ac:dyDescent="0.25">
      <c r="A146" s="237" t="s">
        <v>302</v>
      </c>
      <c r="B146" s="31">
        <v>1000.46637447</v>
      </c>
      <c r="C146" s="31">
        <v>1000.4583744700001</v>
      </c>
      <c r="D146" s="31">
        <v>8.0000000000000002E-3</v>
      </c>
      <c r="E146" s="31"/>
      <c r="F146" s="31"/>
      <c r="G146" s="31"/>
      <c r="H146" s="31">
        <v>1359.1164327500001</v>
      </c>
      <c r="I146" s="31">
        <v>1359.1114327499999</v>
      </c>
      <c r="J146" s="31">
        <v>5.0000000000000001E-3</v>
      </c>
      <c r="K146" s="31"/>
      <c r="L146" s="31"/>
      <c r="M146" s="31"/>
      <c r="N146" s="31">
        <f t="shared" si="32"/>
        <v>358.65005828000005</v>
      </c>
      <c r="O146" s="31">
        <f t="shared" si="32"/>
        <v>358.65305827999987</v>
      </c>
      <c r="P146" s="31">
        <f t="shared" si="32"/>
        <v>-3.0000000000000001E-3</v>
      </c>
      <c r="Q146" s="31">
        <f t="shared" si="33"/>
        <v>35.848287102102347</v>
      </c>
      <c r="R146" s="31">
        <f t="shared" si="33"/>
        <v>35.848873619554524</v>
      </c>
      <c r="S146" s="33">
        <f t="shared" si="34"/>
        <v>-37.500000000000007</v>
      </c>
    </row>
    <row r="147" spans="1:24" x14ac:dyDescent="0.25">
      <c r="A147" s="237" t="s">
        <v>350</v>
      </c>
      <c r="B147" s="31">
        <v>8017.9817932100004</v>
      </c>
      <c r="C147" s="31">
        <v>7932.9684925399997</v>
      </c>
      <c r="D147" s="31">
        <v>320.62284834000002</v>
      </c>
      <c r="E147" s="31"/>
      <c r="F147" s="31"/>
      <c r="G147" s="31"/>
      <c r="H147" s="31">
        <v>7933.9256211400007</v>
      </c>
      <c r="I147" s="31">
        <v>7869.4011233700003</v>
      </c>
      <c r="J147" s="31">
        <v>230.68322037999999</v>
      </c>
      <c r="K147" s="31"/>
      <c r="L147" s="31"/>
      <c r="M147" s="31"/>
      <c r="N147" s="31">
        <f t="shared" si="32"/>
        <v>-84.056172069999775</v>
      </c>
      <c r="O147" s="31">
        <f t="shared" si="32"/>
        <v>-63.567369169999438</v>
      </c>
      <c r="P147" s="31">
        <f t="shared" si="32"/>
        <v>-89.939627960000024</v>
      </c>
      <c r="Q147" s="31">
        <f t="shared" si="33"/>
        <v>-1.048345758794099</v>
      </c>
      <c r="R147" s="31">
        <f t="shared" si="33"/>
        <v>-0.80130621002437863</v>
      </c>
      <c r="S147" s="33">
        <f t="shared" si="34"/>
        <v>-28.051534201525399</v>
      </c>
    </row>
    <row r="148" spans="1:24" s="64" customFormat="1" hidden="1" x14ac:dyDescent="0.25">
      <c r="A148" s="251" t="s">
        <v>320</v>
      </c>
      <c r="B148" s="55"/>
      <c r="C148" s="55"/>
      <c r="D148" s="55"/>
      <c r="E148" s="55"/>
      <c r="F148" s="55"/>
      <c r="G148" s="55"/>
      <c r="H148" s="55"/>
      <c r="I148" s="55"/>
      <c r="J148" s="55"/>
      <c r="K148" s="55"/>
      <c r="L148" s="55"/>
      <c r="M148" s="55"/>
      <c r="N148" s="55"/>
      <c r="O148" s="55"/>
      <c r="P148" s="55"/>
      <c r="Q148" s="55"/>
      <c r="R148" s="55"/>
      <c r="S148" s="252"/>
      <c r="T148" s="63"/>
      <c r="U148" s="63"/>
      <c r="V148" s="63"/>
      <c r="W148" s="63"/>
      <c r="X148" s="63"/>
    </row>
    <row r="149" spans="1:24" x14ac:dyDescent="0.25">
      <c r="A149" s="245" t="s">
        <v>303</v>
      </c>
      <c r="B149" s="31">
        <v>1356.8459431800002</v>
      </c>
      <c r="C149" s="31">
        <v>1351.4546334700001</v>
      </c>
      <c r="D149" s="31">
        <v>298.10877736999998</v>
      </c>
      <c r="E149" s="31"/>
      <c r="F149" s="31"/>
      <c r="G149" s="31"/>
      <c r="H149" s="31">
        <v>1374.9052893099999</v>
      </c>
      <c r="I149" s="31">
        <v>1369.8640808099999</v>
      </c>
      <c r="J149" s="31">
        <v>314.68928238999996</v>
      </c>
      <c r="K149" s="31"/>
      <c r="L149" s="31"/>
      <c r="M149" s="31"/>
      <c r="N149" s="31">
        <f t="shared" si="32"/>
        <v>18.059346129999767</v>
      </c>
      <c r="O149" s="31">
        <f t="shared" si="32"/>
        <v>18.409447339999815</v>
      </c>
      <c r="P149" s="31">
        <f t="shared" si="32"/>
        <v>16.580505019999976</v>
      </c>
      <c r="Q149" s="31">
        <f t="shared" si="33"/>
        <v>1.3309798522649317</v>
      </c>
      <c r="R149" s="31">
        <f t="shared" si="33"/>
        <v>1.3621949922752208</v>
      </c>
      <c r="S149" s="33">
        <f t="shared" si="34"/>
        <v>5.5618976288715487</v>
      </c>
    </row>
    <row r="150" spans="1:24" s="64" customFormat="1" hidden="1" x14ac:dyDescent="0.25">
      <c r="A150" s="251" t="s">
        <v>320</v>
      </c>
      <c r="B150" s="55"/>
      <c r="C150" s="55"/>
      <c r="D150" s="55"/>
      <c r="E150" s="55"/>
      <c r="F150" s="55"/>
      <c r="G150" s="55"/>
      <c r="H150" s="55"/>
      <c r="I150" s="55"/>
      <c r="J150" s="55"/>
      <c r="K150" s="55"/>
      <c r="L150" s="55"/>
      <c r="M150" s="55"/>
      <c r="N150" s="55"/>
      <c r="O150" s="55"/>
      <c r="P150" s="55"/>
      <c r="Q150" s="55"/>
      <c r="R150" s="55"/>
      <c r="S150" s="252"/>
      <c r="T150" s="63"/>
      <c r="U150" s="63"/>
      <c r="V150" s="63"/>
      <c r="W150" s="63"/>
      <c r="X150" s="63"/>
    </row>
    <row r="151" spans="1:24" ht="26.4" x14ac:dyDescent="0.25">
      <c r="A151" s="245" t="s">
        <v>304</v>
      </c>
      <c r="B151" s="31">
        <v>82.023432379999988</v>
      </c>
      <c r="C151" s="31">
        <v>62.392198610000001</v>
      </c>
      <c r="D151" s="31">
        <v>81.145051379999998</v>
      </c>
      <c r="E151" s="31"/>
      <c r="F151" s="31"/>
      <c r="G151" s="31"/>
      <c r="H151" s="31">
        <v>88.102337939999998</v>
      </c>
      <c r="I151" s="31">
        <v>69.527413269999997</v>
      </c>
      <c r="J151" s="31">
        <f>85.89323794-J152</f>
        <v>85.823237940000013</v>
      </c>
      <c r="K151" s="31"/>
      <c r="L151" s="31"/>
      <c r="M151" s="31"/>
      <c r="N151" s="31">
        <f t="shared" si="32"/>
        <v>6.0789055600000097</v>
      </c>
      <c r="O151" s="31">
        <f t="shared" si="32"/>
        <v>7.1352146599999955</v>
      </c>
      <c r="P151" s="31">
        <f t="shared" si="32"/>
        <v>4.6781865600000145</v>
      </c>
      <c r="Q151" s="31">
        <f t="shared" si="33"/>
        <v>7.4111816387267595</v>
      </c>
      <c r="R151" s="31">
        <f t="shared" si="33"/>
        <v>11.436068641531065</v>
      </c>
      <c r="S151" s="33">
        <f t="shared" si="34"/>
        <v>5.7652148596125699</v>
      </c>
    </row>
    <row r="152" spans="1:24" s="64" customFormat="1" hidden="1" x14ac:dyDescent="0.25">
      <c r="A152" s="251" t="s">
        <v>320</v>
      </c>
      <c r="B152" s="55"/>
      <c r="C152" s="55"/>
      <c r="D152" s="55"/>
      <c r="E152" s="55"/>
      <c r="F152" s="55"/>
      <c r="G152" s="55"/>
      <c r="H152" s="55">
        <v>0</v>
      </c>
      <c r="I152" s="55">
        <v>67.248313269999997</v>
      </c>
      <c r="J152" s="55">
        <v>7.0000000000000007E-2</v>
      </c>
      <c r="K152" s="55"/>
      <c r="L152" s="55"/>
      <c r="M152" s="55"/>
      <c r="N152" s="55"/>
      <c r="O152" s="55"/>
      <c r="P152" s="55"/>
      <c r="Q152" s="55"/>
      <c r="R152" s="55"/>
      <c r="S152" s="252"/>
      <c r="T152" s="63"/>
      <c r="U152" s="63"/>
      <c r="V152" s="63"/>
      <c r="W152" s="63"/>
      <c r="X152" s="63"/>
    </row>
    <row r="153" spans="1:24" x14ac:dyDescent="0.25">
      <c r="A153" s="91" t="s">
        <v>305</v>
      </c>
      <c r="B153" s="35">
        <v>247.27571434999999</v>
      </c>
      <c r="C153" s="35">
        <v>206.70939103999999</v>
      </c>
      <c r="D153" s="35">
        <v>45.377323310000001</v>
      </c>
      <c r="E153" s="35"/>
      <c r="F153" s="35"/>
      <c r="G153" s="35"/>
      <c r="H153" s="35">
        <v>314.70129898000005</v>
      </c>
      <c r="I153" s="35">
        <v>252.06116165</v>
      </c>
      <c r="J153" s="35">
        <v>71.085537819999999</v>
      </c>
      <c r="K153" s="35"/>
      <c r="L153" s="35"/>
      <c r="M153" s="35"/>
      <c r="N153" s="35">
        <f t="shared" si="32"/>
        <v>67.42558463000006</v>
      </c>
      <c r="O153" s="35">
        <f t="shared" si="32"/>
        <v>45.351770610000017</v>
      </c>
      <c r="P153" s="35">
        <f t="shared" si="32"/>
        <v>25.708214509999998</v>
      </c>
      <c r="Q153" s="35">
        <f t="shared" si="33"/>
        <v>27.267370274205035</v>
      </c>
      <c r="R153" s="35">
        <f t="shared" si="33"/>
        <v>21.939869486250913</v>
      </c>
      <c r="S153" s="36">
        <f t="shared" si="34"/>
        <v>56.654321222015682</v>
      </c>
    </row>
    <row r="154" spans="1:24" x14ac:dyDescent="0.25">
      <c r="A154" s="245" t="s">
        <v>306</v>
      </c>
      <c r="B154" s="31">
        <v>12.074088679999999</v>
      </c>
      <c r="C154" s="31">
        <v>0</v>
      </c>
      <c r="D154" s="31">
        <v>12.074088680000001</v>
      </c>
      <c r="E154" s="31"/>
      <c r="F154" s="31"/>
      <c r="G154" s="31"/>
      <c r="H154" s="31">
        <v>15.32078643</v>
      </c>
      <c r="I154" s="31">
        <v>0</v>
      </c>
      <c r="J154" s="31">
        <f>15.55018643-J155</f>
        <v>15.32078643</v>
      </c>
      <c r="K154" s="31"/>
      <c r="L154" s="31"/>
      <c r="M154" s="31"/>
      <c r="N154" s="31">
        <f t="shared" si="32"/>
        <v>3.2466977500000009</v>
      </c>
      <c r="O154" s="31">
        <f t="shared" si="32"/>
        <v>0</v>
      </c>
      <c r="P154" s="31">
        <f t="shared" si="32"/>
        <v>3.2466977499999992</v>
      </c>
      <c r="Q154" s="31">
        <f t="shared" si="33"/>
        <v>26.889795462393451</v>
      </c>
      <c r="R154" s="49" t="s">
        <v>31</v>
      </c>
      <c r="S154" s="33">
        <f t="shared" si="34"/>
        <v>26.889795462393437</v>
      </c>
    </row>
    <row r="155" spans="1:24" s="64" customFormat="1" hidden="1" x14ac:dyDescent="0.25">
      <c r="A155" s="251" t="s">
        <v>320</v>
      </c>
      <c r="B155" s="55"/>
      <c r="C155" s="55"/>
      <c r="D155" s="55"/>
      <c r="E155" s="55"/>
      <c r="F155" s="55"/>
      <c r="G155" s="55"/>
      <c r="H155" s="55">
        <v>0</v>
      </c>
      <c r="I155" s="55">
        <v>0</v>
      </c>
      <c r="J155" s="55">
        <v>0.22939999999999999</v>
      </c>
      <c r="K155" s="55"/>
      <c r="L155" s="55"/>
      <c r="M155" s="55"/>
      <c r="N155" s="55"/>
      <c r="O155" s="55"/>
      <c r="P155" s="55"/>
      <c r="Q155" s="55"/>
      <c r="R155" s="55"/>
      <c r="S155" s="252"/>
      <c r="T155" s="63"/>
      <c r="U155" s="63"/>
      <c r="V155" s="63"/>
      <c r="W155" s="63"/>
      <c r="X155" s="63"/>
    </row>
    <row r="156" spans="1:24" x14ac:dyDescent="0.25">
      <c r="A156" s="245" t="s">
        <v>307</v>
      </c>
      <c r="B156" s="31">
        <v>27.511652059999999</v>
      </c>
      <c r="C156" s="31">
        <v>4.8547660800000001</v>
      </c>
      <c r="D156" s="31">
        <v>27.467885980000002</v>
      </c>
      <c r="E156" s="31"/>
      <c r="F156" s="31"/>
      <c r="G156" s="31"/>
      <c r="H156" s="31">
        <v>55.629489200000002</v>
      </c>
      <c r="I156" s="31">
        <v>14.63790049</v>
      </c>
      <c r="J156" s="31">
        <f>49.8906042-J157</f>
        <v>49.436989199999999</v>
      </c>
      <c r="K156" s="31"/>
      <c r="L156" s="31"/>
      <c r="M156" s="31"/>
      <c r="N156" s="31">
        <f t="shared" si="32"/>
        <v>28.117837140000002</v>
      </c>
      <c r="O156" s="31">
        <f t="shared" si="32"/>
        <v>9.7831344099999988</v>
      </c>
      <c r="P156" s="31">
        <f t="shared" si="32"/>
        <v>21.969103219999997</v>
      </c>
      <c r="Q156" s="31">
        <f t="shared" si="33"/>
        <v>102.20337578665934</v>
      </c>
      <c r="R156" s="31">
        <f t="shared" si="33"/>
        <v>201.51608231554587</v>
      </c>
      <c r="S156" s="33">
        <f t="shared" si="34"/>
        <v>79.981048545185473</v>
      </c>
    </row>
    <row r="157" spans="1:24" s="64" customFormat="1" hidden="1" x14ac:dyDescent="0.25">
      <c r="A157" s="251" t="s">
        <v>320</v>
      </c>
      <c r="B157" s="55"/>
      <c r="C157" s="55"/>
      <c r="D157" s="55"/>
      <c r="E157" s="55"/>
      <c r="F157" s="55"/>
      <c r="G157" s="55"/>
      <c r="H157" s="55">
        <v>0</v>
      </c>
      <c r="I157" s="55">
        <v>8.4454004900000008</v>
      </c>
      <c r="J157" s="55">
        <v>0.45361499999999999</v>
      </c>
      <c r="K157" s="55"/>
      <c r="L157" s="55"/>
      <c r="M157" s="55"/>
      <c r="N157" s="55"/>
      <c r="O157" s="55"/>
      <c r="P157" s="55"/>
      <c r="Q157" s="55"/>
      <c r="R157" s="55"/>
      <c r="S157" s="252"/>
      <c r="T157" s="63"/>
      <c r="U157" s="63"/>
      <c r="V157" s="63"/>
      <c r="W157" s="63"/>
      <c r="X157" s="63"/>
    </row>
    <row r="158" spans="1:24" x14ac:dyDescent="0.25">
      <c r="A158" s="245" t="s">
        <v>308</v>
      </c>
      <c r="B158" s="31">
        <v>194.61519999999999</v>
      </c>
      <c r="C158" s="31">
        <v>194.108</v>
      </c>
      <c r="D158" s="31">
        <v>0.50719999999999998</v>
      </c>
      <c r="E158" s="31"/>
      <c r="F158" s="31"/>
      <c r="G158" s="31"/>
      <c r="H158" s="31">
        <v>230.17068888999998</v>
      </c>
      <c r="I158" s="31">
        <v>229.66068888999999</v>
      </c>
      <c r="J158" s="31">
        <v>0.51</v>
      </c>
      <c r="K158" s="31"/>
      <c r="L158" s="31"/>
      <c r="M158" s="31"/>
      <c r="N158" s="31">
        <f t="shared" si="32"/>
        <v>35.555488889999992</v>
      </c>
      <c r="O158" s="31">
        <f t="shared" si="32"/>
        <v>35.552688889999985</v>
      </c>
      <c r="P158" s="31">
        <f t="shared" si="32"/>
        <v>2.8000000000000247E-3</v>
      </c>
      <c r="Q158" s="31">
        <f t="shared" si="33"/>
        <v>18.269636128113319</v>
      </c>
      <c r="R158" s="31">
        <f t="shared" si="33"/>
        <v>18.315931795701346</v>
      </c>
      <c r="S158" s="33">
        <f t="shared" si="34"/>
        <v>0.55205047318611378</v>
      </c>
    </row>
    <row r="159" spans="1:24" s="64" customFormat="1" hidden="1" x14ac:dyDescent="0.25">
      <c r="A159" s="251" t="s">
        <v>320</v>
      </c>
      <c r="B159" s="55"/>
      <c r="C159" s="55"/>
      <c r="D159" s="55"/>
      <c r="E159" s="55"/>
      <c r="F159" s="55"/>
      <c r="G159" s="55"/>
      <c r="H159" s="55"/>
      <c r="I159" s="55"/>
      <c r="J159" s="55"/>
      <c r="K159" s="55"/>
      <c r="L159" s="55"/>
      <c r="M159" s="55"/>
      <c r="N159" s="55"/>
      <c r="O159" s="55"/>
      <c r="P159" s="55"/>
      <c r="Q159" s="55"/>
      <c r="R159" s="55"/>
      <c r="S159" s="252"/>
      <c r="T159" s="63"/>
      <c r="U159" s="63"/>
      <c r="V159" s="63"/>
      <c r="W159" s="63"/>
      <c r="X159" s="63"/>
    </row>
    <row r="160" spans="1:24" ht="26.4" x14ac:dyDescent="0.25">
      <c r="A160" s="245" t="s">
        <v>309</v>
      </c>
      <c r="B160" s="31">
        <v>13.074773609999999</v>
      </c>
      <c r="C160" s="31">
        <v>7.7466249600000001</v>
      </c>
      <c r="D160" s="31">
        <v>5.3281486500000002</v>
      </c>
      <c r="E160" s="31"/>
      <c r="F160" s="31"/>
      <c r="G160" s="31"/>
      <c r="H160" s="31">
        <v>13.580334460000001</v>
      </c>
      <c r="I160" s="31">
        <v>7.7625722699999997</v>
      </c>
      <c r="J160" s="31">
        <v>5.8177621900000007</v>
      </c>
      <c r="K160" s="31"/>
      <c r="L160" s="31"/>
      <c r="M160" s="31"/>
      <c r="N160" s="31">
        <f t="shared" si="32"/>
        <v>0.50556085000000195</v>
      </c>
      <c r="O160" s="31">
        <f t="shared" si="32"/>
        <v>1.5947309999999604E-2</v>
      </c>
      <c r="P160" s="31">
        <f t="shared" si="32"/>
        <v>0.48961354000000057</v>
      </c>
      <c r="Q160" s="31">
        <f t="shared" si="33"/>
        <v>3.8666891303825963</v>
      </c>
      <c r="R160" s="49" t="s">
        <v>31</v>
      </c>
      <c r="S160" s="33">
        <f t="shared" si="34"/>
        <v>9.1891869420722827</v>
      </c>
    </row>
    <row r="161" spans="1:24" s="64" customFormat="1" hidden="1" x14ac:dyDescent="0.25">
      <c r="A161" s="251" t="s">
        <v>320</v>
      </c>
      <c r="B161" s="55"/>
      <c r="C161" s="55"/>
      <c r="D161" s="55"/>
      <c r="E161" s="55"/>
      <c r="F161" s="55"/>
      <c r="G161" s="55"/>
      <c r="H161" s="55"/>
      <c r="I161" s="55"/>
      <c r="J161" s="55"/>
      <c r="K161" s="55"/>
      <c r="L161" s="55"/>
      <c r="M161" s="55"/>
      <c r="N161" s="55"/>
      <c r="O161" s="55"/>
      <c r="P161" s="55"/>
      <c r="Q161" s="55"/>
      <c r="R161" s="55"/>
      <c r="S161" s="252"/>
      <c r="T161" s="63"/>
      <c r="U161" s="63"/>
      <c r="V161" s="63"/>
      <c r="W161" s="63"/>
      <c r="X161" s="63"/>
    </row>
    <row r="162" spans="1:24" x14ac:dyDescent="0.25">
      <c r="A162" s="91" t="s">
        <v>310</v>
      </c>
      <c r="B162" s="35">
        <v>51.473900520000001</v>
      </c>
      <c r="C162" s="35">
        <v>38.156350520000004</v>
      </c>
      <c r="D162" s="35">
        <v>13.317550000000001</v>
      </c>
      <c r="E162" s="35"/>
      <c r="F162" s="35"/>
      <c r="G162" s="35"/>
      <c r="H162" s="35">
        <v>47.492227999999997</v>
      </c>
      <c r="I162" s="35">
        <v>35.063200000000002</v>
      </c>
      <c r="J162" s="35">
        <v>12.429028000000001</v>
      </c>
      <c r="K162" s="35"/>
      <c r="L162" s="35"/>
      <c r="M162" s="35"/>
      <c r="N162" s="35">
        <f>H162-B162</f>
        <v>-3.9816725200000036</v>
      </c>
      <c r="O162" s="35">
        <f t="shared" si="32"/>
        <v>-3.0931505200000018</v>
      </c>
      <c r="P162" s="35">
        <f t="shared" si="32"/>
        <v>-0.88852200000000003</v>
      </c>
      <c r="Q162" s="35">
        <f t="shared" si="33"/>
        <v>-7.7353231050616529</v>
      </c>
      <c r="R162" s="35">
        <f t="shared" si="33"/>
        <v>-8.1065156332985708</v>
      </c>
      <c r="S162" s="36">
        <f t="shared" si="34"/>
        <v>-6.6718127583527007</v>
      </c>
    </row>
    <row r="163" spans="1:24" x14ac:dyDescent="0.25">
      <c r="A163" s="245" t="s">
        <v>311</v>
      </c>
      <c r="B163" s="31">
        <v>3.6364999999999998</v>
      </c>
      <c r="C163" s="31">
        <v>0</v>
      </c>
      <c r="D163" s="31">
        <v>3.6364999999999998</v>
      </c>
      <c r="E163" s="31"/>
      <c r="F163" s="31"/>
      <c r="G163" s="31"/>
      <c r="H163" s="31">
        <v>2.9641999999999999</v>
      </c>
      <c r="I163" s="31">
        <v>0</v>
      </c>
      <c r="J163" s="31">
        <v>2.9641999999999999</v>
      </c>
      <c r="K163" s="31"/>
      <c r="L163" s="31"/>
      <c r="M163" s="31"/>
      <c r="N163" s="31">
        <f t="shared" ref="N163:P177" si="53">H163-B163</f>
        <v>-0.6722999999999999</v>
      </c>
      <c r="O163" s="31">
        <f t="shared" si="32"/>
        <v>0</v>
      </c>
      <c r="P163" s="31">
        <f t="shared" si="32"/>
        <v>-0.6722999999999999</v>
      </c>
      <c r="Q163" s="31">
        <f t="shared" ref="Q163" si="54">H163/B163%-100</f>
        <v>-18.487556716623132</v>
      </c>
      <c r="R163" s="49" t="s">
        <v>31</v>
      </c>
      <c r="S163" s="33">
        <f t="shared" ref="S163" si="55">J163/D163%-100</f>
        <v>-18.487556716623132</v>
      </c>
    </row>
    <row r="164" spans="1:24" x14ac:dyDescent="0.25">
      <c r="A164" s="245" t="s">
        <v>312</v>
      </c>
      <c r="B164" s="31">
        <v>28.677350000000001</v>
      </c>
      <c r="C164" s="31">
        <v>18.996300000000002</v>
      </c>
      <c r="D164" s="31">
        <v>9.6810500000000008</v>
      </c>
      <c r="E164" s="31"/>
      <c r="F164" s="31"/>
      <c r="G164" s="31"/>
      <c r="H164" s="31">
        <v>44.528027999999999</v>
      </c>
      <c r="I164" s="31">
        <v>35.063200000000002</v>
      </c>
      <c r="J164" s="31">
        <v>9.4648280000000007</v>
      </c>
      <c r="K164" s="31"/>
      <c r="L164" s="31"/>
      <c r="M164" s="31"/>
      <c r="N164" s="31">
        <f t="shared" si="53"/>
        <v>15.850677999999998</v>
      </c>
      <c r="O164" s="31">
        <f t="shared" si="32"/>
        <v>16.0669</v>
      </c>
      <c r="P164" s="31">
        <f t="shared" si="32"/>
        <v>-0.21622200000000014</v>
      </c>
      <c r="Q164" s="31">
        <f t="shared" si="33"/>
        <v>55.272464157253012</v>
      </c>
      <c r="R164" s="31">
        <f t="shared" si="33"/>
        <v>84.579102246226881</v>
      </c>
      <c r="S164" s="33">
        <f t="shared" si="34"/>
        <v>-2.233456081726672</v>
      </c>
    </row>
    <row r="165" spans="1:24" ht="26.4" x14ac:dyDescent="0.25">
      <c r="A165" s="245" t="s">
        <v>313</v>
      </c>
      <c r="B165" s="31">
        <v>19.160050519999999</v>
      </c>
      <c r="C165" s="31">
        <v>19.160050519999999</v>
      </c>
      <c r="D165" s="31">
        <v>0</v>
      </c>
      <c r="E165" s="31"/>
      <c r="F165" s="31"/>
      <c r="G165" s="31"/>
      <c r="H165" s="31"/>
      <c r="I165" s="31"/>
      <c r="J165" s="31"/>
      <c r="K165" s="31"/>
      <c r="L165" s="31"/>
      <c r="M165" s="31"/>
      <c r="N165" s="31">
        <f t="shared" si="53"/>
        <v>-19.160050519999999</v>
      </c>
      <c r="O165" s="31">
        <f t="shared" si="32"/>
        <v>-19.160050519999999</v>
      </c>
      <c r="P165" s="31">
        <f t="shared" si="32"/>
        <v>0</v>
      </c>
      <c r="Q165" s="31">
        <f t="shared" si="33"/>
        <v>-100</v>
      </c>
      <c r="R165" s="31">
        <f t="shared" si="33"/>
        <v>-100</v>
      </c>
      <c r="S165" s="46" t="s">
        <v>31</v>
      </c>
    </row>
    <row r="166" spans="1:24" ht="26.4" x14ac:dyDescent="0.25">
      <c r="A166" s="91" t="s">
        <v>314</v>
      </c>
      <c r="B166" s="35">
        <v>896.39609350000001</v>
      </c>
      <c r="C166" s="35">
        <v>731.89476743</v>
      </c>
      <c r="D166" s="35">
        <v>164.50132607000003</v>
      </c>
      <c r="E166" s="35"/>
      <c r="F166" s="35"/>
      <c r="G166" s="35"/>
      <c r="H166" s="35">
        <v>858.88513605999992</v>
      </c>
      <c r="I166" s="35">
        <v>731.02003834000004</v>
      </c>
      <c r="J166" s="35">
        <v>127.86509771999999</v>
      </c>
      <c r="K166" s="35">
        <f t="shared" ref="K166:M166" si="56">+K167</f>
        <v>0</v>
      </c>
      <c r="L166" s="35">
        <f t="shared" si="56"/>
        <v>0</v>
      </c>
      <c r="M166" s="35">
        <f t="shared" si="56"/>
        <v>0</v>
      </c>
      <c r="N166" s="35">
        <f t="shared" si="53"/>
        <v>-37.510957440000084</v>
      </c>
      <c r="O166" s="35">
        <f t="shared" si="32"/>
        <v>-0.8747290899999598</v>
      </c>
      <c r="P166" s="35">
        <f t="shared" si="32"/>
        <v>-36.636228350000039</v>
      </c>
      <c r="Q166" s="35">
        <f t="shared" si="33"/>
        <v>-4.1846408872151102</v>
      </c>
      <c r="R166" s="35">
        <f t="shared" si="33"/>
        <v>-0.11951569117942995</v>
      </c>
      <c r="S166" s="36">
        <f t="shared" si="34"/>
        <v>-22.271083902636917</v>
      </c>
    </row>
    <row r="167" spans="1:24" ht="26.4" x14ac:dyDescent="0.25">
      <c r="A167" s="245" t="s">
        <v>315</v>
      </c>
      <c r="B167" s="31">
        <v>896.39609350000001</v>
      </c>
      <c r="C167" s="31">
        <v>731.89476743</v>
      </c>
      <c r="D167" s="31">
        <v>164.50132607000003</v>
      </c>
      <c r="E167" s="31"/>
      <c r="F167" s="31"/>
      <c r="G167" s="31"/>
      <c r="H167" s="31">
        <v>858.88513605999992</v>
      </c>
      <c r="I167" s="31">
        <v>731.02003834000004</v>
      </c>
      <c r="J167" s="31">
        <v>127.86509771999999</v>
      </c>
      <c r="K167" s="31"/>
      <c r="L167" s="31"/>
      <c r="M167" s="31"/>
      <c r="N167" s="31">
        <f t="shared" si="53"/>
        <v>-37.510957440000084</v>
      </c>
      <c r="O167" s="31">
        <f t="shared" si="32"/>
        <v>-0.8747290899999598</v>
      </c>
      <c r="P167" s="31">
        <f t="shared" si="32"/>
        <v>-36.636228350000039</v>
      </c>
      <c r="Q167" s="31">
        <f t="shared" si="33"/>
        <v>-4.1846408872151102</v>
      </c>
      <c r="R167" s="31">
        <f t="shared" si="33"/>
        <v>-0.11951569117942995</v>
      </c>
      <c r="S167" s="33">
        <f t="shared" si="34"/>
        <v>-22.271083902636917</v>
      </c>
    </row>
    <row r="168" spans="1:24" ht="39.6" x14ac:dyDescent="0.25">
      <c r="A168" s="91" t="s">
        <v>316</v>
      </c>
      <c r="B168" s="35">
        <v>0</v>
      </c>
      <c r="C168" s="35">
        <v>1567.2951188900001</v>
      </c>
      <c r="D168" s="35">
        <v>0</v>
      </c>
      <c r="E168" s="35"/>
      <c r="F168" s="35"/>
      <c r="G168" s="35"/>
      <c r="H168" s="35">
        <v>2.1700000000000001E-2</v>
      </c>
      <c r="I168" s="35">
        <v>2054.30762869</v>
      </c>
      <c r="J168" s="35"/>
      <c r="K168" s="35">
        <f t="shared" ref="K168:M168" si="57">SUM(K169:K171)</f>
        <v>0</v>
      </c>
      <c r="L168" s="35">
        <f t="shared" si="57"/>
        <v>0</v>
      </c>
      <c r="M168" s="35">
        <f t="shared" si="57"/>
        <v>0</v>
      </c>
      <c r="N168" s="35"/>
      <c r="O168" s="35">
        <f t="shared" si="32"/>
        <v>487.01250979999986</v>
      </c>
      <c r="P168" s="35"/>
      <c r="Q168" s="93" t="s">
        <v>31</v>
      </c>
      <c r="R168" s="35">
        <f t="shared" si="33"/>
        <v>31.073440089886532</v>
      </c>
      <c r="S168" s="100" t="s">
        <v>31</v>
      </c>
    </row>
    <row r="169" spans="1:24" ht="39.6" x14ac:dyDescent="0.25">
      <c r="A169" s="245" t="s">
        <v>317</v>
      </c>
      <c r="B169" s="31"/>
      <c r="C169" s="31">
        <v>682.57910000000004</v>
      </c>
      <c r="D169" s="31"/>
      <c r="E169" s="31"/>
      <c r="F169" s="31"/>
      <c r="G169" s="31"/>
      <c r="H169" s="31">
        <v>2.1700000000000001E-2</v>
      </c>
      <c r="I169" s="31">
        <v>668.94489999999996</v>
      </c>
      <c r="J169" s="31"/>
      <c r="K169" s="31"/>
      <c r="L169" s="31"/>
      <c r="M169" s="31"/>
      <c r="N169" s="31"/>
      <c r="O169" s="31">
        <f t="shared" si="32"/>
        <v>-13.634200000000078</v>
      </c>
      <c r="P169" s="31"/>
      <c r="Q169" s="49" t="s">
        <v>31</v>
      </c>
      <c r="R169" s="31">
        <f t="shared" si="33"/>
        <v>-1.9974534819481136</v>
      </c>
      <c r="S169" s="46" t="s">
        <v>31</v>
      </c>
    </row>
    <row r="170" spans="1:24" x14ac:dyDescent="0.25">
      <c r="A170" s="245" t="s">
        <v>318</v>
      </c>
      <c r="B170" s="31"/>
      <c r="C170" s="31">
        <v>74.38</v>
      </c>
      <c r="D170" s="31"/>
      <c r="E170" s="31"/>
      <c r="F170" s="31"/>
      <c r="G170" s="31"/>
      <c r="H170" s="31">
        <v>0</v>
      </c>
      <c r="I170" s="31">
        <v>84.382000000000005</v>
      </c>
      <c r="J170" s="31"/>
      <c r="K170" s="31"/>
      <c r="L170" s="31"/>
      <c r="M170" s="31"/>
      <c r="N170" s="31"/>
      <c r="O170" s="31">
        <f t="shared" si="32"/>
        <v>10.00200000000001</v>
      </c>
      <c r="P170" s="31"/>
      <c r="Q170" s="49" t="s">
        <v>31</v>
      </c>
      <c r="R170" s="31">
        <f t="shared" si="33"/>
        <v>13.44716321591828</v>
      </c>
      <c r="S170" s="46" t="s">
        <v>31</v>
      </c>
    </row>
    <row r="171" spans="1:24" ht="26.4" x14ac:dyDescent="0.25">
      <c r="A171" s="245" t="s">
        <v>319</v>
      </c>
      <c r="B171" s="31"/>
      <c r="C171" s="31">
        <v>810.33601888999999</v>
      </c>
      <c r="D171" s="31"/>
      <c r="E171" s="31"/>
      <c r="F171" s="31"/>
      <c r="G171" s="31"/>
      <c r="H171" s="31">
        <v>0</v>
      </c>
      <c r="I171" s="31">
        <v>1300.98072869</v>
      </c>
      <c r="J171" s="31"/>
      <c r="K171" s="31"/>
      <c r="L171" s="31"/>
      <c r="M171" s="31"/>
      <c r="N171" s="31"/>
      <c r="O171" s="31">
        <f t="shared" si="32"/>
        <v>490.64470979999999</v>
      </c>
      <c r="P171" s="31"/>
      <c r="Q171" s="49" t="s">
        <v>31</v>
      </c>
      <c r="R171" s="31">
        <f t="shared" si="33"/>
        <v>60.548303217730108</v>
      </c>
      <c r="S171" s="46" t="s">
        <v>31</v>
      </c>
    </row>
    <row r="172" spans="1:24" s="39" customFormat="1" x14ac:dyDescent="0.25">
      <c r="A172" s="242" t="s">
        <v>104</v>
      </c>
      <c r="B172" s="243">
        <f t="shared" ref="B172:J172" si="58">+B59+B75+B78+B85+B101+B110+B115+B129+B134+B143+B153+B162+B166+B168</f>
        <v>40411.513176650005</v>
      </c>
      <c r="C172" s="243">
        <f t="shared" si="58"/>
        <v>34010.723969750004</v>
      </c>
      <c r="D172" s="243">
        <f t="shared" si="58"/>
        <v>16533.108711339999</v>
      </c>
      <c r="E172" s="243">
        <f t="shared" si="58"/>
        <v>0</v>
      </c>
      <c r="F172" s="243">
        <f t="shared" si="58"/>
        <v>0</v>
      </c>
      <c r="G172" s="243">
        <f t="shared" si="58"/>
        <v>0</v>
      </c>
      <c r="H172" s="243">
        <f t="shared" si="58"/>
        <v>42721.065176969998</v>
      </c>
      <c r="I172" s="243">
        <f t="shared" si="58"/>
        <v>35811.63385066</v>
      </c>
      <c r="J172" s="243">
        <f t="shared" si="58"/>
        <v>18187.908704549998</v>
      </c>
      <c r="K172" s="243"/>
      <c r="L172" s="243"/>
      <c r="M172" s="243"/>
      <c r="N172" s="243">
        <f t="shared" si="53"/>
        <v>2309.5520003199927</v>
      </c>
      <c r="O172" s="243">
        <f t="shared" si="32"/>
        <v>1800.909880909996</v>
      </c>
      <c r="P172" s="243">
        <f t="shared" si="32"/>
        <v>1654.7999932099992</v>
      </c>
      <c r="Q172" s="243">
        <f t="shared" si="33"/>
        <v>5.7150841895582971</v>
      </c>
      <c r="R172" s="243">
        <f t="shared" si="33"/>
        <v>5.2951236278056513</v>
      </c>
      <c r="S172" s="244">
        <f t="shared" si="34"/>
        <v>10.009006909117929</v>
      </c>
      <c r="T172" s="59"/>
      <c r="U172" s="59"/>
      <c r="V172" s="59"/>
      <c r="W172" s="59"/>
      <c r="X172" s="59"/>
    </row>
    <row r="173" spans="1:24" s="39" customFormat="1" ht="26.4" x14ac:dyDescent="0.25">
      <c r="A173" s="103" t="s">
        <v>107</v>
      </c>
      <c r="B173" s="320">
        <f t="shared" ref="B173:M173" si="59">+B55-B172</f>
        <v>-2250.4845809400067</v>
      </c>
      <c r="C173" s="320">
        <f t="shared" si="59"/>
        <v>-1838.3788866000068</v>
      </c>
      <c r="D173" s="320">
        <f t="shared" si="59"/>
        <v>-412.1056943399999</v>
      </c>
      <c r="E173" s="320">
        <f t="shared" si="59"/>
        <v>0</v>
      </c>
      <c r="F173" s="320">
        <f t="shared" si="59"/>
        <v>0</v>
      </c>
      <c r="G173" s="320">
        <f t="shared" si="59"/>
        <v>0</v>
      </c>
      <c r="H173" s="320">
        <f t="shared" si="59"/>
        <v>1463.398870750003</v>
      </c>
      <c r="I173" s="320">
        <f t="shared" si="59"/>
        <v>1869.8619959399948</v>
      </c>
      <c r="J173" s="320">
        <f t="shared" si="59"/>
        <v>-406.46312518999912</v>
      </c>
      <c r="K173" s="320">
        <f t="shared" si="59"/>
        <v>18047.763029440001</v>
      </c>
      <c r="L173" s="320">
        <f t="shared" si="59"/>
        <v>15144.476821979999</v>
      </c>
      <c r="M173" s="320">
        <f t="shared" si="59"/>
        <v>4194.2491358299994</v>
      </c>
      <c r="N173" s="320">
        <f t="shared" si="53"/>
        <v>3713.8834516900097</v>
      </c>
      <c r="O173" s="320">
        <f t="shared" si="32"/>
        <v>3708.2408825400016</v>
      </c>
      <c r="P173" s="320">
        <f t="shared" si="32"/>
        <v>5.6425691500007815</v>
      </c>
      <c r="Q173" s="320"/>
      <c r="R173" s="320"/>
      <c r="S173" s="321"/>
      <c r="T173" s="59"/>
      <c r="U173" s="59"/>
      <c r="V173" s="59"/>
      <c r="W173" s="59"/>
      <c r="X173" s="59"/>
    </row>
    <row r="174" spans="1:24" s="39" customFormat="1" ht="26.4" x14ac:dyDescent="0.25">
      <c r="A174" s="34" t="s">
        <v>111</v>
      </c>
      <c r="B174" s="35">
        <v>2250.4845809399999</v>
      </c>
      <c r="C174" s="35">
        <v>1838.3788866</v>
      </c>
      <c r="D174" s="35">
        <v>412.10569433999996</v>
      </c>
      <c r="E174" s="35"/>
      <c r="F174" s="35"/>
      <c r="G174" s="35"/>
      <c r="H174" s="35">
        <v>-1463.39887075</v>
      </c>
      <c r="I174" s="35">
        <v>-1869.86199594</v>
      </c>
      <c r="J174" s="35">
        <v>406.46312518999991</v>
      </c>
      <c r="K174" s="35"/>
      <c r="L174" s="35"/>
      <c r="M174" s="35"/>
      <c r="N174" s="35">
        <f t="shared" si="53"/>
        <v>-3713.8834516899997</v>
      </c>
      <c r="O174" s="35">
        <f t="shared" si="32"/>
        <v>-3708.2408825399998</v>
      </c>
      <c r="P174" s="35">
        <f t="shared" si="32"/>
        <v>-5.6425691500000426</v>
      </c>
      <c r="Q174" s="35">
        <f t="shared" si="33"/>
        <v>-165.02594521837409</v>
      </c>
      <c r="R174" s="35">
        <f t="shared" si="33"/>
        <v>-201.71254737363887</v>
      </c>
      <c r="S174" s="36">
        <f t="shared" si="34"/>
        <v>-1.3692043637098408</v>
      </c>
      <c r="T174" s="59"/>
      <c r="U174" s="59"/>
      <c r="V174" s="59"/>
      <c r="W174" s="59"/>
      <c r="X174" s="59"/>
    </row>
    <row r="175" spans="1:24" x14ac:dyDescent="0.25">
      <c r="A175" s="40" t="s">
        <v>112</v>
      </c>
      <c r="B175" s="31">
        <v>8936.3279989999992</v>
      </c>
      <c r="C175" s="31">
        <v>9678</v>
      </c>
      <c r="D175" s="31">
        <v>-741.67200100000002</v>
      </c>
      <c r="E175" s="31"/>
      <c r="F175" s="31"/>
      <c r="G175" s="31"/>
      <c r="H175" s="31">
        <v>-11917.677218000001</v>
      </c>
      <c r="I175" s="31">
        <v>-11150.039017999999</v>
      </c>
      <c r="J175" s="31">
        <v>-767.63819999999998</v>
      </c>
      <c r="K175" s="31"/>
      <c r="L175" s="31"/>
      <c r="M175" s="31"/>
      <c r="N175" s="31">
        <f t="shared" si="53"/>
        <v>-20854.005216999998</v>
      </c>
      <c r="O175" s="31">
        <f t="shared" si="32"/>
        <v>-20828.039017999999</v>
      </c>
      <c r="P175" s="31">
        <f t="shared" si="32"/>
        <v>-25.966198999999961</v>
      </c>
      <c r="Q175" s="49" t="s">
        <v>31</v>
      </c>
      <c r="R175" s="49" t="s">
        <v>31</v>
      </c>
      <c r="S175" s="46" t="s">
        <v>31</v>
      </c>
    </row>
    <row r="176" spans="1:24" x14ac:dyDescent="0.25">
      <c r="A176" s="40" t="s">
        <v>113</v>
      </c>
      <c r="B176" s="31">
        <v>-11914.656999999999</v>
      </c>
      <c r="C176" s="31">
        <v>-12324.723</v>
      </c>
      <c r="D176" s="31">
        <v>410.06599999999997</v>
      </c>
      <c r="E176" s="31"/>
      <c r="F176" s="31"/>
      <c r="G176" s="31"/>
      <c r="H176" s="31">
        <v>5937.3990000000003</v>
      </c>
      <c r="I176" s="31">
        <v>5160.1360000000004</v>
      </c>
      <c r="J176" s="31">
        <v>777.26300000000003</v>
      </c>
      <c r="K176" s="31"/>
      <c r="L176" s="31"/>
      <c r="M176" s="31"/>
      <c r="N176" s="31">
        <f t="shared" si="53"/>
        <v>17852.056</v>
      </c>
      <c r="O176" s="31">
        <f t="shared" si="32"/>
        <v>17484.859</v>
      </c>
      <c r="P176" s="31">
        <f t="shared" si="32"/>
        <v>367.19700000000006</v>
      </c>
      <c r="Q176" s="49" t="s">
        <v>31</v>
      </c>
      <c r="R176" s="49" t="s">
        <v>31</v>
      </c>
      <c r="S176" s="46" t="s">
        <v>31</v>
      </c>
    </row>
    <row r="177" spans="1:19" ht="26.4" x14ac:dyDescent="0.25">
      <c r="A177" s="40" t="s">
        <v>114</v>
      </c>
      <c r="B177" s="31">
        <v>1.345</v>
      </c>
      <c r="C177" s="31">
        <v>1.345</v>
      </c>
      <c r="D177" s="31">
        <v>0</v>
      </c>
      <c r="E177" s="31"/>
      <c r="F177" s="31"/>
      <c r="G177" s="31"/>
      <c r="H177" s="31">
        <v>0</v>
      </c>
      <c r="I177" s="31">
        <v>0</v>
      </c>
      <c r="J177" s="31">
        <v>0</v>
      </c>
      <c r="K177" s="31"/>
      <c r="L177" s="31"/>
      <c r="M177" s="31"/>
      <c r="N177" s="31">
        <f t="shared" si="53"/>
        <v>-1.345</v>
      </c>
      <c r="O177" s="31">
        <f t="shared" si="53"/>
        <v>-1.345</v>
      </c>
      <c r="P177" s="31">
        <f t="shared" si="53"/>
        <v>0</v>
      </c>
      <c r="Q177" s="31">
        <f t="shared" ref="Q177:Q179" si="60">H177/B177%-100</f>
        <v>-100</v>
      </c>
      <c r="R177" s="31">
        <f t="shared" ref="R177:R179" si="61">I177/C177%-100</f>
        <v>-100</v>
      </c>
      <c r="S177" s="46" t="s">
        <v>31</v>
      </c>
    </row>
    <row r="178" spans="1:19" x14ac:dyDescent="0.25">
      <c r="A178" s="40" t="s">
        <v>116</v>
      </c>
      <c r="B178" s="31">
        <v>42.500792909999994</v>
      </c>
      <c r="C178" s="31">
        <v>42.500792909999994</v>
      </c>
      <c r="D178" s="31">
        <v>0</v>
      </c>
      <c r="E178" s="31"/>
      <c r="F178" s="31"/>
      <c r="G178" s="31"/>
      <c r="H178" s="31">
        <v>41.627242439999996</v>
      </c>
      <c r="I178" s="31">
        <v>41.627242439999996</v>
      </c>
      <c r="J178" s="31">
        <v>0</v>
      </c>
      <c r="K178" s="31"/>
      <c r="L178" s="31"/>
      <c r="M178" s="31"/>
      <c r="N178" s="31">
        <f t="shared" ref="N178:N179" si="62">H178-B178</f>
        <v>-0.87355046999999786</v>
      </c>
      <c r="O178" s="31">
        <f t="shared" ref="O178:O179" si="63">I178-C178</f>
        <v>-0.87355046999999786</v>
      </c>
      <c r="P178" s="31">
        <f t="shared" ref="P178:P179" si="64">J178-D178</f>
        <v>0</v>
      </c>
      <c r="Q178" s="31">
        <f t="shared" si="60"/>
        <v>-2.0553745240702597</v>
      </c>
      <c r="R178" s="31">
        <f t="shared" si="61"/>
        <v>-2.0553745240702597</v>
      </c>
      <c r="S178" s="46" t="s">
        <v>31</v>
      </c>
    </row>
    <row r="179" spans="1:19" ht="26.4" x14ac:dyDescent="0.25">
      <c r="A179" s="253" t="s">
        <v>321</v>
      </c>
      <c r="B179" s="254">
        <v>3390.0327738400001</v>
      </c>
      <c r="C179" s="254">
        <v>2540.804185</v>
      </c>
      <c r="D179" s="254">
        <v>849.22858883999993</v>
      </c>
      <c r="E179" s="254"/>
      <c r="F179" s="254"/>
      <c r="G179" s="254"/>
      <c r="H179" s="254">
        <v>4305.55680992</v>
      </c>
      <c r="I179" s="254">
        <v>3172.8852018299999</v>
      </c>
      <c r="J179" s="254">
        <v>1132.6716080899998</v>
      </c>
      <c r="K179" s="254"/>
      <c r="L179" s="254"/>
      <c r="M179" s="254"/>
      <c r="N179" s="31">
        <f t="shared" si="62"/>
        <v>915.52403607999986</v>
      </c>
      <c r="O179" s="31">
        <f t="shared" si="63"/>
        <v>632.08101682999995</v>
      </c>
      <c r="P179" s="31">
        <f t="shared" si="64"/>
        <v>283.44301924999991</v>
      </c>
      <c r="Q179" s="31">
        <f t="shared" si="60"/>
        <v>27.006347641971502</v>
      </c>
      <c r="R179" s="31">
        <f t="shared" si="61"/>
        <v>24.877203074584827</v>
      </c>
      <c r="S179" s="33">
        <f t="shared" ref="S179" si="65">J179/D179%-100</f>
        <v>33.376528178021857</v>
      </c>
    </row>
    <row r="180" spans="1:19" ht="13.8" thickBot="1" x14ac:dyDescent="0.3">
      <c r="A180" s="137" t="s">
        <v>118</v>
      </c>
      <c r="B180" s="140">
        <v>1794.9350151900001</v>
      </c>
      <c r="C180" s="140">
        <v>1900.45190869</v>
      </c>
      <c r="D180" s="140">
        <v>-105.51689349999998</v>
      </c>
      <c r="E180" s="140"/>
      <c r="F180" s="140"/>
      <c r="G180" s="140"/>
      <c r="H180" s="140">
        <v>169.69529488999999</v>
      </c>
      <c r="I180" s="140">
        <v>905.52857778999999</v>
      </c>
      <c r="J180" s="140">
        <v>-735.83328289999997</v>
      </c>
      <c r="K180" s="140"/>
      <c r="L180" s="140"/>
      <c r="M180" s="140"/>
      <c r="N180" s="140">
        <f t="shared" ref="N180:P180" si="66">H180-B180</f>
        <v>-1625.2397203</v>
      </c>
      <c r="O180" s="140">
        <f t="shared" si="66"/>
        <v>-994.9233309</v>
      </c>
      <c r="P180" s="140">
        <f t="shared" si="66"/>
        <v>-630.31638939999993</v>
      </c>
      <c r="Q180" s="413" t="s">
        <v>31</v>
      </c>
      <c r="R180" s="413" t="s">
        <v>31</v>
      </c>
      <c r="S180" s="414" t="s">
        <v>31</v>
      </c>
    </row>
    <row r="181" spans="1:19" ht="13.8" thickTop="1" x14ac:dyDescent="0.25"/>
    <row r="182" spans="1:19" x14ac:dyDescent="0.25">
      <c r="I182" s="7"/>
    </row>
    <row r="183" spans="1:19" x14ac:dyDescent="0.25">
      <c r="H183" s="7"/>
      <c r="I183" s="7"/>
    </row>
  </sheetData>
  <mergeCells count="25">
    <mergeCell ref="Q1:S1"/>
    <mergeCell ref="A2:S2"/>
    <mergeCell ref="A4:A7"/>
    <mergeCell ref="B4:G4"/>
    <mergeCell ref="H4:M4"/>
    <mergeCell ref="N4:P4"/>
    <mergeCell ref="Q4:S4"/>
    <mergeCell ref="B5:B7"/>
    <mergeCell ref="C5:G5"/>
    <mergeCell ref="H5:H7"/>
    <mergeCell ref="C6:C7"/>
    <mergeCell ref="D6:D7"/>
    <mergeCell ref="E6:G6"/>
    <mergeCell ref="I6:I7"/>
    <mergeCell ref="J6:J7"/>
    <mergeCell ref="I5:M5"/>
    <mergeCell ref="N5:N7"/>
    <mergeCell ref="O5:P5"/>
    <mergeCell ref="Q5:Q7"/>
    <mergeCell ref="R5:S5"/>
    <mergeCell ref="K6:M6"/>
    <mergeCell ref="O6:O7"/>
    <mergeCell ref="P6:P7"/>
    <mergeCell ref="R6:R7"/>
    <mergeCell ref="S6:S7"/>
  </mergeCells>
  <printOptions horizontalCentered="1"/>
  <pageMargins left="0" right="0" top="0.55118110236220474" bottom="0.35433070866141736" header="0.31496062992125984" footer="0.11811023622047245"/>
  <pageSetup paperSize="9" scale="92" fitToHeight="100" orientation="landscape" r:id="rId1"/>
  <headerFooter>
    <oddFooter>&amp;C&amp;8Страница  &amp;P из &amp;N</oddFooter>
  </headerFooter>
  <rowBreaks count="4" manualBreakCount="4">
    <brk id="57" max="18" man="1"/>
    <brk id="84" max="18" man="1"/>
    <brk id="133" max="18" man="1"/>
    <brk id="171"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38"/>
  <sheetViews>
    <sheetView topLeftCell="A4" workbookViewId="0">
      <pane xSplit="1" ySplit="4" topLeftCell="P8" activePane="bottomRight" state="frozen"/>
      <selection activeCell="A4" sqref="A4"/>
      <selection pane="topRight" activeCell="B4" sqref="B4"/>
      <selection pane="bottomLeft" activeCell="A8" sqref="A8"/>
      <selection pane="bottomRight" activeCell="S4" sqref="S1:S1048576"/>
    </sheetView>
  </sheetViews>
  <sheetFormatPr defaultColWidth="9.109375" defaultRowHeight="13.2" x14ac:dyDescent="0.25"/>
  <cols>
    <col min="1" max="1" width="22.44140625" style="189" customWidth="1"/>
    <col min="2" max="3" width="12.33203125" style="194" bestFit="1" customWidth="1"/>
    <col min="4" max="4" width="6.109375" style="194" bestFit="1" customWidth="1"/>
    <col min="5" max="6" width="12.33203125" style="194" bestFit="1" customWidth="1"/>
    <col min="7" max="7" width="5.109375" style="194" bestFit="1" customWidth="1"/>
    <col min="8" max="8" width="11.88671875" style="194" bestFit="1" customWidth="1"/>
    <col min="9" max="9" width="11.109375" style="194" bestFit="1" customWidth="1"/>
    <col min="10" max="10" width="11.33203125" style="194" customWidth="1"/>
    <col min="11" max="11" width="9.44140625" style="194" bestFit="1" customWidth="1"/>
    <col min="12" max="12" width="10.44140625" style="194" customWidth="1"/>
    <col min="13" max="13" width="11" style="194" customWidth="1"/>
    <col min="14" max="14" width="11.33203125" style="194" bestFit="1" customWidth="1"/>
    <col min="15" max="15" width="10.88671875" style="194" customWidth="1"/>
    <col min="16" max="18" width="9.109375" style="194"/>
    <col min="19" max="19" width="0" style="194" hidden="1" customWidth="1"/>
    <col min="20" max="16384" width="9.109375" style="194"/>
  </cols>
  <sheetData>
    <row r="1" spans="1:19" s="189" customFormat="1" x14ac:dyDescent="0.25">
      <c r="N1" s="512" t="s">
        <v>201</v>
      </c>
      <c r="O1" s="512"/>
      <c r="P1" s="169"/>
    </row>
    <row r="2" spans="1:19" s="189" customFormat="1" x14ac:dyDescent="0.25">
      <c r="P2" s="169"/>
    </row>
    <row r="3" spans="1:19" s="189" customFormat="1" ht="33" customHeight="1" x14ac:dyDescent="0.25">
      <c r="A3" s="515" t="s">
        <v>1168</v>
      </c>
      <c r="B3" s="515"/>
      <c r="C3" s="515"/>
      <c r="D3" s="515"/>
      <c r="E3" s="515"/>
      <c r="F3" s="515"/>
      <c r="G3" s="515"/>
      <c r="H3" s="515"/>
      <c r="I3" s="515"/>
      <c r="J3" s="515"/>
      <c r="K3" s="515"/>
      <c r="L3" s="515"/>
      <c r="M3" s="515"/>
      <c r="N3" s="515"/>
      <c r="O3" s="515"/>
      <c r="P3" s="169"/>
    </row>
    <row r="4" spans="1:19" s="189" customFormat="1" ht="13.8" thickBot="1" x14ac:dyDescent="0.3">
      <c r="A4" s="190"/>
      <c r="B4" s="190"/>
      <c r="C4" s="190"/>
      <c r="D4" s="190"/>
      <c r="E4" s="190"/>
      <c r="F4" s="190"/>
      <c r="G4" s="190"/>
      <c r="H4" s="190"/>
      <c r="I4" s="190"/>
      <c r="J4" s="190"/>
      <c r="K4" s="190"/>
      <c r="L4" s="190"/>
      <c r="M4" s="190"/>
      <c r="N4" s="190"/>
      <c r="O4" s="191" t="s">
        <v>186</v>
      </c>
      <c r="P4" s="169"/>
    </row>
    <row r="5" spans="1:19" s="231" customFormat="1" ht="13.5" customHeight="1" thickTop="1" x14ac:dyDescent="0.25">
      <c r="A5" s="513" t="s">
        <v>187</v>
      </c>
      <c r="B5" s="495" t="s">
        <v>188</v>
      </c>
      <c r="C5" s="495"/>
      <c r="D5" s="495"/>
      <c r="E5" s="495" t="s">
        <v>189</v>
      </c>
      <c r="F5" s="495"/>
      <c r="G5" s="495"/>
      <c r="H5" s="495" t="s">
        <v>476</v>
      </c>
      <c r="I5" s="495"/>
      <c r="J5" s="495" t="s">
        <v>457</v>
      </c>
      <c r="K5" s="284" t="s">
        <v>9</v>
      </c>
      <c r="L5" s="495" t="s">
        <v>458</v>
      </c>
      <c r="M5" s="495"/>
      <c r="N5" s="495" t="s">
        <v>225</v>
      </c>
      <c r="O5" s="496"/>
      <c r="P5" s="219"/>
    </row>
    <row r="6" spans="1:19" s="231" customFormat="1" ht="24" customHeight="1" x14ac:dyDescent="0.25">
      <c r="A6" s="514"/>
      <c r="B6" s="488"/>
      <c r="C6" s="488"/>
      <c r="D6" s="488"/>
      <c r="E6" s="488"/>
      <c r="F6" s="488"/>
      <c r="G6" s="488"/>
      <c r="H6" s="488"/>
      <c r="I6" s="488"/>
      <c r="J6" s="488"/>
      <c r="K6" s="488" t="s">
        <v>148</v>
      </c>
      <c r="L6" s="488"/>
      <c r="M6" s="488"/>
      <c r="N6" s="488"/>
      <c r="O6" s="503"/>
      <c r="P6" s="219"/>
    </row>
    <row r="7" spans="1:19" s="231" customFormat="1" ht="43.8" customHeight="1" x14ac:dyDescent="0.25">
      <c r="A7" s="514"/>
      <c r="B7" s="282" t="s">
        <v>190</v>
      </c>
      <c r="C7" s="282" t="s">
        <v>191</v>
      </c>
      <c r="D7" s="282" t="s">
        <v>146</v>
      </c>
      <c r="E7" s="282" t="s">
        <v>190</v>
      </c>
      <c r="F7" s="282" t="s">
        <v>191</v>
      </c>
      <c r="G7" s="282" t="s">
        <v>146</v>
      </c>
      <c r="H7" s="282" t="s">
        <v>190</v>
      </c>
      <c r="I7" s="282" t="s">
        <v>191</v>
      </c>
      <c r="J7" s="488"/>
      <c r="K7" s="488"/>
      <c r="L7" s="282" t="s">
        <v>192</v>
      </c>
      <c r="M7" s="282" t="s">
        <v>193</v>
      </c>
      <c r="N7" s="282" t="s">
        <v>444</v>
      </c>
      <c r="O7" s="283" t="s">
        <v>459</v>
      </c>
      <c r="P7" s="219"/>
    </row>
    <row r="8" spans="1:19" s="232" customFormat="1" ht="10.199999999999999" x14ac:dyDescent="0.2">
      <c r="A8" s="192" t="s">
        <v>14</v>
      </c>
      <c r="B8" s="285" t="s">
        <v>15</v>
      </c>
      <c r="C8" s="285" t="s">
        <v>16</v>
      </c>
      <c r="D8" s="285" t="s">
        <v>194</v>
      </c>
      <c r="E8" s="285" t="s">
        <v>17</v>
      </c>
      <c r="F8" s="285" t="s">
        <v>195</v>
      </c>
      <c r="G8" s="285" t="s">
        <v>196</v>
      </c>
      <c r="H8" s="285" t="s">
        <v>195</v>
      </c>
      <c r="I8" s="285" t="s">
        <v>197</v>
      </c>
      <c r="J8" s="285" t="s">
        <v>18</v>
      </c>
      <c r="K8" s="285" t="s">
        <v>19</v>
      </c>
      <c r="L8" s="285" t="s">
        <v>20</v>
      </c>
      <c r="M8" s="285" t="s">
        <v>198</v>
      </c>
      <c r="N8" s="285" t="s">
        <v>199</v>
      </c>
      <c r="O8" s="234" t="s">
        <v>200</v>
      </c>
      <c r="P8" s="225"/>
    </row>
    <row r="9" spans="1:19" x14ac:dyDescent="0.25">
      <c r="A9" s="193" t="s">
        <v>158</v>
      </c>
      <c r="B9" s="206">
        <f>Черн.!AD8</f>
        <v>1478205.0949600001</v>
      </c>
      <c r="C9" s="206">
        <f>Черн.!AE8</f>
        <v>794950.18568</v>
      </c>
      <c r="D9" s="206">
        <f>C9/B9%</f>
        <v>53.778071012636524</v>
      </c>
      <c r="E9" s="206">
        <f>Черн.!AK8</f>
        <v>1528287.1052400002</v>
      </c>
      <c r="F9" s="206">
        <f>Черн.!AL8</f>
        <v>848675.60202999995</v>
      </c>
      <c r="G9" s="206">
        <f>F9/E9%</f>
        <v>55.531162902583354</v>
      </c>
      <c r="H9" s="206">
        <f>B9-E9</f>
        <v>-50082.010280000046</v>
      </c>
      <c r="I9" s="206">
        <f>C9-F9</f>
        <v>-53725.416349999956</v>
      </c>
      <c r="J9" s="206">
        <f>Черн.!CN8</f>
        <v>38402.99237</v>
      </c>
      <c r="K9" s="206">
        <f>Черн.!CP8</f>
        <v>1650.81107</v>
      </c>
      <c r="L9" s="206">
        <f>Черн.!CQ8</f>
        <v>24767.286690000001</v>
      </c>
      <c r="M9" s="206">
        <f>Черн.!CR8</f>
        <v>1645.9241199999999</v>
      </c>
      <c r="N9" s="206">
        <f>Черн.!CV8</f>
        <v>122700</v>
      </c>
      <c r="O9" s="207">
        <f>Черн.!CW8</f>
        <v>39000</v>
      </c>
      <c r="S9" s="194">
        <f>C9/1000</f>
        <v>794.95018568</v>
      </c>
    </row>
    <row r="10" spans="1:19" x14ac:dyDescent="0.25">
      <c r="A10" s="193" t="s">
        <v>159</v>
      </c>
      <c r="B10" s="206">
        <f>Черн.!AD9</f>
        <v>617131.90629000007</v>
      </c>
      <c r="C10" s="206">
        <f>Черн.!AE9</f>
        <v>326375.95750000002</v>
      </c>
      <c r="D10" s="206">
        <f t="shared" ref="D10:D35" si="0">C10/B10%</f>
        <v>52.885931544532845</v>
      </c>
      <c r="E10" s="206">
        <f>Черн.!AK9</f>
        <v>630910.35615000001</v>
      </c>
      <c r="F10" s="206">
        <f>Черн.!AL9</f>
        <v>322433.06904999999</v>
      </c>
      <c r="G10" s="206">
        <f t="shared" ref="G10:G35" si="1">F10/E10%</f>
        <v>51.106003556128186</v>
      </c>
      <c r="H10" s="206">
        <f t="shared" ref="H10:H35" si="2">B10-E10</f>
        <v>-13778.449859999935</v>
      </c>
      <c r="I10" s="206">
        <f t="shared" ref="I10:I35" si="3">C10-F10</f>
        <v>3942.8884500000277</v>
      </c>
      <c r="J10" s="206">
        <f>Черн.!CN9</f>
        <v>30308.24192</v>
      </c>
      <c r="K10" s="206">
        <f>Черн.!CP9</f>
        <v>4388.65427</v>
      </c>
      <c r="L10" s="206">
        <f>Черн.!CQ9</f>
        <v>14574.60778</v>
      </c>
      <c r="M10" s="206">
        <f>Черн.!CR9</f>
        <v>2890.01028</v>
      </c>
      <c r="N10" s="206">
        <f>Черн.!CV9</f>
        <v>0</v>
      </c>
      <c r="O10" s="207">
        <f>Черн.!CW9</f>
        <v>0</v>
      </c>
      <c r="S10" s="194">
        <f t="shared" ref="S10:S34" si="4">C10/1000</f>
        <v>326.37595750000003</v>
      </c>
    </row>
    <row r="11" spans="1:19" x14ac:dyDescent="0.25">
      <c r="A11" s="193" t="s">
        <v>160</v>
      </c>
      <c r="B11" s="206">
        <f>Черн.!AD10</f>
        <v>488529.55888000003</v>
      </c>
      <c r="C11" s="206">
        <f>Черн.!AE10</f>
        <v>232146.08114999998</v>
      </c>
      <c r="D11" s="206">
        <f t="shared" si="0"/>
        <v>47.519352090427589</v>
      </c>
      <c r="E11" s="206">
        <f>Черн.!AK10</f>
        <v>502652.43906</v>
      </c>
      <c r="F11" s="206">
        <f>Черн.!AL10</f>
        <v>231625.01899000001</v>
      </c>
      <c r="G11" s="206">
        <f t="shared" si="1"/>
        <v>46.0805520854842</v>
      </c>
      <c r="H11" s="206">
        <f t="shared" si="2"/>
        <v>-14122.880179999978</v>
      </c>
      <c r="I11" s="206">
        <f t="shared" si="3"/>
        <v>521.06215999997221</v>
      </c>
      <c r="J11" s="206">
        <f>Черн.!CN10</f>
        <v>29011.632719999998</v>
      </c>
      <c r="K11" s="206">
        <f>Черн.!CP10</f>
        <v>3879.5497599999999</v>
      </c>
      <c r="L11" s="206">
        <f>Черн.!CQ10</f>
        <v>16373.481539999997</v>
      </c>
      <c r="M11" s="206">
        <f>Черн.!CR10</f>
        <v>2650.5497599999999</v>
      </c>
      <c r="N11" s="206">
        <f>Черн.!CV10</f>
        <v>0</v>
      </c>
      <c r="O11" s="207">
        <f>Черн.!CW10</f>
        <v>0</v>
      </c>
      <c r="S11" s="194">
        <f t="shared" si="4"/>
        <v>232.14608114999999</v>
      </c>
    </row>
    <row r="12" spans="1:19" x14ac:dyDescent="0.25">
      <c r="A12" s="193" t="s">
        <v>161</v>
      </c>
      <c r="B12" s="206">
        <f>Черн.!AD11</f>
        <v>585380.05598999991</v>
      </c>
      <c r="C12" s="206">
        <f>Черн.!AE11</f>
        <v>319861.45027000003</v>
      </c>
      <c r="D12" s="206">
        <f t="shared" si="0"/>
        <v>54.641672020931345</v>
      </c>
      <c r="E12" s="206">
        <f>Черн.!AK11</f>
        <v>596973.18046000006</v>
      </c>
      <c r="F12" s="206">
        <f>Черн.!AL11</f>
        <v>336938.46870000003</v>
      </c>
      <c r="G12" s="206">
        <f t="shared" si="1"/>
        <v>56.441140025816694</v>
      </c>
      <c r="H12" s="206">
        <f t="shared" si="2"/>
        <v>-11593.124470000155</v>
      </c>
      <c r="I12" s="206">
        <f t="shared" si="3"/>
        <v>-17077.018429999996</v>
      </c>
      <c r="J12" s="206">
        <f>Черн.!CN11</f>
        <v>24209.497920000002</v>
      </c>
      <c r="K12" s="206">
        <f>Черн.!CP11</f>
        <v>2948.9362700000001</v>
      </c>
      <c r="L12" s="206">
        <f>Черн.!CQ11</f>
        <v>15469.960060000001</v>
      </c>
      <c r="M12" s="206">
        <f>Черн.!CR11</f>
        <v>-607.06372999999985</v>
      </c>
      <c r="N12" s="206">
        <f>Черн.!CV11</f>
        <v>0</v>
      </c>
      <c r="O12" s="207">
        <f>Черн.!CW11</f>
        <v>0</v>
      </c>
      <c r="S12" s="194">
        <f t="shared" si="4"/>
        <v>319.86145027000003</v>
      </c>
    </row>
    <row r="13" spans="1:19" x14ac:dyDescent="0.25">
      <c r="A13" s="193" t="s">
        <v>162</v>
      </c>
      <c r="B13" s="206">
        <f>Черн.!AD12</f>
        <v>568505.63971999986</v>
      </c>
      <c r="C13" s="206">
        <f>Черн.!AE12</f>
        <v>235165.93359</v>
      </c>
      <c r="D13" s="206">
        <f t="shared" si="0"/>
        <v>41.365628968223398</v>
      </c>
      <c r="E13" s="206">
        <f>Черн.!AK12</f>
        <v>691713.15440000012</v>
      </c>
      <c r="F13" s="206">
        <f>Черн.!AL12</f>
        <v>341282.25094000006</v>
      </c>
      <c r="G13" s="206">
        <f t="shared" si="1"/>
        <v>49.338696072078058</v>
      </c>
      <c r="H13" s="206">
        <f t="shared" si="2"/>
        <v>-123207.51468000025</v>
      </c>
      <c r="I13" s="206">
        <f t="shared" si="3"/>
        <v>-106116.31735000006</v>
      </c>
      <c r="J13" s="206">
        <f>Черн.!CN12</f>
        <v>14918.009</v>
      </c>
      <c r="K13" s="206">
        <f>Черн.!CP12</f>
        <v>7048.6868700000005</v>
      </c>
      <c r="L13" s="206">
        <f>Черн.!CQ12</f>
        <v>-101379.50395999999</v>
      </c>
      <c r="M13" s="206">
        <f>Черн.!CR12</f>
        <v>-93289.656729999988</v>
      </c>
      <c r="N13" s="206">
        <f>Черн.!CV12</f>
        <v>1650</v>
      </c>
      <c r="O13" s="207">
        <f>Черн.!CW12</f>
        <v>-2900</v>
      </c>
      <c r="S13" s="194">
        <f t="shared" si="4"/>
        <v>235.16593359000001</v>
      </c>
    </row>
    <row r="14" spans="1:19" x14ac:dyDescent="0.25">
      <c r="A14" s="193" t="s">
        <v>163</v>
      </c>
      <c r="B14" s="206">
        <f>Черн.!AD13</f>
        <v>743442.23714999994</v>
      </c>
      <c r="C14" s="206">
        <f>Черн.!AE13</f>
        <v>377753.29325000005</v>
      </c>
      <c r="D14" s="206">
        <f t="shared" si="0"/>
        <v>50.811384445700114</v>
      </c>
      <c r="E14" s="206">
        <f>Черн.!AK13</f>
        <v>764487.51987999992</v>
      </c>
      <c r="F14" s="206">
        <f>Черн.!AL13</f>
        <v>379569.65592000005</v>
      </c>
      <c r="G14" s="206">
        <f t="shared" si="1"/>
        <v>49.650209591332548</v>
      </c>
      <c r="H14" s="206">
        <f t="shared" si="2"/>
        <v>-21045.282729999977</v>
      </c>
      <c r="I14" s="206">
        <f t="shared" si="3"/>
        <v>-1816.3626700000023</v>
      </c>
      <c r="J14" s="206">
        <f>Черн.!CN13</f>
        <v>22336.014890000002</v>
      </c>
      <c r="K14" s="206">
        <f>Черн.!CP13</f>
        <v>1707.33179</v>
      </c>
      <c r="L14" s="206">
        <f>Черн.!CQ13</f>
        <v>5508.4888600000013</v>
      </c>
      <c r="M14" s="206">
        <f>Черн.!CR13</f>
        <v>-277.59483999999998</v>
      </c>
      <c r="N14" s="206">
        <f>Черн.!CV13</f>
        <v>0</v>
      </c>
      <c r="O14" s="207">
        <f>Черн.!CW13</f>
        <v>0</v>
      </c>
      <c r="S14" s="194">
        <f t="shared" si="4"/>
        <v>377.75329325000007</v>
      </c>
    </row>
    <row r="15" spans="1:19" x14ac:dyDescent="0.25">
      <c r="A15" s="193" t="s">
        <v>164</v>
      </c>
      <c r="B15" s="206">
        <f>Черн.!AD14</f>
        <v>608471.36693000013</v>
      </c>
      <c r="C15" s="206">
        <f>Черн.!AE14</f>
        <v>337681.82913999999</v>
      </c>
      <c r="D15" s="206">
        <f t="shared" si="0"/>
        <v>55.496749311927381</v>
      </c>
      <c r="E15" s="206">
        <f>Черн.!AK14</f>
        <v>643766.57567000005</v>
      </c>
      <c r="F15" s="206">
        <f>Черн.!AL14</f>
        <v>350079.83887000004</v>
      </c>
      <c r="G15" s="206">
        <f t="shared" si="1"/>
        <v>54.379933985490702</v>
      </c>
      <c r="H15" s="206">
        <f t="shared" si="2"/>
        <v>-35295.208739999915</v>
      </c>
      <c r="I15" s="206">
        <f t="shared" si="3"/>
        <v>-12398.009730000049</v>
      </c>
      <c r="J15" s="206">
        <f>Черн.!CN14</f>
        <v>9921.3868899999998</v>
      </c>
      <c r="K15" s="206">
        <f>Черн.!CP14</f>
        <v>1403.6000200000001</v>
      </c>
      <c r="L15" s="206">
        <f>Черн.!CQ14</f>
        <v>-10896.075500000001</v>
      </c>
      <c r="M15" s="206">
        <f>Черн.!CR14</f>
        <v>773.36743000000013</v>
      </c>
      <c r="N15" s="206">
        <f>Черн.!CV14</f>
        <v>24100</v>
      </c>
      <c r="O15" s="207">
        <f>Черн.!CW14</f>
        <v>-23242.9</v>
      </c>
      <c r="S15" s="194">
        <f t="shared" si="4"/>
        <v>337.68182913999999</v>
      </c>
    </row>
    <row r="16" spans="1:19" x14ac:dyDescent="0.25">
      <c r="A16" s="193" t="s">
        <v>165</v>
      </c>
      <c r="B16" s="206">
        <f>Черн.!AD15</f>
        <v>605957.76940999995</v>
      </c>
      <c r="C16" s="206">
        <f>Черн.!AE15</f>
        <v>328562.57457000006</v>
      </c>
      <c r="D16" s="206">
        <f t="shared" si="0"/>
        <v>54.222025222963978</v>
      </c>
      <c r="E16" s="206">
        <f>Черн.!AK15</f>
        <v>616144.72802999988</v>
      </c>
      <c r="F16" s="206">
        <f>Черн.!AL15</f>
        <v>334523.19123</v>
      </c>
      <c r="G16" s="206">
        <f t="shared" si="1"/>
        <v>54.292956834925995</v>
      </c>
      <c r="H16" s="206">
        <f t="shared" si="2"/>
        <v>-10186.958619999932</v>
      </c>
      <c r="I16" s="206">
        <f t="shared" si="3"/>
        <v>-5960.6166599999415</v>
      </c>
      <c r="J16" s="206">
        <f>Черн.!CN15</f>
        <v>19587.145410000001</v>
      </c>
      <c r="K16" s="206">
        <f>Черн.!CP15</f>
        <v>361.89716999999996</v>
      </c>
      <c r="L16" s="206">
        <f>Черн.!CQ15</f>
        <v>5997.1067200000016</v>
      </c>
      <c r="M16" s="206">
        <f>Черн.!CR15</f>
        <v>-132.57151000000005</v>
      </c>
      <c r="N16" s="206">
        <f>Черн.!CV15</f>
        <v>0</v>
      </c>
      <c r="O16" s="207">
        <f>Черн.!CW15</f>
        <v>0</v>
      </c>
      <c r="S16" s="194">
        <f t="shared" si="4"/>
        <v>328.56257457000004</v>
      </c>
    </row>
    <row r="17" spans="1:19" x14ac:dyDescent="0.25">
      <c r="A17" s="193" t="s">
        <v>166</v>
      </c>
      <c r="B17" s="206">
        <f>Черн.!AD16</f>
        <v>588946.31558000005</v>
      </c>
      <c r="C17" s="206">
        <f>Черн.!AE16</f>
        <v>335737.06049</v>
      </c>
      <c r="D17" s="216">
        <f t="shared" si="0"/>
        <v>57.006394574242798</v>
      </c>
      <c r="E17" s="206">
        <f>Черн.!AK16</f>
        <v>604481.21992000018</v>
      </c>
      <c r="F17" s="206">
        <f>Черн.!AL16</f>
        <v>330979.01248999999</v>
      </c>
      <c r="G17" s="206">
        <f t="shared" si="1"/>
        <v>54.754225868886927</v>
      </c>
      <c r="H17" s="206">
        <f t="shared" si="2"/>
        <v>-15534.904340000125</v>
      </c>
      <c r="I17" s="206">
        <f t="shared" si="3"/>
        <v>4758.0480000000098</v>
      </c>
      <c r="J17" s="206">
        <f>Черн.!CN16</f>
        <v>45100.553460000003</v>
      </c>
      <c r="K17" s="206">
        <f>Черн.!CP16</f>
        <v>183.06296</v>
      </c>
      <c r="L17" s="206">
        <f>Черн.!CQ16</f>
        <v>36941.329860000005</v>
      </c>
      <c r="M17" s="206">
        <f>Черн.!CR16</f>
        <v>83.062960000000004</v>
      </c>
      <c r="N17" s="206">
        <f>Черн.!CV16</f>
        <v>19041.8</v>
      </c>
      <c r="O17" s="207">
        <f>Черн.!CW16</f>
        <v>897.70000000000073</v>
      </c>
      <c r="S17" s="194">
        <f t="shared" si="4"/>
        <v>335.73706048999998</v>
      </c>
    </row>
    <row r="18" spans="1:19" x14ac:dyDescent="0.25">
      <c r="A18" s="193" t="s">
        <v>167</v>
      </c>
      <c r="B18" s="206">
        <f>Черн.!AD17</f>
        <v>396683.55614999996</v>
      </c>
      <c r="C18" s="206">
        <f>Черн.!AE17</f>
        <v>217962.17773</v>
      </c>
      <c r="D18" s="206">
        <f t="shared" si="0"/>
        <v>54.946108642723992</v>
      </c>
      <c r="E18" s="206">
        <f>Черн.!AK17</f>
        <v>404500.53683</v>
      </c>
      <c r="F18" s="206">
        <f>Черн.!AL17</f>
        <v>233261.07365999999</v>
      </c>
      <c r="G18" s="216">
        <f t="shared" si="1"/>
        <v>57.666443532566419</v>
      </c>
      <c r="H18" s="206">
        <f t="shared" si="2"/>
        <v>-7816.980680000037</v>
      </c>
      <c r="I18" s="206">
        <f t="shared" si="3"/>
        <v>-15298.895929999999</v>
      </c>
      <c r="J18" s="206">
        <f>Черн.!CN17</f>
        <v>16170.657859999999</v>
      </c>
      <c r="K18" s="206">
        <f>Черн.!CP17</f>
        <v>2015.0531899999999</v>
      </c>
      <c r="L18" s="206">
        <f>Черн.!CQ17</f>
        <v>10553.677179999999</v>
      </c>
      <c r="M18" s="206">
        <f>Черн.!CR17</f>
        <v>791.24038999999971</v>
      </c>
      <c r="N18" s="206">
        <f>Черн.!CV17</f>
        <v>15320</v>
      </c>
      <c r="O18" s="207">
        <f>Черн.!CW17</f>
        <v>7020</v>
      </c>
      <c r="S18" s="194">
        <f t="shared" si="4"/>
        <v>217.96217773000001</v>
      </c>
    </row>
    <row r="19" spans="1:19" x14ac:dyDescent="0.25">
      <c r="A19" s="193" t="s">
        <v>168</v>
      </c>
      <c r="B19" s="206">
        <f>Черн.!AD18</f>
        <v>698318.27113000001</v>
      </c>
      <c r="C19" s="206">
        <f>Черн.!AE18</f>
        <v>311893.69247000001</v>
      </c>
      <c r="D19" s="206">
        <f t="shared" si="0"/>
        <v>44.663544599126979</v>
      </c>
      <c r="E19" s="206">
        <f>Черн.!AK18</f>
        <v>714879.06728999992</v>
      </c>
      <c r="F19" s="206">
        <f>Черн.!AL18</f>
        <v>318974.11149000004</v>
      </c>
      <c r="G19" s="206">
        <f t="shared" si="1"/>
        <v>44.61931060580406</v>
      </c>
      <c r="H19" s="206">
        <f t="shared" si="2"/>
        <v>-16560.796159999911</v>
      </c>
      <c r="I19" s="206">
        <f t="shared" si="3"/>
        <v>-7080.4190200000303</v>
      </c>
      <c r="J19" s="206">
        <f>Черн.!CN18</f>
        <v>15411.523859999999</v>
      </c>
      <c r="K19" s="206">
        <f>Черн.!CP18</f>
        <v>3593.8352500000001</v>
      </c>
      <c r="L19" s="206">
        <f>Черн.!CQ18</f>
        <v>6108.1951699999991</v>
      </c>
      <c r="M19" s="206">
        <f>Черн.!CR18</f>
        <v>2976.8100400000003</v>
      </c>
      <c r="N19" s="206">
        <f>Черн.!CV18</f>
        <v>24500</v>
      </c>
      <c r="O19" s="207">
        <f>Черн.!CW18</f>
        <v>3000</v>
      </c>
      <c r="S19" s="194">
        <f t="shared" si="4"/>
        <v>311.89369247000002</v>
      </c>
    </row>
    <row r="20" spans="1:19" x14ac:dyDescent="0.25">
      <c r="A20" s="193" t="s">
        <v>169</v>
      </c>
      <c r="B20" s="206">
        <f>Черн.!AD19</f>
        <v>766211.52354000008</v>
      </c>
      <c r="C20" s="206">
        <f>Черн.!AE19</f>
        <v>396180.83262</v>
      </c>
      <c r="D20" s="206">
        <f t="shared" si="0"/>
        <v>51.706457087670962</v>
      </c>
      <c r="E20" s="206">
        <f>Черн.!AK19</f>
        <v>795567.44883999997</v>
      </c>
      <c r="F20" s="206">
        <f>Черн.!AL19</f>
        <v>402443.28460000001</v>
      </c>
      <c r="G20" s="206">
        <f t="shared" si="1"/>
        <v>50.585690149439124</v>
      </c>
      <c r="H20" s="206">
        <f t="shared" si="2"/>
        <v>-29355.925299999886</v>
      </c>
      <c r="I20" s="206">
        <f t="shared" si="3"/>
        <v>-6262.4519800000126</v>
      </c>
      <c r="J20" s="206">
        <f>Черн.!CN19</f>
        <v>22409.025229999999</v>
      </c>
      <c r="K20" s="206">
        <f>Черн.!CP19</f>
        <v>3198.46306</v>
      </c>
      <c r="L20" s="206">
        <f>Черн.!CQ19</f>
        <v>16413.859400000001</v>
      </c>
      <c r="M20" s="206">
        <f>Черн.!CR19</f>
        <v>2848.9190900000003</v>
      </c>
      <c r="N20" s="206">
        <f>Черн.!CV19</f>
        <v>138693</v>
      </c>
      <c r="O20" s="207">
        <f>Черн.!CW19</f>
        <v>18993</v>
      </c>
      <c r="S20" s="194">
        <f t="shared" si="4"/>
        <v>396.18083261999999</v>
      </c>
    </row>
    <row r="21" spans="1:19" x14ac:dyDescent="0.25">
      <c r="A21" s="193" t="s">
        <v>170</v>
      </c>
      <c r="B21" s="206">
        <f>Черн.!AD20</f>
        <v>835346.45687999995</v>
      </c>
      <c r="C21" s="206">
        <f>Черн.!AE20</f>
        <v>458561.90934000001</v>
      </c>
      <c r="D21" s="206">
        <f t="shared" si="0"/>
        <v>54.894817062218507</v>
      </c>
      <c r="E21" s="206">
        <f>Черн.!AK20</f>
        <v>879618.68687000009</v>
      </c>
      <c r="F21" s="206">
        <f>Черн.!AL20</f>
        <v>479603.59517000004</v>
      </c>
      <c r="G21" s="206">
        <f t="shared" si="1"/>
        <v>54.524034371825621</v>
      </c>
      <c r="H21" s="206">
        <f t="shared" si="2"/>
        <v>-44272.229990000138</v>
      </c>
      <c r="I21" s="206">
        <f t="shared" si="3"/>
        <v>-21041.685830000031</v>
      </c>
      <c r="J21" s="206">
        <f>Черн.!CN20</f>
        <v>24173.360089999998</v>
      </c>
      <c r="K21" s="206">
        <f>Черн.!CP20</f>
        <v>1073.7771299999999</v>
      </c>
      <c r="L21" s="206">
        <f>Черн.!CQ20</f>
        <v>178.87445999999909</v>
      </c>
      <c r="M21" s="206">
        <f>Черн.!CR20</f>
        <v>-13428.114079999999</v>
      </c>
      <c r="N21" s="206">
        <f>Черн.!CV20</f>
        <v>17800</v>
      </c>
      <c r="O21" s="207">
        <f>Черн.!CW20</f>
        <v>-4000</v>
      </c>
      <c r="S21" s="194">
        <f t="shared" si="4"/>
        <v>458.56190934</v>
      </c>
    </row>
    <row r="22" spans="1:19" x14ac:dyDescent="0.25">
      <c r="A22" s="193" t="s">
        <v>171</v>
      </c>
      <c r="B22" s="206">
        <f>Черн.!AD21</f>
        <v>1191499.19252</v>
      </c>
      <c r="C22" s="206">
        <f>Черн.!AE21</f>
        <v>576010.94508000009</v>
      </c>
      <c r="D22" s="206">
        <f t="shared" si="0"/>
        <v>48.343376873109499</v>
      </c>
      <c r="E22" s="206">
        <f>Черн.!AK21</f>
        <v>1222744.8319699999</v>
      </c>
      <c r="F22" s="206">
        <f>Черн.!AL21</f>
        <v>582086.08692000003</v>
      </c>
      <c r="G22" s="206">
        <f t="shared" si="1"/>
        <v>47.60486993694213</v>
      </c>
      <c r="H22" s="206">
        <f t="shared" si="2"/>
        <v>-31245.639449999901</v>
      </c>
      <c r="I22" s="206">
        <f t="shared" si="3"/>
        <v>-6075.1418399999384</v>
      </c>
      <c r="J22" s="206">
        <f>Черн.!CN21</f>
        <v>71024.909599999999</v>
      </c>
      <c r="K22" s="206">
        <f>Черн.!CP21</f>
        <v>547.10931000000005</v>
      </c>
      <c r="L22" s="206">
        <f>Черн.!CQ21</f>
        <v>32158.90741</v>
      </c>
      <c r="M22" s="206">
        <f>Черн.!CR21</f>
        <v>-398.83118999999999</v>
      </c>
      <c r="N22" s="206">
        <f>Черн.!CV21</f>
        <v>0</v>
      </c>
      <c r="O22" s="207">
        <f>Черн.!CW21</f>
        <v>0</v>
      </c>
      <c r="S22" s="194">
        <f t="shared" si="4"/>
        <v>576.01094508000006</v>
      </c>
    </row>
    <row r="23" spans="1:19" x14ac:dyDescent="0.25">
      <c r="A23" s="193" t="s">
        <v>172</v>
      </c>
      <c r="B23" s="206">
        <f>Черн.!AD22</f>
        <v>1147052.7483499998</v>
      </c>
      <c r="C23" s="206">
        <f>Черн.!AE22</f>
        <v>611945.85389000003</v>
      </c>
      <c r="D23" s="206">
        <f t="shared" si="0"/>
        <v>53.349408278761842</v>
      </c>
      <c r="E23" s="206">
        <f>Черн.!AK22</f>
        <v>1166595.7919899998</v>
      </c>
      <c r="F23" s="206">
        <f>Черн.!AL22</f>
        <v>610687.3954700001</v>
      </c>
      <c r="G23" s="206">
        <f t="shared" si="1"/>
        <v>52.347814012622031</v>
      </c>
      <c r="H23" s="206">
        <f t="shared" si="2"/>
        <v>-19543.043640000047</v>
      </c>
      <c r="I23" s="206">
        <f t="shared" si="3"/>
        <v>1258.4584199999226</v>
      </c>
      <c r="J23" s="206">
        <f>Черн.!CN22</f>
        <v>78232.814549999996</v>
      </c>
      <c r="K23" s="206">
        <f>Черн.!CP22</f>
        <v>3578.4712100000002</v>
      </c>
      <c r="L23" s="206">
        <f>Черн.!CQ22</f>
        <v>59065.472029999997</v>
      </c>
      <c r="M23" s="206">
        <f>Черн.!CR22</f>
        <v>3524.9909200000002</v>
      </c>
      <c r="N23" s="206">
        <f>Черн.!CV22</f>
        <v>85500</v>
      </c>
      <c r="O23" s="207">
        <f>Черн.!CW22</f>
        <v>-11500</v>
      </c>
      <c r="S23" s="194">
        <f t="shared" si="4"/>
        <v>611.94585389000008</v>
      </c>
    </row>
    <row r="24" spans="1:19" x14ac:dyDescent="0.25">
      <c r="A24" s="193" t="s">
        <v>173</v>
      </c>
      <c r="B24" s="206">
        <f>Черн.!AD23</f>
        <v>1491508.6883700001</v>
      </c>
      <c r="C24" s="206">
        <f>Черн.!AE23</f>
        <v>507139.36226999998</v>
      </c>
      <c r="D24" s="216">
        <f t="shared" si="0"/>
        <v>34.001770571261559</v>
      </c>
      <c r="E24" s="206">
        <f>Черн.!AK23</f>
        <v>1587548.6005500001</v>
      </c>
      <c r="F24" s="206">
        <f>Черн.!AL23</f>
        <v>556019.5938700001</v>
      </c>
      <c r="G24" s="216">
        <f t="shared" si="1"/>
        <v>35.02378407044479</v>
      </c>
      <c r="H24" s="206">
        <f t="shared" si="2"/>
        <v>-96039.912179999985</v>
      </c>
      <c r="I24" s="206">
        <f t="shared" si="3"/>
        <v>-48880.231600000116</v>
      </c>
      <c r="J24" s="206">
        <f>Черн.!CN23</f>
        <v>49703.196630000006</v>
      </c>
      <c r="K24" s="206">
        <f>Черн.!CP23</f>
        <v>1601.1706000000001</v>
      </c>
      <c r="L24" s="206">
        <f>Черн.!CQ23</f>
        <v>-20922.75873999999</v>
      </c>
      <c r="M24" s="206">
        <f>Черн.!CR23</f>
        <v>-2219.7034400000002</v>
      </c>
      <c r="N24" s="206">
        <f>Черн.!CV23</f>
        <v>0</v>
      </c>
      <c r="O24" s="207">
        <f>Черн.!CW23</f>
        <v>0</v>
      </c>
      <c r="S24" s="194">
        <f t="shared" si="4"/>
        <v>507.13936226999999</v>
      </c>
    </row>
    <row r="25" spans="1:19" x14ac:dyDescent="0.25">
      <c r="A25" s="193" t="s">
        <v>174</v>
      </c>
      <c r="B25" s="206">
        <f>Черн.!AD24</f>
        <v>1120570.5022099998</v>
      </c>
      <c r="C25" s="206">
        <f>Черн.!AE24</f>
        <v>596995.43823999993</v>
      </c>
      <c r="D25" s="206">
        <f t="shared" si="0"/>
        <v>53.276026547423818</v>
      </c>
      <c r="E25" s="206">
        <f>Черн.!AK24</f>
        <v>1146949.8419299999</v>
      </c>
      <c r="F25" s="206">
        <f>Черн.!AL24</f>
        <v>605180.71956999996</v>
      </c>
      <c r="G25" s="206">
        <f t="shared" si="1"/>
        <v>52.76435790353726</v>
      </c>
      <c r="H25" s="206">
        <f t="shared" si="2"/>
        <v>-26379.339720000047</v>
      </c>
      <c r="I25" s="206">
        <f t="shared" si="3"/>
        <v>-8185.2813300000271</v>
      </c>
      <c r="J25" s="206">
        <f>Черн.!CN24</f>
        <v>63638.625950000001</v>
      </c>
      <c r="K25" s="206">
        <f>Черн.!CP24</f>
        <v>3798.03244</v>
      </c>
      <c r="L25" s="206">
        <f>Черн.!CQ24</f>
        <v>40250.863140000001</v>
      </c>
      <c r="M25" s="206">
        <f>Черн.!CR24</f>
        <v>1265.7449499999998</v>
      </c>
      <c r="N25" s="206">
        <f>Черн.!CV24</f>
        <v>53108</v>
      </c>
      <c r="O25" s="207">
        <f>Черн.!CW24</f>
        <v>20508</v>
      </c>
      <c r="S25" s="194">
        <f t="shared" si="4"/>
        <v>596.99543823999988</v>
      </c>
    </row>
    <row r="26" spans="1:19" x14ac:dyDescent="0.25">
      <c r="A26" s="193" t="s">
        <v>175</v>
      </c>
      <c r="B26" s="206">
        <f>Черн.!AD25</f>
        <v>943733.89867000002</v>
      </c>
      <c r="C26" s="206">
        <f>Черн.!AE25</f>
        <v>521653.67820000002</v>
      </c>
      <c r="D26" s="206">
        <f t="shared" si="0"/>
        <v>55.275504984526272</v>
      </c>
      <c r="E26" s="206">
        <f>Черн.!AK25</f>
        <v>956018.63770999992</v>
      </c>
      <c r="F26" s="206">
        <f>Черн.!AL25</f>
        <v>524415.24439000001</v>
      </c>
      <c r="G26" s="206">
        <f t="shared" si="1"/>
        <v>54.854081678382187</v>
      </c>
      <c r="H26" s="206">
        <f t="shared" si="2"/>
        <v>-12284.739039999899</v>
      </c>
      <c r="I26" s="206">
        <f t="shared" si="3"/>
        <v>-2761.5661899999832</v>
      </c>
      <c r="J26" s="206">
        <f>Черн.!CN25</f>
        <v>74890.742150000005</v>
      </c>
      <c r="K26" s="206">
        <f>Черн.!CP25</f>
        <v>7533.4349000000002</v>
      </c>
      <c r="L26" s="206">
        <f>Черн.!CQ25</f>
        <v>46270.961120000007</v>
      </c>
      <c r="M26" s="206">
        <f>Черн.!CR25</f>
        <v>7118.4056799999998</v>
      </c>
      <c r="N26" s="206">
        <f>Черн.!CV25</f>
        <v>0</v>
      </c>
      <c r="O26" s="207">
        <f>Черн.!CW25</f>
        <v>0</v>
      </c>
      <c r="S26" s="194">
        <f t="shared" si="4"/>
        <v>521.65367820000006</v>
      </c>
    </row>
    <row r="27" spans="1:19" x14ac:dyDescent="0.25">
      <c r="A27" s="193" t="s">
        <v>176</v>
      </c>
      <c r="B27" s="206">
        <f>Черн.!AD26</f>
        <v>463310.22232999996</v>
      </c>
      <c r="C27" s="206">
        <f>Черн.!AE26</f>
        <v>211873.48005000001</v>
      </c>
      <c r="D27" s="206">
        <f t="shared" si="0"/>
        <v>45.730370244041325</v>
      </c>
      <c r="E27" s="206">
        <f>Черн.!AK26</f>
        <v>472798.70631000004</v>
      </c>
      <c r="F27" s="206">
        <f>Черн.!AL26</f>
        <v>211488.98021000001</v>
      </c>
      <c r="G27" s="206">
        <f t="shared" si="1"/>
        <v>44.731294182377262</v>
      </c>
      <c r="H27" s="206">
        <f t="shared" si="2"/>
        <v>-9488.4839800000773</v>
      </c>
      <c r="I27" s="206">
        <f t="shared" si="3"/>
        <v>384.49984000000404</v>
      </c>
      <c r="J27" s="206">
        <f>Черн.!CN26</f>
        <v>40376.122779999998</v>
      </c>
      <c r="K27" s="206">
        <f>Черн.!CP26</f>
        <v>144.91598999999999</v>
      </c>
      <c r="L27" s="206">
        <f>Черн.!CQ26</f>
        <v>16005.642059999998</v>
      </c>
      <c r="M27" s="206">
        <f>Черн.!CR26</f>
        <v>144.91598999999999</v>
      </c>
      <c r="N27" s="206">
        <f>Черн.!CV26</f>
        <v>0</v>
      </c>
      <c r="O27" s="207">
        <f>Черн.!CW26</f>
        <v>0</v>
      </c>
      <c r="S27" s="194">
        <f t="shared" si="4"/>
        <v>211.87348005000001</v>
      </c>
    </row>
    <row r="28" spans="1:19" x14ac:dyDescent="0.25">
      <c r="A28" s="193" t="s">
        <v>177</v>
      </c>
      <c r="B28" s="206">
        <f>Черн.!AD27</f>
        <v>9279825.8181299996</v>
      </c>
      <c r="C28" s="206">
        <f>Черн.!AE27</f>
        <v>4273030.3799700001</v>
      </c>
      <c r="D28" s="206">
        <f t="shared" si="0"/>
        <v>46.046450264419605</v>
      </c>
      <c r="E28" s="206">
        <f>Черн.!AK27</f>
        <v>9500624.2344000004</v>
      </c>
      <c r="F28" s="206">
        <f>Черн.!AL27</f>
        <v>4497918.9499599999</v>
      </c>
      <c r="G28" s="206">
        <f t="shared" si="1"/>
        <v>47.343404380460271</v>
      </c>
      <c r="H28" s="206">
        <f t="shared" si="2"/>
        <v>-220798.41627000086</v>
      </c>
      <c r="I28" s="206">
        <f t="shared" si="3"/>
        <v>-224888.56998999976</v>
      </c>
      <c r="J28" s="206">
        <f>Черн.!CN27</f>
        <v>188450.79248</v>
      </c>
      <c r="K28" s="206">
        <f>Черн.!CP27</f>
        <v>-8370.0832699999992</v>
      </c>
      <c r="L28" s="206">
        <f>Черн.!CQ27</f>
        <v>93278.207600000009</v>
      </c>
      <c r="M28" s="206">
        <f>Черн.!CR27</f>
        <v>-8610.1956199999986</v>
      </c>
      <c r="N28" s="206">
        <f>Черн.!CV27</f>
        <v>1577849</v>
      </c>
      <c r="O28" s="207">
        <f>Черн.!CW27</f>
        <v>42849</v>
      </c>
      <c r="S28" s="194">
        <f t="shared" si="4"/>
        <v>4273.0303799700005</v>
      </c>
    </row>
    <row r="29" spans="1:19" x14ac:dyDescent="0.25">
      <c r="A29" s="193" t="s">
        <v>178</v>
      </c>
      <c r="B29" s="206">
        <f>Черн.!AD28</f>
        <v>6218884.3834199999</v>
      </c>
      <c r="C29" s="206">
        <f>Черн.!AE28</f>
        <v>3146142.29324</v>
      </c>
      <c r="D29" s="206">
        <f t="shared" si="0"/>
        <v>50.590139633852097</v>
      </c>
      <c r="E29" s="206">
        <f>Черн.!AK28</f>
        <v>6332617.8191400003</v>
      </c>
      <c r="F29" s="206">
        <f>Черн.!AL28</f>
        <v>2975839.7870800002</v>
      </c>
      <c r="G29" s="206">
        <f t="shared" si="1"/>
        <v>46.992252999789166</v>
      </c>
      <c r="H29" s="206">
        <f t="shared" si="2"/>
        <v>-113733.43572000042</v>
      </c>
      <c r="I29" s="206">
        <f t="shared" si="3"/>
        <v>170302.50615999987</v>
      </c>
      <c r="J29" s="206">
        <f>Черн.!CN28</f>
        <v>434255.49044000002</v>
      </c>
      <c r="K29" s="206">
        <f>Черн.!CP28</f>
        <v>25.417619999999999</v>
      </c>
      <c r="L29" s="206">
        <f>Черн.!CQ28</f>
        <v>314281.91022000002</v>
      </c>
      <c r="M29" s="206">
        <f>Черн.!CR28</f>
        <v>25.417619999999999</v>
      </c>
      <c r="N29" s="206">
        <f>Черн.!CV28</f>
        <v>1621466.665</v>
      </c>
      <c r="O29" s="207">
        <f>Черн.!CW28</f>
        <v>-40000</v>
      </c>
      <c r="S29" s="194">
        <f t="shared" si="4"/>
        <v>3146.1422932400001</v>
      </c>
    </row>
    <row r="30" spans="1:19" x14ac:dyDescent="0.25">
      <c r="A30" s="193" t="s">
        <v>179</v>
      </c>
      <c r="B30" s="206">
        <f>Черн.!AD29</f>
        <v>2047987.44187</v>
      </c>
      <c r="C30" s="206">
        <f>Черн.!AE29</f>
        <v>1071399.55703</v>
      </c>
      <c r="D30" s="206">
        <f t="shared" si="0"/>
        <v>52.314752284404349</v>
      </c>
      <c r="E30" s="206">
        <f>Черн.!AK29</f>
        <v>2322060.7234399999</v>
      </c>
      <c r="F30" s="206">
        <f>Черн.!AL29</f>
        <v>1105983.2806899999</v>
      </c>
      <c r="G30" s="206">
        <f t="shared" si="1"/>
        <v>47.629386670454899</v>
      </c>
      <c r="H30" s="206">
        <f t="shared" si="2"/>
        <v>-274073.28156999988</v>
      </c>
      <c r="I30" s="206">
        <f t="shared" si="3"/>
        <v>-34583.723659999901</v>
      </c>
      <c r="J30" s="206">
        <f>Черн.!CN29</f>
        <v>54295.303319999999</v>
      </c>
      <c r="K30" s="206">
        <f>Черн.!CP29</f>
        <v>4126.6466899999996</v>
      </c>
      <c r="L30" s="206">
        <f>Черн.!CQ29</f>
        <v>36816.197829999997</v>
      </c>
      <c r="M30" s="206">
        <f>Черн.!CR29</f>
        <v>3245.7577999999994</v>
      </c>
      <c r="N30" s="206">
        <f>Черн.!CV29</f>
        <v>70000</v>
      </c>
      <c r="O30" s="207">
        <f>Черн.!CW29</f>
        <v>-70000</v>
      </c>
      <c r="S30" s="194">
        <f t="shared" si="4"/>
        <v>1071.3995570300001</v>
      </c>
    </row>
    <row r="31" spans="1:19" x14ac:dyDescent="0.25">
      <c r="A31" s="193" t="s">
        <v>180</v>
      </c>
      <c r="B31" s="206">
        <f>Черн.!AD30</f>
        <v>958439.42749000003</v>
      </c>
      <c r="C31" s="206">
        <f>Черн.!AE30</f>
        <v>470925.42011000001</v>
      </c>
      <c r="D31" s="206">
        <f t="shared" si="0"/>
        <v>49.134604295576466</v>
      </c>
      <c r="E31" s="206">
        <f>Черн.!AK30</f>
        <v>987606.95571999997</v>
      </c>
      <c r="F31" s="206">
        <f>Черн.!AL30</f>
        <v>493889.21013999998</v>
      </c>
      <c r="G31" s="206">
        <f t="shared" si="1"/>
        <v>50.008680809658479</v>
      </c>
      <c r="H31" s="206">
        <f t="shared" si="2"/>
        <v>-29167.528229999938</v>
      </c>
      <c r="I31" s="206">
        <f t="shared" si="3"/>
        <v>-22963.790029999975</v>
      </c>
      <c r="J31" s="206">
        <f>Черн.!CN30</f>
        <v>235.34720000000002</v>
      </c>
      <c r="K31" s="206">
        <f>Черн.!CP30</f>
        <v>2655.0285099999996</v>
      </c>
      <c r="L31" s="206">
        <f>Черн.!CQ30</f>
        <v>-6651.0765499999998</v>
      </c>
      <c r="M31" s="206">
        <f>Черн.!CR30</f>
        <v>2655.0285099999996</v>
      </c>
      <c r="N31" s="206">
        <f>Черн.!CV30</f>
        <v>106800</v>
      </c>
      <c r="O31" s="207">
        <f>Черн.!CW30</f>
        <v>-1000</v>
      </c>
      <c r="S31" s="194">
        <f t="shared" si="4"/>
        <v>470.92542011</v>
      </c>
    </row>
    <row r="32" spans="1:19" x14ac:dyDescent="0.25">
      <c r="A32" s="193" t="s">
        <v>181</v>
      </c>
      <c r="B32" s="206">
        <f>Черн.!AD31</f>
        <v>992715.90558999998</v>
      </c>
      <c r="C32" s="206">
        <f>Черн.!AE31</f>
        <v>531935.49323999998</v>
      </c>
      <c r="D32" s="206">
        <f t="shared" si="0"/>
        <v>53.583859213362281</v>
      </c>
      <c r="E32" s="206">
        <f>Черн.!AK31</f>
        <v>1037960.90474</v>
      </c>
      <c r="F32" s="206">
        <f>Черн.!AL31</f>
        <v>520587.05186000001</v>
      </c>
      <c r="G32" s="206">
        <f t="shared" si="1"/>
        <v>50.15478420070189</v>
      </c>
      <c r="H32" s="206">
        <f t="shared" si="2"/>
        <v>-45244.999150000047</v>
      </c>
      <c r="I32" s="206">
        <f t="shared" si="3"/>
        <v>11348.441379999975</v>
      </c>
      <c r="J32" s="206">
        <f>Черн.!CN31</f>
        <v>98364.181680000009</v>
      </c>
      <c r="K32" s="206">
        <f>Черн.!CP31</f>
        <v>167.34473</v>
      </c>
      <c r="L32" s="206">
        <f>Черн.!CQ31</f>
        <v>88531.199530000013</v>
      </c>
      <c r="M32" s="206">
        <f>Черн.!CR31</f>
        <v>-238.79105000000001</v>
      </c>
      <c r="N32" s="206">
        <f>Черн.!CV31</f>
        <v>270947.424</v>
      </c>
      <c r="O32" s="207">
        <f>Черн.!CW31</f>
        <v>30000</v>
      </c>
      <c r="S32" s="194">
        <f t="shared" si="4"/>
        <v>531.93549324000003</v>
      </c>
    </row>
    <row r="33" spans="1:19" x14ac:dyDescent="0.25">
      <c r="A33" s="193" t="s">
        <v>182</v>
      </c>
      <c r="B33" s="206">
        <f>Черн.!AD32</f>
        <v>1146581.70102</v>
      </c>
      <c r="C33" s="206">
        <f>Черн.!AE32</f>
        <v>544520.86419999995</v>
      </c>
      <c r="D33" s="206">
        <f t="shared" si="0"/>
        <v>47.490803639687755</v>
      </c>
      <c r="E33" s="206">
        <f>Черн.!AK32</f>
        <v>1180507.8679</v>
      </c>
      <c r="F33" s="206">
        <f>Черн.!AL32</f>
        <v>533560.86367999995</v>
      </c>
      <c r="G33" s="206">
        <f t="shared" si="1"/>
        <v>45.197569468905691</v>
      </c>
      <c r="H33" s="206">
        <f t="shared" si="2"/>
        <v>-33926.166879999917</v>
      </c>
      <c r="I33" s="206">
        <f t="shared" si="3"/>
        <v>10960.000520000001</v>
      </c>
      <c r="J33" s="206">
        <f>Черн.!CN32</f>
        <v>45336.591670000002</v>
      </c>
      <c r="K33" s="206">
        <f>Черн.!CP32</f>
        <v>203.84365</v>
      </c>
      <c r="L33" s="206">
        <f>Черн.!CQ32</f>
        <v>10960.000520000001</v>
      </c>
      <c r="M33" s="206">
        <f>Черн.!CR32</f>
        <v>-99.572949999999963</v>
      </c>
      <c r="N33" s="206">
        <f>Черн.!CV32</f>
        <v>0</v>
      </c>
      <c r="O33" s="207">
        <f>Черн.!CW32</f>
        <v>0</v>
      </c>
      <c r="S33" s="194">
        <f t="shared" si="4"/>
        <v>544.52086420000001</v>
      </c>
    </row>
    <row r="34" spans="1:19" x14ac:dyDescent="0.25">
      <c r="A34" s="193" t="s">
        <v>183</v>
      </c>
      <c r="B34" s="206">
        <f>Черн.!AD33</f>
        <v>115665.42448</v>
      </c>
      <c r="C34" s="206">
        <f>Черн.!AE33</f>
        <v>45039.836040000002</v>
      </c>
      <c r="D34" s="216">
        <f t="shared" si="0"/>
        <v>38.939757704159859</v>
      </c>
      <c r="E34" s="206">
        <f>Черн.!AK33</f>
        <v>123472.56301</v>
      </c>
      <c r="F34" s="206">
        <f>Черн.!AL33</f>
        <v>59863.367570000002</v>
      </c>
      <c r="G34" s="206">
        <f t="shared" si="1"/>
        <v>48.483133508090937</v>
      </c>
      <c r="H34" s="206">
        <f t="shared" si="2"/>
        <v>-7807.1385299999965</v>
      </c>
      <c r="I34" s="206">
        <f t="shared" si="3"/>
        <v>-14823.53153</v>
      </c>
      <c r="J34" s="206">
        <f>Черн.!CN33</f>
        <v>9263.3217399999994</v>
      </c>
      <c r="K34" s="206">
        <f>Черн.!CP33</f>
        <v>0</v>
      </c>
      <c r="L34" s="206">
        <f>Черн.!CQ33</f>
        <v>-14823.53153</v>
      </c>
      <c r="M34" s="206">
        <f>Черн.!CR33</f>
        <v>-1.54373</v>
      </c>
      <c r="N34" s="206">
        <f>Черн.!CV33</f>
        <v>0</v>
      </c>
      <c r="O34" s="207">
        <f>Черн.!CW33</f>
        <v>0</v>
      </c>
      <c r="S34" s="194">
        <f t="shared" si="4"/>
        <v>45.039836040000004</v>
      </c>
    </row>
    <row r="35" spans="1:19" s="195" customFormat="1" ht="13.8" thickBot="1" x14ac:dyDescent="0.3">
      <c r="A35" s="210" t="s">
        <v>184</v>
      </c>
      <c r="B35" s="211">
        <f>Черн.!AD34</f>
        <v>36098905.10706</v>
      </c>
      <c r="C35" s="211">
        <f>Черн.!AE34</f>
        <v>17781445.579360001</v>
      </c>
      <c r="D35" s="211">
        <f t="shared" si="0"/>
        <v>49.257575892190751</v>
      </c>
      <c r="E35" s="211">
        <f>Черн.!AK34</f>
        <v>37411489.497449994</v>
      </c>
      <c r="F35" s="211">
        <f>Черн.!AL34</f>
        <v>18187908.704550002</v>
      </c>
      <c r="G35" s="211">
        <f t="shared" si="1"/>
        <v>48.615836869552354</v>
      </c>
      <c r="H35" s="211">
        <f t="shared" si="2"/>
        <v>-1312584.3903899938</v>
      </c>
      <c r="I35" s="211">
        <f t="shared" si="3"/>
        <v>-406463.12519000098</v>
      </c>
      <c r="J35" s="211">
        <f>Черн.!CN34</f>
        <v>1520027.4818099998</v>
      </c>
      <c r="K35" s="211">
        <f>Черн.!CP34</f>
        <v>49464.991190000001</v>
      </c>
      <c r="L35" s="211">
        <f>Черн.!CQ34</f>
        <v>735833.28289999999</v>
      </c>
      <c r="M35" s="211">
        <f>Черн.!CR34</f>
        <v>-86663.493330000027</v>
      </c>
      <c r="N35" s="211">
        <f>Черн.!CV34</f>
        <v>4149475.889</v>
      </c>
      <c r="O35" s="212">
        <f>Черн.!CW34</f>
        <v>9624.8000000000029</v>
      </c>
    </row>
    <row r="36" spans="1:19" ht="13.8" hidden="1" thickTop="1" x14ac:dyDescent="0.25">
      <c r="A36" s="214" t="s">
        <v>215</v>
      </c>
      <c r="B36" s="215">
        <v>36100362</v>
      </c>
      <c r="C36" s="213">
        <v>17781859</v>
      </c>
      <c r="D36" s="213"/>
      <c r="E36" s="213">
        <v>37412947</v>
      </c>
      <c r="F36" s="213">
        <v>18188322</v>
      </c>
      <c r="G36" s="213"/>
      <c r="H36" s="213">
        <v>-1312584</v>
      </c>
      <c r="I36" s="213">
        <v>-406463</v>
      </c>
      <c r="J36" s="213">
        <v>1520027</v>
      </c>
      <c r="K36" s="213">
        <v>49465</v>
      </c>
      <c r="L36" s="213"/>
      <c r="M36" s="213"/>
      <c r="N36" s="213"/>
      <c r="O36" s="213"/>
    </row>
    <row r="37" spans="1:19" hidden="1" x14ac:dyDescent="0.25">
      <c r="A37" s="214" t="s">
        <v>62</v>
      </c>
      <c r="B37" s="215">
        <f>B36-B35</f>
        <v>1456.8929399996996</v>
      </c>
      <c r="C37" s="215">
        <f t="shared" ref="C37:K37" si="5">C36-C35</f>
        <v>413.42063999921083</v>
      </c>
      <c r="D37" s="215"/>
      <c r="E37" s="215">
        <f t="shared" si="5"/>
        <v>1457.5025500059128</v>
      </c>
      <c r="F37" s="215">
        <f t="shared" si="5"/>
        <v>413.29544999822974</v>
      </c>
      <c r="G37" s="215"/>
      <c r="H37" s="215">
        <f t="shared" si="5"/>
        <v>0.39038999378681183</v>
      </c>
      <c r="I37" s="215">
        <f t="shared" si="5"/>
        <v>0.12519000098109245</v>
      </c>
      <c r="J37" s="215">
        <f t="shared" si="5"/>
        <v>-0.48180999979376793</v>
      </c>
      <c r="K37" s="215">
        <f t="shared" si="5"/>
        <v>8.8099999993573874E-3</v>
      </c>
      <c r="L37" s="215"/>
      <c r="M37" s="215"/>
      <c r="N37" s="215"/>
      <c r="O37" s="233"/>
    </row>
    <row r="38" spans="1:19" ht="13.8" thickTop="1" x14ac:dyDescent="0.25"/>
  </sheetData>
  <autoFilter ref="A8:O37"/>
  <mergeCells count="10">
    <mergeCell ref="N1:O1"/>
    <mergeCell ref="N5:O6"/>
    <mergeCell ref="K6:K7"/>
    <mergeCell ref="A5:A7"/>
    <mergeCell ref="B5:D6"/>
    <mergeCell ref="E5:G6"/>
    <mergeCell ref="H5:I6"/>
    <mergeCell ref="J5:J7"/>
    <mergeCell ref="L5:M6"/>
    <mergeCell ref="A3:O3"/>
  </mergeCells>
  <conditionalFormatting sqref="B9:O34">
    <cfRule type="cellIs" dxfId="5" priority="1" operator="equal">
      <formula>0</formula>
    </cfRule>
  </conditionalFormatting>
  <pageMargins left="0" right="0" top="0.74803149606299213" bottom="0.74803149606299213" header="0.31496062992125984" footer="0.31496062992125984"/>
  <pageSetup paperSize="9" scale="86"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39"/>
  <sheetViews>
    <sheetView zoomScale="115" zoomScaleNormal="115" workbookViewId="0">
      <pane xSplit="1" ySplit="8" topLeftCell="R9" activePane="bottomRight" state="frozen"/>
      <selection activeCell="A188" sqref="A188"/>
      <selection pane="topRight" activeCell="A188" sqref="A188"/>
      <selection pane="bottomLeft" activeCell="A188" sqref="A188"/>
      <selection pane="bottomRight" activeCell="T1" sqref="T1:U1048576"/>
    </sheetView>
  </sheetViews>
  <sheetFormatPr defaultColWidth="9.44140625" defaultRowHeight="13.2" x14ac:dyDescent="0.25"/>
  <cols>
    <col min="1" max="1" width="22" style="169" customWidth="1"/>
    <col min="2" max="3" width="12.33203125" style="194" bestFit="1" customWidth="1"/>
    <col min="4" max="4" width="6.44140625" style="194" bestFit="1" customWidth="1"/>
    <col min="5" max="6" width="11.33203125" style="194" bestFit="1" customWidth="1"/>
    <col min="7" max="7" width="6.44140625" style="194" bestFit="1" customWidth="1"/>
    <col min="8" max="9" width="11.33203125" style="197" bestFit="1" customWidth="1"/>
    <col min="10" max="10" width="6.44140625" style="197" bestFit="1" customWidth="1"/>
    <col min="11" max="12" width="10" style="197" bestFit="1" customWidth="1"/>
    <col min="13" max="13" width="6.33203125" style="197" customWidth="1"/>
    <col min="14" max="15" width="11.33203125" style="197" bestFit="1" customWidth="1"/>
    <col min="16" max="16" width="6.33203125" style="197" bestFit="1" customWidth="1"/>
    <col min="17" max="17" width="9.88671875" style="197" bestFit="1" customWidth="1"/>
    <col min="18" max="18" width="10" style="197" bestFit="1" customWidth="1"/>
    <col min="19" max="19" width="6.33203125" style="197" bestFit="1" customWidth="1"/>
    <col min="20" max="21" width="0" style="197" hidden="1" customWidth="1"/>
    <col min="22" max="16384" width="9.44140625" style="197"/>
  </cols>
  <sheetData>
    <row r="1" spans="1:19" ht="15" customHeight="1" x14ac:dyDescent="0.25">
      <c r="N1" s="196"/>
      <c r="O1" s="196"/>
      <c r="P1" s="196"/>
      <c r="Q1" s="516" t="s">
        <v>221</v>
      </c>
      <c r="R1" s="516"/>
      <c r="S1" s="516"/>
    </row>
    <row r="3" spans="1:19" s="190" customFormat="1" ht="36.75" customHeight="1" x14ac:dyDescent="0.25">
      <c r="A3" s="517" t="s">
        <v>1169</v>
      </c>
      <c r="B3" s="517"/>
      <c r="C3" s="517"/>
      <c r="D3" s="517"/>
      <c r="E3" s="517"/>
      <c r="F3" s="517"/>
      <c r="G3" s="517"/>
      <c r="H3" s="517"/>
      <c r="I3" s="517"/>
      <c r="J3" s="517"/>
      <c r="K3" s="517"/>
      <c r="L3" s="517"/>
      <c r="M3" s="517"/>
      <c r="N3" s="517"/>
      <c r="O3" s="517"/>
      <c r="P3" s="517"/>
      <c r="Q3" s="517"/>
      <c r="R3" s="517"/>
      <c r="S3" s="517"/>
    </row>
    <row r="4" spans="1:19" s="190" customFormat="1" ht="13.8" thickBot="1" x14ac:dyDescent="0.3">
      <c r="A4" s="169"/>
      <c r="B4" s="169"/>
      <c r="C4" s="169"/>
      <c r="D4" s="169"/>
      <c r="E4" s="169"/>
      <c r="F4" s="169"/>
      <c r="G4" s="169"/>
      <c r="S4" s="198" t="s">
        <v>186</v>
      </c>
    </row>
    <row r="5" spans="1:19" s="199" customFormat="1" ht="12.75" customHeight="1" thickTop="1" x14ac:dyDescent="0.25">
      <c r="A5" s="493" t="s">
        <v>187</v>
      </c>
      <c r="B5" s="495" t="s">
        <v>138</v>
      </c>
      <c r="C5" s="495"/>
      <c r="D5" s="495"/>
      <c r="E5" s="495" t="s">
        <v>202</v>
      </c>
      <c r="F5" s="495"/>
      <c r="G5" s="495"/>
      <c r="H5" s="495"/>
      <c r="I5" s="495"/>
      <c r="J5" s="495"/>
      <c r="K5" s="495"/>
      <c r="L5" s="495"/>
      <c r="M5" s="495"/>
      <c r="N5" s="495"/>
      <c r="O5" s="495"/>
      <c r="P5" s="495"/>
      <c r="Q5" s="495"/>
      <c r="R5" s="495"/>
      <c r="S5" s="496"/>
    </row>
    <row r="6" spans="1:19" s="199" customFormat="1" ht="39.75" customHeight="1" x14ac:dyDescent="0.25">
      <c r="A6" s="494"/>
      <c r="B6" s="488"/>
      <c r="C6" s="488"/>
      <c r="D6" s="488"/>
      <c r="E6" s="488" t="s">
        <v>203</v>
      </c>
      <c r="F6" s="488"/>
      <c r="G6" s="488"/>
      <c r="H6" s="518" t="s">
        <v>204</v>
      </c>
      <c r="I6" s="518"/>
      <c r="J6" s="518"/>
      <c r="K6" s="518" t="s">
        <v>205</v>
      </c>
      <c r="L6" s="518"/>
      <c r="M6" s="518"/>
      <c r="N6" s="518" t="s">
        <v>213</v>
      </c>
      <c r="O6" s="518"/>
      <c r="P6" s="518"/>
      <c r="Q6" s="518" t="s">
        <v>214</v>
      </c>
      <c r="R6" s="518"/>
      <c r="S6" s="519"/>
    </row>
    <row r="7" spans="1:19" s="202" customFormat="1" ht="24" x14ac:dyDescent="0.25">
      <c r="A7" s="494"/>
      <c r="B7" s="14" t="s">
        <v>190</v>
      </c>
      <c r="C7" s="14" t="s">
        <v>191</v>
      </c>
      <c r="D7" s="14" t="s">
        <v>146</v>
      </c>
      <c r="E7" s="14" t="s">
        <v>190</v>
      </c>
      <c r="F7" s="14" t="s">
        <v>191</v>
      </c>
      <c r="G7" s="14" t="s">
        <v>146</v>
      </c>
      <c r="H7" s="200" t="s">
        <v>190</v>
      </c>
      <c r="I7" s="200" t="s">
        <v>191</v>
      </c>
      <c r="J7" s="200" t="s">
        <v>146</v>
      </c>
      <c r="K7" s="200" t="s">
        <v>190</v>
      </c>
      <c r="L7" s="200" t="s">
        <v>191</v>
      </c>
      <c r="M7" s="200" t="s">
        <v>146</v>
      </c>
      <c r="N7" s="200" t="s">
        <v>190</v>
      </c>
      <c r="O7" s="200" t="s">
        <v>191</v>
      </c>
      <c r="P7" s="200" t="s">
        <v>146</v>
      </c>
      <c r="Q7" s="200" t="s">
        <v>190</v>
      </c>
      <c r="R7" s="200" t="s">
        <v>191</v>
      </c>
      <c r="S7" s="201" t="s">
        <v>146</v>
      </c>
    </row>
    <row r="8" spans="1:19" s="205" customFormat="1" ht="10.199999999999999" x14ac:dyDescent="0.25">
      <c r="A8" s="203" t="s">
        <v>14</v>
      </c>
      <c r="B8" s="150" t="s">
        <v>15</v>
      </c>
      <c r="C8" s="150" t="s">
        <v>16</v>
      </c>
      <c r="D8" s="150" t="s">
        <v>17</v>
      </c>
      <c r="E8" s="150" t="s">
        <v>195</v>
      </c>
      <c r="F8" s="150" t="s">
        <v>206</v>
      </c>
      <c r="G8" s="166" t="s">
        <v>197</v>
      </c>
      <c r="H8" s="204" t="s">
        <v>18</v>
      </c>
      <c r="I8" s="204" t="s">
        <v>19</v>
      </c>
      <c r="J8" s="204" t="s">
        <v>20</v>
      </c>
      <c r="K8" s="204" t="s">
        <v>198</v>
      </c>
      <c r="L8" s="204" t="s">
        <v>199</v>
      </c>
      <c r="M8" s="204" t="s">
        <v>200</v>
      </c>
      <c r="N8" s="204" t="s">
        <v>207</v>
      </c>
      <c r="O8" s="204" t="s">
        <v>208</v>
      </c>
      <c r="P8" s="204" t="s">
        <v>209</v>
      </c>
      <c r="Q8" s="204" t="s">
        <v>210</v>
      </c>
      <c r="R8" s="204" t="s">
        <v>211</v>
      </c>
      <c r="S8" s="329" t="s">
        <v>212</v>
      </c>
    </row>
    <row r="9" spans="1:19" x14ac:dyDescent="0.25">
      <c r="A9" s="112" t="s">
        <v>158</v>
      </c>
      <c r="B9" s="206">
        <f>Черн.!BG8</f>
        <v>446042.01738999999</v>
      </c>
      <c r="C9" s="206">
        <f>Черн.!BL8</f>
        <v>221862.15463000003</v>
      </c>
      <c r="D9" s="206">
        <f>C9/B9%</f>
        <v>49.740191726380182</v>
      </c>
      <c r="E9" s="206">
        <f>Черн.!DL8</f>
        <v>263025.90000000002</v>
      </c>
      <c r="F9" s="206">
        <f>Черн.!DN8</f>
        <v>129017.12936000001</v>
      </c>
      <c r="G9" s="206">
        <f>F9/E9%</f>
        <v>49.051112213664133</v>
      </c>
      <c r="H9" s="206">
        <f>Черн.!BN8</f>
        <v>43318</v>
      </c>
      <c r="I9" s="206">
        <f>Черн.!BP8</f>
        <v>21955.63924</v>
      </c>
      <c r="J9" s="206">
        <f>I9/H9%</f>
        <v>50.684794404173786</v>
      </c>
      <c r="K9" s="206">
        <f>Черн.!BX8</f>
        <v>40656</v>
      </c>
      <c r="L9" s="206">
        <f>Черн.!CB8</f>
        <v>13873.732980000001</v>
      </c>
      <c r="M9" s="206">
        <f>L9/K9%</f>
        <v>34.124687573789849</v>
      </c>
      <c r="N9" s="206">
        <f>Черн.!CG8</f>
        <v>34756.9</v>
      </c>
      <c r="O9" s="206">
        <f>Черн.!CI8</f>
        <v>19908.883529999999</v>
      </c>
      <c r="P9" s="206">
        <f>O9/N9%</f>
        <v>57.280377507775427</v>
      </c>
      <c r="Q9" s="206">
        <f>Черн.!BS8</f>
        <v>8828.0650000000005</v>
      </c>
      <c r="R9" s="206">
        <f>Черн.!BU8</f>
        <v>5442.0527400000001</v>
      </c>
      <c r="S9" s="207">
        <f>R9/Q9%</f>
        <v>61.644910181336449</v>
      </c>
    </row>
    <row r="10" spans="1:19" x14ac:dyDescent="0.25">
      <c r="A10" s="112" t="s">
        <v>159</v>
      </c>
      <c r="B10" s="206">
        <f>Черн.!BG9</f>
        <v>88534.159</v>
      </c>
      <c r="C10" s="206">
        <f>Черн.!BL9</f>
        <v>43922.251259999997</v>
      </c>
      <c r="D10" s="206">
        <f t="shared" ref="D10:D37" si="0">C10/B10%</f>
        <v>49.610513903452791</v>
      </c>
      <c r="E10" s="206">
        <f>Черн.!DL9</f>
        <v>38992.959000000003</v>
      </c>
      <c r="F10" s="206">
        <f>Черн.!DN9</f>
        <v>20949.51874</v>
      </c>
      <c r="G10" s="206">
        <f t="shared" ref="G10:G37" si="1">F10/E10%</f>
        <v>53.726414402148855</v>
      </c>
      <c r="H10" s="206">
        <f>Черн.!BN9</f>
        <v>5539.3</v>
      </c>
      <c r="I10" s="206">
        <f>Черн.!BP9</f>
        <v>2646.9953999999998</v>
      </c>
      <c r="J10" s="206">
        <f t="shared" ref="J10:J37" si="2">I10/H10%</f>
        <v>47.785738270178541</v>
      </c>
      <c r="K10" s="206">
        <f>Черн.!BX9</f>
        <v>9087.6</v>
      </c>
      <c r="L10" s="206">
        <f>Черн.!CB9</f>
        <v>2711.5840499999999</v>
      </c>
      <c r="M10" s="206">
        <f t="shared" ref="M10:M37" si="3">L10/K10%</f>
        <v>29.8382856859897</v>
      </c>
      <c r="N10" s="206">
        <f>Черн.!CG9</f>
        <v>15780.5</v>
      </c>
      <c r="O10" s="206">
        <f>Черн.!CI9</f>
        <v>7833.78197</v>
      </c>
      <c r="P10" s="206">
        <f t="shared" ref="P10:P37" si="4">O10/N10%</f>
        <v>49.642165774215009</v>
      </c>
      <c r="Q10" s="206">
        <f>Черн.!BS9</f>
        <v>450</v>
      </c>
      <c r="R10" s="206">
        <f>Черн.!BU9</f>
        <v>114.68597</v>
      </c>
      <c r="S10" s="207">
        <f t="shared" ref="S10:S37" si="5">R10/Q10%</f>
        <v>25.485771111111109</v>
      </c>
    </row>
    <row r="11" spans="1:19" x14ac:dyDescent="0.25">
      <c r="A11" s="112" t="s">
        <v>160</v>
      </c>
      <c r="B11" s="206">
        <f>Черн.!BG10</f>
        <v>76472</v>
      </c>
      <c r="C11" s="206">
        <f>Черн.!BL10</f>
        <v>38058.579089999999</v>
      </c>
      <c r="D11" s="206">
        <f t="shared" si="0"/>
        <v>49.767992323987862</v>
      </c>
      <c r="E11" s="206">
        <f>Черн.!DL10</f>
        <v>40013</v>
      </c>
      <c r="F11" s="206">
        <f>Черн.!DN10</f>
        <v>20734.645629999999</v>
      </c>
      <c r="G11" s="206">
        <f t="shared" si="1"/>
        <v>51.819772648889106</v>
      </c>
      <c r="H11" s="206">
        <f>Черн.!BN10</f>
        <v>8863</v>
      </c>
      <c r="I11" s="206">
        <f>Черн.!BP10</f>
        <v>4667.02135</v>
      </c>
      <c r="J11" s="206">
        <f t="shared" si="2"/>
        <v>52.657354733160332</v>
      </c>
      <c r="K11" s="206">
        <f>Черн.!BX10</f>
        <v>5374</v>
      </c>
      <c r="L11" s="206">
        <f>Черн.!CB10</f>
        <v>1781.24271</v>
      </c>
      <c r="M11" s="206">
        <f t="shared" si="3"/>
        <v>33.145565872720503</v>
      </c>
      <c r="N11" s="206">
        <f>Черн.!CG10</f>
        <v>9698</v>
      </c>
      <c r="O11" s="206">
        <f>Черн.!CI10</f>
        <v>4869.8597399999999</v>
      </c>
      <c r="P11" s="206">
        <f t="shared" si="4"/>
        <v>50.215093215095891</v>
      </c>
      <c r="Q11" s="206">
        <f>Черн.!BS10</f>
        <v>606</v>
      </c>
      <c r="R11" s="206">
        <f>Черн.!BU10</f>
        <v>661.58633999999995</v>
      </c>
      <c r="S11" s="218">
        <f t="shared" si="5"/>
        <v>109.17266336633664</v>
      </c>
    </row>
    <row r="12" spans="1:19" x14ac:dyDescent="0.25">
      <c r="A12" s="112" t="s">
        <v>161</v>
      </c>
      <c r="B12" s="206">
        <f>Черн.!BG11</f>
        <v>108538.36</v>
      </c>
      <c r="C12" s="206">
        <f>Черн.!BL11</f>
        <v>50277.814190000005</v>
      </c>
      <c r="D12" s="206">
        <f t="shared" si="0"/>
        <v>46.322621965174342</v>
      </c>
      <c r="E12" s="206">
        <f>Черн.!DL11</f>
        <v>53570.66</v>
      </c>
      <c r="F12" s="206">
        <f>Черн.!DN11</f>
        <v>28857.702280000001</v>
      </c>
      <c r="G12" s="206">
        <f t="shared" si="1"/>
        <v>53.868483755846952</v>
      </c>
      <c r="H12" s="206">
        <f>Черн.!BN11</f>
        <v>10223</v>
      </c>
      <c r="I12" s="206">
        <f>Черн.!BP11</f>
        <v>5212.5221199999996</v>
      </c>
      <c r="J12" s="206">
        <f t="shared" si="2"/>
        <v>50.988184681600309</v>
      </c>
      <c r="K12" s="206">
        <f>Черн.!BX11</f>
        <v>7933</v>
      </c>
      <c r="L12" s="206">
        <f>Черн.!CB11</f>
        <v>1449.6041</v>
      </c>
      <c r="M12" s="216">
        <f t="shared" si="3"/>
        <v>18.273088365057355</v>
      </c>
      <c r="N12" s="206">
        <f>Черн.!CG11</f>
        <v>16079.6</v>
      </c>
      <c r="O12" s="206">
        <f>Черн.!CI11</f>
        <v>7524.8138600000002</v>
      </c>
      <c r="P12" s="206">
        <f t="shared" si="4"/>
        <v>46.797270205726512</v>
      </c>
      <c r="Q12" s="206">
        <f>Черн.!BS11</f>
        <v>8181.1</v>
      </c>
      <c r="R12" s="206">
        <f>Черн.!BU11</f>
        <v>262.54397999999998</v>
      </c>
      <c r="S12" s="207">
        <f t="shared" si="5"/>
        <v>3.2091525589468404</v>
      </c>
    </row>
    <row r="13" spans="1:19" x14ac:dyDescent="0.25">
      <c r="A13" s="112" t="s">
        <v>162</v>
      </c>
      <c r="B13" s="206">
        <f>Черн.!BG12</f>
        <v>129196.6</v>
      </c>
      <c r="C13" s="206">
        <f>Черн.!BL12</f>
        <v>66618.441309999995</v>
      </c>
      <c r="D13" s="206">
        <f t="shared" si="0"/>
        <v>51.56361801316752</v>
      </c>
      <c r="E13" s="206">
        <f>Черн.!DL12</f>
        <v>57216</v>
      </c>
      <c r="F13" s="206">
        <f>Черн.!DN12</f>
        <v>29256.584729999999</v>
      </c>
      <c r="G13" s="206">
        <f t="shared" si="1"/>
        <v>51.133572304949666</v>
      </c>
      <c r="H13" s="206">
        <f>Черн.!BN12</f>
        <v>18112</v>
      </c>
      <c r="I13" s="206">
        <f>Черн.!BP12</f>
        <v>9036.8848500000004</v>
      </c>
      <c r="J13" s="206">
        <f t="shared" si="2"/>
        <v>49.894461406802122</v>
      </c>
      <c r="K13" s="206">
        <f>Черн.!BX12</f>
        <v>11692.5</v>
      </c>
      <c r="L13" s="206">
        <f>Черн.!CB12</f>
        <v>5871.6139700000003</v>
      </c>
      <c r="M13" s="206">
        <f t="shared" si="3"/>
        <v>50.216925122942058</v>
      </c>
      <c r="N13" s="206">
        <f>Черн.!CG12</f>
        <v>19602.599999999999</v>
      </c>
      <c r="O13" s="206">
        <f>Черн.!CI12</f>
        <v>9811.3500100000001</v>
      </c>
      <c r="P13" s="206">
        <f t="shared" si="4"/>
        <v>50.051268760266503</v>
      </c>
      <c r="Q13" s="206">
        <f>Черн.!BS12</f>
        <v>2758</v>
      </c>
      <c r="R13" s="206">
        <f>Черн.!BU12</f>
        <v>2669.1167700000001</v>
      </c>
      <c r="S13" s="207">
        <f t="shared" si="5"/>
        <v>96.777257795503999</v>
      </c>
    </row>
    <row r="14" spans="1:19" x14ac:dyDescent="0.25">
      <c r="A14" s="112" t="s">
        <v>163</v>
      </c>
      <c r="B14" s="206">
        <f>Черн.!BG13</f>
        <v>161846.038</v>
      </c>
      <c r="C14" s="206">
        <f>Черн.!BL13</f>
        <v>76427.167029999997</v>
      </c>
      <c r="D14" s="206">
        <f t="shared" si="0"/>
        <v>47.222142707008992</v>
      </c>
      <c r="E14" s="206">
        <f>Черн.!DL13</f>
        <v>96173</v>
      </c>
      <c r="F14" s="206">
        <f>Черн.!DN13</f>
        <v>47994.747380000001</v>
      </c>
      <c r="G14" s="206">
        <f t="shared" si="1"/>
        <v>49.904596279621096</v>
      </c>
      <c r="H14" s="206">
        <f>Черн.!BN13</f>
        <v>18019</v>
      </c>
      <c r="I14" s="206">
        <f>Черн.!BP13</f>
        <v>8602.8494900000005</v>
      </c>
      <c r="J14" s="206">
        <f t="shared" si="2"/>
        <v>47.743212664409796</v>
      </c>
      <c r="K14" s="206">
        <f>Черн.!BX13</f>
        <v>10440</v>
      </c>
      <c r="L14" s="206">
        <f>Черн.!CB13</f>
        <v>5408.2183299999997</v>
      </c>
      <c r="M14" s="206">
        <f t="shared" si="3"/>
        <v>51.802857567049806</v>
      </c>
      <c r="N14" s="206">
        <f>Черн.!CG13</f>
        <v>13080.038</v>
      </c>
      <c r="O14" s="206">
        <f>Черн.!CI13</f>
        <v>4246.8801899999999</v>
      </c>
      <c r="P14" s="206">
        <f t="shared" si="4"/>
        <v>32.468408654470267</v>
      </c>
      <c r="Q14" s="206">
        <f>Черн.!BS13</f>
        <v>6326</v>
      </c>
      <c r="R14" s="206">
        <f>Черн.!BU13</f>
        <v>1538.0496700000001</v>
      </c>
      <c r="S14" s="207">
        <f t="shared" si="5"/>
        <v>24.313146854252295</v>
      </c>
    </row>
    <row r="15" spans="1:19" x14ac:dyDescent="0.25">
      <c r="A15" s="112" t="s">
        <v>164</v>
      </c>
      <c r="B15" s="206">
        <f>Черн.!BG14</f>
        <v>200600.59755000001</v>
      </c>
      <c r="C15" s="206">
        <f>Черн.!BL14</f>
        <v>108748.93805000001</v>
      </c>
      <c r="D15" s="206">
        <f t="shared" si="0"/>
        <v>54.211672037962984</v>
      </c>
      <c r="E15" s="206">
        <f>Черн.!DL14</f>
        <v>122253.42057</v>
      </c>
      <c r="F15" s="206">
        <f>Черн.!DN14</f>
        <v>75874.766740000006</v>
      </c>
      <c r="G15" s="216">
        <f t="shared" si="1"/>
        <v>62.063512322385733</v>
      </c>
      <c r="H15" s="206">
        <f>Черн.!BN14</f>
        <v>7265.4</v>
      </c>
      <c r="I15" s="206">
        <f>Черн.!BP14</f>
        <v>3805.4092300000002</v>
      </c>
      <c r="J15" s="206">
        <f t="shared" si="2"/>
        <v>52.377146887989653</v>
      </c>
      <c r="K15" s="206">
        <f>Черн.!BX14</f>
        <v>22896.9</v>
      </c>
      <c r="L15" s="206">
        <f>Черн.!CB14</f>
        <v>5564.1777599999996</v>
      </c>
      <c r="M15" s="206">
        <f t="shared" si="3"/>
        <v>24.301009132240605</v>
      </c>
      <c r="N15" s="206">
        <f>Черн.!CG14</f>
        <v>22972.243009999998</v>
      </c>
      <c r="O15" s="206">
        <f>Черн.!CI14</f>
        <v>9620.7178299999996</v>
      </c>
      <c r="P15" s="206">
        <f t="shared" si="4"/>
        <v>41.879749512540087</v>
      </c>
      <c r="Q15" s="206">
        <f>Черн.!BS14</f>
        <v>2438.0583099999999</v>
      </c>
      <c r="R15" s="206">
        <f>Черн.!BU14</f>
        <v>1038.3955000000001</v>
      </c>
      <c r="S15" s="207">
        <f t="shared" si="5"/>
        <v>42.591085526580379</v>
      </c>
    </row>
    <row r="16" spans="1:19" x14ac:dyDescent="0.25">
      <c r="A16" s="112" t="s">
        <v>165</v>
      </c>
      <c r="B16" s="206">
        <f>Черн.!BG15</f>
        <v>100190.57766000001</v>
      </c>
      <c r="C16" s="206">
        <f>Черн.!BL15</f>
        <v>44735.582589999998</v>
      </c>
      <c r="D16" s="206">
        <f t="shared" si="0"/>
        <v>44.650488733393331</v>
      </c>
      <c r="E16" s="206">
        <f>Черн.!DL15</f>
        <v>51291.91186</v>
      </c>
      <c r="F16" s="206">
        <f>Черн.!DN15</f>
        <v>23989.61536</v>
      </c>
      <c r="G16" s="206">
        <f t="shared" si="1"/>
        <v>46.770756811481419</v>
      </c>
      <c r="H16" s="206">
        <f>Черн.!BN15</f>
        <v>10682</v>
      </c>
      <c r="I16" s="206">
        <f>Черн.!BP15</f>
        <v>5177.5547800000004</v>
      </c>
      <c r="J16" s="206">
        <f t="shared" si="2"/>
        <v>48.469900580415661</v>
      </c>
      <c r="K16" s="206">
        <f>Черн.!BX15</f>
        <v>9762.0720000000001</v>
      </c>
      <c r="L16" s="206">
        <f>Черн.!CB15</f>
        <v>2012.46723</v>
      </c>
      <c r="M16" s="206">
        <f t="shared" si="3"/>
        <v>20.615164792884134</v>
      </c>
      <c r="N16" s="206">
        <f>Черн.!CG15</f>
        <v>9762.9416399999991</v>
      </c>
      <c r="O16" s="206">
        <f>Черн.!CI15</f>
        <v>3411.69</v>
      </c>
      <c r="P16" s="206">
        <f t="shared" si="4"/>
        <v>34.945307734114451</v>
      </c>
      <c r="Q16" s="206">
        <f>Черн.!BS15</f>
        <v>998</v>
      </c>
      <c r="R16" s="206">
        <f>Черн.!BU15</f>
        <v>874.51125999999999</v>
      </c>
      <c r="S16" s="207">
        <f t="shared" si="5"/>
        <v>87.626378757515027</v>
      </c>
    </row>
    <row r="17" spans="1:21" x14ac:dyDescent="0.25">
      <c r="A17" s="112" t="s">
        <v>166</v>
      </c>
      <c r="B17" s="206">
        <f>Черн.!BG16</f>
        <v>137610.13999999998</v>
      </c>
      <c r="C17" s="206">
        <f>Черн.!BL16</f>
        <v>79466.560119999995</v>
      </c>
      <c r="D17" s="216">
        <f t="shared" si="0"/>
        <v>57.747605023873973</v>
      </c>
      <c r="E17" s="206">
        <f>Черн.!DL16</f>
        <v>92426.9</v>
      </c>
      <c r="F17" s="206">
        <f>Черн.!DN16</f>
        <v>56524.775430000002</v>
      </c>
      <c r="G17" s="216">
        <f t="shared" si="1"/>
        <v>61.156195252680774</v>
      </c>
      <c r="H17" s="206">
        <f>Черн.!BN16</f>
        <v>9390</v>
      </c>
      <c r="I17" s="206">
        <f>Черн.!BP16</f>
        <v>4281.5264299999999</v>
      </c>
      <c r="J17" s="206">
        <f t="shared" si="2"/>
        <v>45.596660596379124</v>
      </c>
      <c r="K17" s="206">
        <f>Черн.!BX16</f>
        <v>9753</v>
      </c>
      <c r="L17" s="206">
        <f>Черн.!CB16</f>
        <v>2296.3863099999999</v>
      </c>
      <c r="M17" s="206">
        <f t="shared" si="3"/>
        <v>23.545435353224647</v>
      </c>
      <c r="N17" s="206">
        <f>Черн.!CG16</f>
        <v>14278.5</v>
      </c>
      <c r="O17" s="206">
        <f>Черн.!CI16</f>
        <v>10731.53636</v>
      </c>
      <c r="P17" s="216">
        <f t="shared" si="4"/>
        <v>75.158709668382542</v>
      </c>
      <c r="Q17" s="206">
        <f>Черн.!BS16</f>
        <v>1293</v>
      </c>
      <c r="R17" s="206">
        <f>Черн.!BU16</f>
        <v>343.00227000000001</v>
      </c>
      <c r="S17" s="207">
        <f t="shared" si="5"/>
        <v>26.52763109048724</v>
      </c>
    </row>
    <row r="18" spans="1:21" x14ac:dyDescent="0.25">
      <c r="A18" s="112" t="s">
        <v>167</v>
      </c>
      <c r="B18" s="206">
        <f>Черн.!BG17</f>
        <v>52751.503369999999</v>
      </c>
      <c r="C18" s="206">
        <f>Черн.!BL17</f>
        <v>25292.470269999998</v>
      </c>
      <c r="D18" s="206">
        <f t="shared" si="0"/>
        <v>47.946444469265934</v>
      </c>
      <c r="E18" s="206">
        <f>Черн.!DL17</f>
        <v>29429.1</v>
      </c>
      <c r="F18" s="206">
        <f>Черн.!DN17</f>
        <v>15317.40201</v>
      </c>
      <c r="G18" s="206">
        <f t="shared" si="1"/>
        <v>52.048489454315629</v>
      </c>
      <c r="H18" s="206">
        <f>Черн.!BN17</f>
        <v>3082</v>
      </c>
      <c r="I18" s="206">
        <f>Черн.!BP17</f>
        <v>1547.50891</v>
      </c>
      <c r="J18" s="206">
        <f t="shared" si="2"/>
        <v>50.211191109669045</v>
      </c>
      <c r="K18" s="206">
        <f>Черн.!BX17</f>
        <v>1168</v>
      </c>
      <c r="L18" s="206">
        <f>Черн.!CB17</f>
        <v>709.93451000000005</v>
      </c>
      <c r="M18" s="206">
        <f t="shared" si="3"/>
        <v>60.78206421232877</v>
      </c>
      <c r="N18" s="206">
        <f>Черн.!CG17</f>
        <v>9722</v>
      </c>
      <c r="O18" s="206">
        <f>Черн.!CI17</f>
        <v>4256.70309</v>
      </c>
      <c r="P18" s="206">
        <f t="shared" si="4"/>
        <v>43.784232565315776</v>
      </c>
      <c r="Q18" s="206">
        <f>Черн.!BS17</f>
        <v>2438</v>
      </c>
      <c r="R18" s="206">
        <f>Черн.!BU17</f>
        <v>127.46165999999999</v>
      </c>
      <c r="S18" s="207">
        <f t="shared" si="5"/>
        <v>5.2281238720262513</v>
      </c>
    </row>
    <row r="19" spans="1:21" x14ac:dyDescent="0.25">
      <c r="A19" s="112" t="s">
        <v>168</v>
      </c>
      <c r="B19" s="206">
        <f>Черн.!BG18</f>
        <v>179076.06711999999</v>
      </c>
      <c r="C19" s="206">
        <f>Черн.!BL18</f>
        <v>91545.279259999996</v>
      </c>
      <c r="D19" s="206">
        <f t="shared" si="0"/>
        <v>51.120889983950192</v>
      </c>
      <c r="E19" s="206">
        <f>Черн.!DL18</f>
        <v>110729.1</v>
      </c>
      <c r="F19" s="206">
        <f>Черн.!DN18</f>
        <v>54419.626029999999</v>
      </c>
      <c r="G19" s="206">
        <f t="shared" si="1"/>
        <v>49.146634470974647</v>
      </c>
      <c r="H19" s="206">
        <f>Черн.!BN18</f>
        <v>35094</v>
      </c>
      <c r="I19" s="206">
        <f>Черн.!BP18</f>
        <v>15124.132030000001</v>
      </c>
      <c r="J19" s="206">
        <f t="shared" si="2"/>
        <v>43.096062090385821</v>
      </c>
      <c r="K19" s="206">
        <f>Черн.!BX18</f>
        <v>2851.86834</v>
      </c>
      <c r="L19" s="206">
        <f>Черн.!CB18</f>
        <v>689.36559999999997</v>
      </c>
      <c r="M19" s="206">
        <f t="shared" si="3"/>
        <v>24.172420245739673</v>
      </c>
      <c r="N19" s="206">
        <f>Черн.!CG18</f>
        <v>12104</v>
      </c>
      <c r="O19" s="206">
        <f>Черн.!CI18</f>
        <v>4898.7887700000001</v>
      </c>
      <c r="P19" s="206">
        <f t="shared" si="4"/>
        <v>40.472478271645734</v>
      </c>
      <c r="Q19" s="206">
        <f>Черн.!BS18</f>
        <v>2170</v>
      </c>
      <c r="R19" s="206">
        <f>Черн.!BU18</f>
        <v>7103.91302</v>
      </c>
      <c r="S19" s="218">
        <f t="shared" si="5"/>
        <v>327.36926359447006</v>
      </c>
    </row>
    <row r="20" spans="1:21" x14ac:dyDescent="0.25">
      <c r="A20" s="112" t="s">
        <v>169</v>
      </c>
      <c r="B20" s="206">
        <f>Черн.!BG19</f>
        <v>244593.473</v>
      </c>
      <c r="C20" s="206">
        <f>Черн.!BL19</f>
        <v>125736.06161999999</v>
      </c>
      <c r="D20" s="206">
        <f t="shared" si="0"/>
        <v>51.406139369875987</v>
      </c>
      <c r="E20" s="206">
        <f>Черн.!DL19</f>
        <v>151074</v>
      </c>
      <c r="F20" s="206">
        <f>Черн.!DN19</f>
        <v>82063.568450000006</v>
      </c>
      <c r="G20" s="206">
        <f t="shared" si="1"/>
        <v>54.320113619815459</v>
      </c>
      <c r="H20" s="206">
        <f>Черн.!BN19</f>
        <v>30543</v>
      </c>
      <c r="I20" s="206">
        <f>Черн.!BP19</f>
        <v>15146.274069999999</v>
      </c>
      <c r="J20" s="206">
        <f t="shared" si="2"/>
        <v>49.590001211406864</v>
      </c>
      <c r="K20" s="206">
        <f>Черн.!BX19</f>
        <v>19065</v>
      </c>
      <c r="L20" s="206">
        <f>Черн.!CB19</f>
        <v>4988.4862800000001</v>
      </c>
      <c r="M20" s="206">
        <f t="shared" si="3"/>
        <v>26.16567678992919</v>
      </c>
      <c r="N20" s="206">
        <f>Черн.!CG19</f>
        <v>25338.073</v>
      </c>
      <c r="O20" s="206">
        <f>Черн.!CI19</f>
        <v>10836.823979999999</v>
      </c>
      <c r="P20" s="206">
        <f t="shared" si="4"/>
        <v>42.768935033062689</v>
      </c>
      <c r="Q20" s="206">
        <f>Черн.!BS19</f>
        <v>3055</v>
      </c>
      <c r="R20" s="206">
        <f>Черн.!BU19</f>
        <v>2909.9996799999999</v>
      </c>
      <c r="S20" s="207">
        <f t="shared" si="5"/>
        <v>95.253672013093279</v>
      </c>
      <c r="T20" s="197">
        <f>R20-Q20</f>
        <v>-145.0003200000001</v>
      </c>
      <c r="U20" s="197">
        <f>R20/Q20</f>
        <v>0.95253672013093282</v>
      </c>
    </row>
    <row r="21" spans="1:21" x14ac:dyDescent="0.25">
      <c r="A21" s="112" t="s">
        <v>170</v>
      </c>
      <c r="B21" s="206">
        <f>Черн.!BG20</f>
        <v>230153.37208999999</v>
      </c>
      <c r="C21" s="206">
        <f>Черн.!BL20</f>
        <v>107531.31715</v>
      </c>
      <c r="D21" s="206">
        <f t="shared" si="0"/>
        <v>46.721590986705408</v>
      </c>
      <c r="E21" s="206">
        <f>Черн.!DL20</f>
        <v>137844.70000000001</v>
      </c>
      <c r="F21" s="206">
        <f>Черн.!DN20</f>
        <v>72165.36335</v>
      </c>
      <c r="G21" s="206">
        <f t="shared" si="1"/>
        <v>52.352657265749059</v>
      </c>
      <c r="H21" s="206">
        <f>Черн.!BN20</f>
        <v>24345</v>
      </c>
      <c r="I21" s="206">
        <f>Черн.!BP20</f>
        <v>11826.840340000001</v>
      </c>
      <c r="J21" s="206">
        <f t="shared" si="2"/>
        <v>48.580161593756422</v>
      </c>
      <c r="K21" s="206">
        <f>Черн.!BX20</f>
        <v>13323</v>
      </c>
      <c r="L21" s="206">
        <f>Черн.!CB20</f>
        <v>3204.9215800000002</v>
      </c>
      <c r="M21" s="206">
        <f t="shared" si="3"/>
        <v>24.055554905051419</v>
      </c>
      <c r="N21" s="206">
        <f>Черн.!CG20</f>
        <v>27408.339189999999</v>
      </c>
      <c r="O21" s="206">
        <f>Черн.!CI20</f>
        <v>10971.26686</v>
      </c>
      <c r="P21" s="206">
        <f t="shared" si="4"/>
        <v>40.028937119994829</v>
      </c>
      <c r="Q21" s="206">
        <f>Черн.!BS20</f>
        <v>4391.3</v>
      </c>
      <c r="R21" s="206">
        <f>Черн.!BU20</f>
        <v>-1990.6773599999999</v>
      </c>
      <c r="S21" s="218">
        <f t="shared" si="5"/>
        <v>-45.332301596338205</v>
      </c>
    </row>
    <row r="22" spans="1:21" x14ac:dyDescent="0.25">
      <c r="A22" s="112" t="s">
        <v>171</v>
      </c>
      <c r="B22" s="206">
        <f>Черн.!BG21</f>
        <v>159467.13628999999</v>
      </c>
      <c r="C22" s="206">
        <f>Черн.!BL21</f>
        <v>81567.332300000009</v>
      </c>
      <c r="D22" s="206">
        <f t="shared" si="0"/>
        <v>51.149932329420658</v>
      </c>
      <c r="E22" s="206">
        <f>Черн.!DL21</f>
        <v>96112.1</v>
      </c>
      <c r="F22" s="206">
        <f>Черн.!DN21</f>
        <v>52696.264860000003</v>
      </c>
      <c r="G22" s="206">
        <f t="shared" si="1"/>
        <v>54.8279195439492</v>
      </c>
      <c r="H22" s="206">
        <f>Черн.!BN21</f>
        <v>13463</v>
      </c>
      <c r="I22" s="206">
        <f>Черн.!BP21</f>
        <v>6111.6960399999998</v>
      </c>
      <c r="J22" s="206">
        <f t="shared" si="2"/>
        <v>45.396241848027927</v>
      </c>
      <c r="K22" s="206">
        <f>Черн.!BX21</f>
        <v>14933.55629</v>
      </c>
      <c r="L22" s="206">
        <f>Черн.!CB21</f>
        <v>4441.6327799999999</v>
      </c>
      <c r="M22" s="206">
        <f t="shared" si="3"/>
        <v>29.742632590297749</v>
      </c>
      <c r="N22" s="206">
        <f>Черн.!CG21</f>
        <v>11883.38</v>
      </c>
      <c r="O22" s="206">
        <f>Черн.!CI21</f>
        <v>7172.1311800000003</v>
      </c>
      <c r="P22" s="206">
        <f t="shared" si="4"/>
        <v>60.354303068655554</v>
      </c>
      <c r="Q22" s="206">
        <f>Черн.!BS21</f>
        <v>1696.3</v>
      </c>
      <c r="R22" s="206">
        <f>Черн.!BU21</f>
        <v>858.89530999999999</v>
      </c>
      <c r="S22" s="207">
        <f t="shared" si="5"/>
        <v>50.633455756646818</v>
      </c>
    </row>
    <row r="23" spans="1:21" x14ac:dyDescent="0.25">
      <c r="A23" s="112" t="s">
        <v>172</v>
      </c>
      <c r="B23" s="206">
        <f>Черн.!BG22</f>
        <v>327887.68790000002</v>
      </c>
      <c r="C23" s="206">
        <f>Черн.!BL22</f>
        <v>166007.05148999998</v>
      </c>
      <c r="D23" s="206">
        <f t="shared" si="0"/>
        <v>50.629242150937124</v>
      </c>
      <c r="E23" s="206">
        <f>Черн.!DL22</f>
        <v>200754.592</v>
      </c>
      <c r="F23" s="206">
        <f>Черн.!DN22</f>
        <v>106879.56053</v>
      </c>
      <c r="G23" s="206">
        <f t="shared" si="1"/>
        <v>53.238911979657232</v>
      </c>
      <c r="H23" s="206">
        <f>Черн.!BN22</f>
        <v>26558.604029999999</v>
      </c>
      <c r="I23" s="206">
        <f>Черн.!BP22</f>
        <v>13780.24871</v>
      </c>
      <c r="J23" s="206">
        <f t="shared" si="2"/>
        <v>51.886193620847479</v>
      </c>
      <c r="K23" s="206">
        <f>Черн.!BX22</f>
        <v>37320.898999999998</v>
      </c>
      <c r="L23" s="206">
        <f>Черн.!CB22</f>
        <v>14039.792160000001</v>
      </c>
      <c r="M23" s="206">
        <f t="shared" si="3"/>
        <v>37.619115659566511</v>
      </c>
      <c r="N23" s="206">
        <f>Черн.!CG22</f>
        <v>31972.124</v>
      </c>
      <c r="O23" s="206">
        <f>Черн.!CI22</f>
        <v>12954.02324</v>
      </c>
      <c r="P23" s="206">
        <f t="shared" si="4"/>
        <v>40.516617663562172</v>
      </c>
      <c r="Q23" s="206">
        <f>Черн.!BS22</f>
        <v>3681.0239999999999</v>
      </c>
      <c r="R23" s="206">
        <f>Черн.!BU22</f>
        <v>2824.0790999999999</v>
      </c>
      <c r="S23" s="207">
        <f t="shared" si="5"/>
        <v>76.7199317363864</v>
      </c>
    </row>
    <row r="24" spans="1:21" x14ac:dyDescent="0.25">
      <c r="A24" s="112" t="s">
        <v>173</v>
      </c>
      <c r="B24" s="206">
        <f>Черн.!BG23</f>
        <v>590093.34357999999</v>
      </c>
      <c r="C24" s="206">
        <f>Черн.!BL23</f>
        <v>180375.47658999998</v>
      </c>
      <c r="D24" s="216">
        <f>C24/B24%</f>
        <v>30.567278643695829</v>
      </c>
      <c r="E24" s="206">
        <f>Черн.!DL23</f>
        <v>237303.08504999999</v>
      </c>
      <c r="F24" s="206">
        <f>Черн.!DN23</f>
        <v>116580.84224</v>
      </c>
      <c r="G24" s="206">
        <f t="shared" si="1"/>
        <v>49.127402711783667</v>
      </c>
      <c r="H24" s="206">
        <f>Черн.!BN23</f>
        <v>10460.250599999999</v>
      </c>
      <c r="I24" s="206">
        <f>Черн.!BP23</f>
        <v>4130.5054</v>
      </c>
      <c r="J24" s="216">
        <f t="shared" si="2"/>
        <v>39.487633307752688</v>
      </c>
      <c r="K24" s="206">
        <f>Черн.!BX23</f>
        <v>35497.230000000003</v>
      </c>
      <c r="L24" s="206">
        <f>Черн.!CB23</f>
        <v>11111.923349999999</v>
      </c>
      <c r="M24" s="206">
        <f t="shared" si="3"/>
        <v>31.303635100541644</v>
      </c>
      <c r="N24" s="206">
        <f>Черн.!CG23</f>
        <v>31803.129229999999</v>
      </c>
      <c r="O24" s="206">
        <f>Черн.!CI23</f>
        <v>17980.641619999999</v>
      </c>
      <c r="P24" s="206">
        <f t="shared" si="4"/>
        <v>56.537334706796088</v>
      </c>
      <c r="Q24" s="206">
        <f>Черн.!BS23</f>
        <v>21166.123780000002</v>
      </c>
      <c r="R24" s="206">
        <f>Черн.!BU23</f>
        <v>16694.31755</v>
      </c>
      <c r="S24" s="207">
        <f t="shared" si="5"/>
        <v>78.872814519655037</v>
      </c>
    </row>
    <row r="25" spans="1:21" x14ac:dyDescent="0.25">
      <c r="A25" s="112" t="s">
        <v>174</v>
      </c>
      <c r="B25" s="206">
        <f>Черн.!BG24</f>
        <v>257497.90041</v>
      </c>
      <c r="C25" s="206">
        <f>Черн.!BL24</f>
        <v>125621.01585</v>
      </c>
      <c r="D25" s="206">
        <f t="shared" si="0"/>
        <v>48.785258306953352</v>
      </c>
      <c r="E25" s="206">
        <f>Черн.!DL24</f>
        <v>148869.21900000001</v>
      </c>
      <c r="F25" s="206">
        <f>Черн.!DN24</f>
        <v>74049.71501</v>
      </c>
      <c r="G25" s="206">
        <f t="shared" si="1"/>
        <v>49.741454618634087</v>
      </c>
      <c r="H25" s="206">
        <f>Черн.!BN24</f>
        <v>23104.019</v>
      </c>
      <c r="I25" s="206">
        <f>Черн.!BP24</f>
        <v>12153.53873</v>
      </c>
      <c r="J25" s="206">
        <f t="shared" si="2"/>
        <v>52.603569664654451</v>
      </c>
      <c r="K25" s="206">
        <f>Черн.!BX24</f>
        <v>25687.352999999999</v>
      </c>
      <c r="L25" s="206">
        <f>Черн.!CB24</f>
        <v>9075.2394600000007</v>
      </c>
      <c r="M25" s="206">
        <f t="shared" si="3"/>
        <v>35.329601535821929</v>
      </c>
      <c r="N25" s="206">
        <f>Черн.!CG24</f>
        <v>23937.198</v>
      </c>
      <c r="O25" s="206">
        <f>Черн.!CI24</f>
        <v>11240.10958</v>
      </c>
      <c r="P25" s="206">
        <f t="shared" si="4"/>
        <v>46.956663766577861</v>
      </c>
      <c r="Q25" s="206">
        <f>Черн.!BS24</f>
        <v>5247.52</v>
      </c>
      <c r="R25" s="206">
        <f>Черн.!BU24</f>
        <v>3837.1122</v>
      </c>
      <c r="S25" s="207">
        <f t="shared" si="5"/>
        <v>73.122393054242764</v>
      </c>
    </row>
    <row r="26" spans="1:21" x14ac:dyDescent="0.25">
      <c r="A26" s="112" t="s">
        <v>175</v>
      </c>
      <c r="B26" s="206">
        <f>Черн.!BG25</f>
        <v>165911.37755</v>
      </c>
      <c r="C26" s="206">
        <f>Черн.!BL25</f>
        <v>81563.978319999995</v>
      </c>
      <c r="D26" s="206">
        <f t="shared" si="0"/>
        <v>49.161172382779725</v>
      </c>
      <c r="E26" s="206">
        <f>Черн.!DL25</f>
        <v>72299</v>
      </c>
      <c r="F26" s="206">
        <f>Черн.!DN25</f>
        <v>37643.693520000001</v>
      </c>
      <c r="G26" s="206">
        <f t="shared" si="1"/>
        <v>52.066686288883666</v>
      </c>
      <c r="H26" s="206">
        <f>Черн.!BN25</f>
        <v>16160</v>
      </c>
      <c r="I26" s="206">
        <f>Черн.!BP25</f>
        <v>7818.77963</v>
      </c>
      <c r="J26" s="206">
        <f t="shared" si="2"/>
        <v>48.383537314356438</v>
      </c>
      <c r="K26" s="206">
        <f>Черн.!BX25</f>
        <v>20144.900000000001</v>
      </c>
      <c r="L26" s="206">
        <f>Черн.!CB25</f>
        <v>3905.9557100000002</v>
      </c>
      <c r="M26" s="216">
        <f t="shared" si="3"/>
        <v>19.389303049407047</v>
      </c>
      <c r="N26" s="206">
        <f>Черн.!CG25</f>
        <v>27903.969400000002</v>
      </c>
      <c r="O26" s="206">
        <f>Черн.!CI25</f>
        <v>14074.8657</v>
      </c>
      <c r="P26" s="206">
        <f t="shared" si="4"/>
        <v>50.440371039111021</v>
      </c>
      <c r="Q26" s="206">
        <f>Черн.!BS25</f>
        <v>10931.45</v>
      </c>
      <c r="R26" s="206">
        <f>Черн.!BU25</f>
        <v>6300.44697</v>
      </c>
      <c r="S26" s="207">
        <f t="shared" si="5"/>
        <v>57.635967506597929</v>
      </c>
    </row>
    <row r="27" spans="1:21" x14ac:dyDescent="0.25">
      <c r="A27" s="112" t="s">
        <v>176</v>
      </c>
      <c r="B27" s="206">
        <f>Черн.!BG26</f>
        <v>84521.917059999992</v>
      </c>
      <c r="C27" s="206">
        <f>Черн.!BL26</f>
        <v>35336.879909999996</v>
      </c>
      <c r="D27" s="206">
        <f t="shared" si="0"/>
        <v>41.807948919231485</v>
      </c>
      <c r="E27" s="206">
        <f>Черн.!DL26</f>
        <v>37235</v>
      </c>
      <c r="F27" s="206">
        <f>Черн.!DN26</f>
        <v>19087.113109999998</v>
      </c>
      <c r="G27" s="206">
        <f t="shared" si="1"/>
        <v>51.26121420706324</v>
      </c>
      <c r="H27" s="206">
        <f>Черн.!BN26</f>
        <v>8500</v>
      </c>
      <c r="I27" s="206">
        <f>Черн.!BP26</f>
        <v>4057.5400599999998</v>
      </c>
      <c r="J27" s="206">
        <f t="shared" si="2"/>
        <v>47.735765411764703</v>
      </c>
      <c r="K27" s="206">
        <f>Черн.!BX26</f>
        <v>12060</v>
      </c>
      <c r="L27" s="206">
        <f>Черн.!CB26</f>
        <v>1462.22317</v>
      </c>
      <c r="M27" s="216">
        <f t="shared" si="3"/>
        <v>12.124570232172472</v>
      </c>
      <c r="N27" s="206">
        <f>Черн.!CG26</f>
        <v>13043</v>
      </c>
      <c r="O27" s="206">
        <f>Черн.!CI26</f>
        <v>3819.9485100000002</v>
      </c>
      <c r="P27" s="216">
        <f t="shared" si="4"/>
        <v>29.287345779345241</v>
      </c>
      <c r="Q27" s="206">
        <f>Черн.!BS26</f>
        <v>332</v>
      </c>
      <c r="R27" s="206">
        <f>Черн.!BU26</f>
        <v>185.34652</v>
      </c>
      <c r="S27" s="207">
        <f t="shared" si="5"/>
        <v>55.827265060240968</v>
      </c>
      <c r="T27" s="197">
        <f>R27-Q27</f>
        <v>-146.65348</v>
      </c>
      <c r="U27" s="197">
        <f>R27/Q27</f>
        <v>0.5582726506024096</v>
      </c>
    </row>
    <row r="28" spans="1:21" x14ac:dyDescent="0.25">
      <c r="A28" s="112" t="s">
        <v>177</v>
      </c>
      <c r="B28" s="206">
        <f>Черн.!BG27</f>
        <v>4565331.1055899998</v>
      </c>
      <c r="C28" s="206">
        <f>Черн.!BL27</f>
        <v>2096970.7589199999</v>
      </c>
      <c r="D28" s="206">
        <f t="shared" si="0"/>
        <v>45.932501069908668</v>
      </c>
      <c r="E28" s="206">
        <f>Черн.!DL27</f>
        <v>3101379.6</v>
      </c>
      <c r="F28" s="206">
        <f>Черн.!DN27</f>
        <v>1349594.0546800001</v>
      </c>
      <c r="G28" s="206">
        <f t="shared" si="1"/>
        <v>43.515926095599518</v>
      </c>
      <c r="H28" s="206">
        <f>Черн.!BN27</f>
        <v>472000</v>
      </c>
      <c r="I28" s="206">
        <f>Черн.!BP27</f>
        <v>250021.29081000001</v>
      </c>
      <c r="J28" s="206">
        <f t="shared" si="2"/>
        <v>52.970612459745766</v>
      </c>
      <c r="K28" s="206">
        <f>Черн.!BX27</f>
        <v>237000</v>
      </c>
      <c r="L28" s="206">
        <f>Черн.!CB27</f>
        <v>85731.382979999995</v>
      </c>
      <c r="M28" s="206">
        <f t="shared" si="3"/>
        <v>36.173579316455694</v>
      </c>
      <c r="N28" s="206">
        <f>Черн.!CG27</f>
        <v>378616.4</v>
      </c>
      <c r="O28" s="206">
        <f>Черн.!CI27</f>
        <v>206742.49619999999</v>
      </c>
      <c r="P28" s="206">
        <f t="shared" si="4"/>
        <v>54.604738780464864</v>
      </c>
      <c r="Q28" s="206">
        <f>Черн.!BS27</f>
        <v>116050.1</v>
      </c>
      <c r="R28" s="206">
        <f>Черн.!BU27</f>
        <v>69896.758589999998</v>
      </c>
      <c r="S28" s="207">
        <f t="shared" si="5"/>
        <v>60.229813322004894</v>
      </c>
    </row>
    <row r="29" spans="1:21" x14ac:dyDescent="0.25">
      <c r="A29" s="112" t="s">
        <v>178</v>
      </c>
      <c r="B29" s="206">
        <f>Черн.!BG28</f>
        <v>3385837.04532</v>
      </c>
      <c r="C29" s="206">
        <f>Черн.!BL28</f>
        <v>1669219.7427000001</v>
      </c>
      <c r="D29" s="206">
        <f t="shared" si="0"/>
        <v>49.300061413387958</v>
      </c>
      <c r="E29" s="206">
        <f>Черн.!DL28</f>
        <v>2488000</v>
      </c>
      <c r="F29" s="206">
        <f>Черн.!DN28</f>
        <v>1189336.97425</v>
      </c>
      <c r="G29" s="206">
        <f t="shared" si="1"/>
        <v>47.802933048633442</v>
      </c>
      <c r="H29" s="206">
        <f>Черн.!BN28</f>
        <v>156800</v>
      </c>
      <c r="I29" s="206">
        <f>Черн.!BP28</f>
        <v>81136.990720000002</v>
      </c>
      <c r="J29" s="206">
        <f t="shared" si="2"/>
        <v>51.745529795918365</v>
      </c>
      <c r="K29" s="206">
        <f>Черн.!BX28</f>
        <v>225000</v>
      </c>
      <c r="L29" s="206">
        <f>Черн.!CB28</f>
        <v>104096.74112000001</v>
      </c>
      <c r="M29" s="206">
        <f t="shared" si="3"/>
        <v>46.265218275555561</v>
      </c>
      <c r="N29" s="206">
        <f>Черн.!CG28</f>
        <v>205616.95314</v>
      </c>
      <c r="O29" s="206">
        <f>Черн.!CI28</f>
        <v>81260.951700000005</v>
      </c>
      <c r="P29" s="206">
        <f t="shared" si="4"/>
        <v>39.52055045026917</v>
      </c>
      <c r="Q29" s="206">
        <f>Черн.!BS28</f>
        <v>225013.15</v>
      </c>
      <c r="R29" s="206">
        <f>Черн.!BU28</f>
        <v>160415.29282999999</v>
      </c>
      <c r="S29" s="207">
        <f t="shared" si="5"/>
        <v>71.291519108994294</v>
      </c>
    </row>
    <row r="30" spans="1:21" x14ac:dyDescent="0.25">
      <c r="A30" s="112" t="s">
        <v>179</v>
      </c>
      <c r="B30" s="206">
        <f>Черн.!BG29</f>
        <v>709963.6</v>
      </c>
      <c r="C30" s="206">
        <f>Черн.!BL29</f>
        <v>382741.11462000001</v>
      </c>
      <c r="D30" s="206">
        <f t="shared" si="0"/>
        <v>53.90996307698029</v>
      </c>
      <c r="E30" s="206">
        <f>Черн.!DL29</f>
        <v>437500</v>
      </c>
      <c r="F30" s="206">
        <f>Черн.!DN29</f>
        <v>250936.50200000001</v>
      </c>
      <c r="G30" s="206">
        <f t="shared" si="1"/>
        <v>57.356914742857143</v>
      </c>
      <c r="H30" s="206">
        <f>Черн.!BN29</f>
        <v>81225</v>
      </c>
      <c r="I30" s="206">
        <f>Черн.!BP29</f>
        <v>45180.977870000002</v>
      </c>
      <c r="J30" s="216">
        <f t="shared" si="2"/>
        <v>55.624472600800246</v>
      </c>
      <c r="K30" s="206">
        <f>Черн.!BX29</f>
        <v>67013.3</v>
      </c>
      <c r="L30" s="206">
        <f>Черн.!CB29</f>
        <v>19757.4123</v>
      </c>
      <c r="M30" s="206">
        <f t="shared" si="3"/>
        <v>29.482822514336704</v>
      </c>
      <c r="N30" s="206">
        <f>Черн.!CG29</f>
        <v>60319.8</v>
      </c>
      <c r="O30" s="206">
        <f>Черн.!CI29</f>
        <v>23021.139879999999</v>
      </c>
      <c r="P30" s="206">
        <f t="shared" si="4"/>
        <v>38.165146237222274</v>
      </c>
      <c r="Q30" s="206">
        <f>Черн.!BS29</f>
        <v>16374.4</v>
      </c>
      <c r="R30" s="206">
        <f>Черн.!BU29</f>
        <v>19651.365379999999</v>
      </c>
      <c r="S30" s="218">
        <f t="shared" si="5"/>
        <v>120.01273561168654</v>
      </c>
    </row>
    <row r="31" spans="1:21" x14ac:dyDescent="0.25">
      <c r="A31" s="112" t="s">
        <v>180</v>
      </c>
      <c r="B31" s="206">
        <f>Черн.!BG30</f>
        <v>363365.6</v>
      </c>
      <c r="C31" s="206">
        <f>Черн.!BL30</f>
        <v>171215.95507</v>
      </c>
      <c r="D31" s="206">
        <f t="shared" si="0"/>
        <v>47.119472803699637</v>
      </c>
      <c r="E31" s="206">
        <f>Черн.!DL30</f>
        <v>247078</v>
      </c>
      <c r="F31" s="206">
        <f>Черн.!DN30</f>
        <v>122057.84159</v>
      </c>
      <c r="G31" s="206">
        <f t="shared" si="1"/>
        <v>49.400530031002347</v>
      </c>
      <c r="H31" s="206">
        <f>Черн.!BN30</f>
        <v>21248</v>
      </c>
      <c r="I31" s="206">
        <f>Черн.!BP30</f>
        <v>10628.94371</v>
      </c>
      <c r="J31" s="206">
        <f t="shared" si="2"/>
        <v>50.023266707454816</v>
      </c>
      <c r="K31" s="206">
        <f>Черн.!BX30</f>
        <v>54339</v>
      </c>
      <c r="L31" s="206">
        <f>Черн.!CB30</f>
        <v>20630.987089999999</v>
      </c>
      <c r="M31" s="206">
        <f t="shared" si="3"/>
        <v>37.967182115975632</v>
      </c>
      <c r="N31" s="206">
        <f>Черн.!CG30</f>
        <v>24612</v>
      </c>
      <c r="O31" s="206">
        <f>Черн.!CI30</f>
        <v>9083.4629299999997</v>
      </c>
      <c r="P31" s="206">
        <f t="shared" si="4"/>
        <v>36.906642816512267</v>
      </c>
      <c r="Q31" s="206">
        <f>Черн.!BS30</f>
        <v>520</v>
      </c>
      <c r="R31" s="206">
        <f>Черн.!BU30</f>
        <v>975.12194999999997</v>
      </c>
      <c r="S31" s="218">
        <f t="shared" si="5"/>
        <v>187.52345192307692</v>
      </c>
      <c r="T31" s="197">
        <f>R31-Q31</f>
        <v>455.12194999999997</v>
      </c>
      <c r="U31" s="197">
        <f>R31/Q31</f>
        <v>1.8752345192307691</v>
      </c>
    </row>
    <row r="32" spans="1:21" x14ac:dyDescent="0.25">
      <c r="A32" s="112" t="s">
        <v>181</v>
      </c>
      <c r="B32" s="206">
        <f>Черн.!BG31</f>
        <v>420823.89834000001</v>
      </c>
      <c r="C32" s="206">
        <f>Черн.!BL31</f>
        <v>219639.09551000001</v>
      </c>
      <c r="D32" s="206">
        <f t="shared" si="0"/>
        <v>52.192638387790659</v>
      </c>
      <c r="E32" s="206">
        <f>Черн.!DL31</f>
        <v>283675</v>
      </c>
      <c r="F32" s="206">
        <f>Черн.!DN31</f>
        <v>152654.44631999999</v>
      </c>
      <c r="G32" s="206">
        <f t="shared" si="1"/>
        <v>53.813147552657085</v>
      </c>
      <c r="H32" s="206">
        <f>Черн.!BN31</f>
        <v>25674</v>
      </c>
      <c r="I32" s="206">
        <f>Черн.!BP31</f>
        <v>14057.71233</v>
      </c>
      <c r="J32" s="206">
        <f t="shared" si="2"/>
        <v>54.754663589623746</v>
      </c>
      <c r="K32" s="206">
        <f>Черн.!BX31</f>
        <v>51483.390800000001</v>
      </c>
      <c r="L32" s="206">
        <f>Черн.!CB31</f>
        <v>16178.12399</v>
      </c>
      <c r="M32" s="206">
        <f t="shared" si="3"/>
        <v>31.423967494386556</v>
      </c>
      <c r="N32" s="206">
        <f>Черн.!CG31</f>
        <v>20438.713199999998</v>
      </c>
      <c r="O32" s="206">
        <f>Черн.!CI31</f>
        <v>9293.6999799999994</v>
      </c>
      <c r="P32" s="206">
        <f t="shared" si="4"/>
        <v>45.471062141035375</v>
      </c>
      <c r="Q32" s="206">
        <f>Черн.!BS31</f>
        <v>20078.679</v>
      </c>
      <c r="R32" s="206">
        <f>Черн.!BU31</f>
        <v>19663.340049999999</v>
      </c>
      <c r="S32" s="207">
        <f t="shared" si="5"/>
        <v>97.931442850398668</v>
      </c>
    </row>
    <row r="33" spans="1:19" x14ac:dyDescent="0.25">
      <c r="A33" s="112" t="s">
        <v>182</v>
      </c>
      <c r="B33" s="206">
        <f>Черн.!BG32</f>
        <v>536922</v>
      </c>
      <c r="C33" s="206">
        <f>Черн.!BL32</f>
        <v>252571.88162</v>
      </c>
      <c r="D33" s="206">
        <f t="shared" si="0"/>
        <v>47.040702675621411</v>
      </c>
      <c r="E33" s="206">
        <f>Черн.!DL32</f>
        <v>367471</v>
      </c>
      <c r="F33" s="206">
        <f>Черн.!DN32</f>
        <v>162976.49538000001</v>
      </c>
      <c r="G33" s="206">
        <f t="shared" si="1"/>
        <v>44.350845476241666</v>
      </c>
      <c r="H33" s="206">
        <f>Черн.!BN32</f>
        <v>16143</v>
      </c>
      <c r="I33" s="206">
        <f>Черн.!BP32</f>
        <v>8732.0392200000006</v>
      </c>
      <c r="J33" s="206">
        <f t="shared" si="2"/>
        <v>54.091799665489688</v>
      </c>
      <c r="K33" s="206">
        <f>Черн.!BX32</f>
        <v>16963</v>
      </c>
      <c r="L33" s="206">
        <f>Черн.!CB32</f>
        <v>8087.3383599999997</v>
      </c>
      <c r="M33" s="206">
        <f t="shared" si="3"/>
        <v>47.67634475033897</v>
      </c>
      <c r="N33" s="206">
        <f>Черн.!CG32</f>
        <v>62801</v>
      </c>
      <c r="O33" s="206">
        <f>Черн.!CI32</f>
        <v>21357.73646</v>
      </c>
      <c r="P33" s="206">
        <f t="shared" si="4"/>
        <v>34.008592952341523</v>
      </c>
      <c r="Q33" s="206">
        <f>Черн.!BS32</f>
        <v>15855</v>
      </c>
      <c r="R33" s="206">
        <f>Черн.!BU32</f>
        <v>26614.024069999999</v>
      </c>
      <c r="S33" s="218">
        <f t="shared" si="5"/>
        <v>167.8588714601072</v>
      </c>
    </row>
    <row r="34" spans="1:19" x14ac:dyDescent="0.25">
      <c r="A34" s="112" t="s">
        <v>183</v>
      </c>
      <c r="B34" s="206">
        <f>Черн.!BG33</f>
        <v>107165.12448</v>
      </c>
      <c r="C34" s="206">
        <f>Черн.!BL33</f>
        <v>41126.145640000002</v>
      </c>
      <c r="D34" s="216">
        <f t="shared" si="0"/>
        <v>38.376426882866433</v>
      </c>
      <c r="E34" s="206">
        <f>Черн.!DL33</f>
        <v>106516</v>
      </c>
      <c r="F34" s="206">
        <f>Черн.!DN33</f>
        <v>40772.959000000003</v>
      </c>
      <c r="G34" s="216">
        <f t="shared" si="1"/>
        <v>38.278717751323747</v>
      </c>
      <c r="H34" s="206">
        <f>Черн.!BN33</f>
        <v>41</v>
      </c>
      <c r="I34" s="206">
        <f>Черн.!BP33</f>
        <v>18.536000000000001</v>
      </c>
      <c r="J34" s="206">
        <f t="shared" si="2"/>
        <v>45.209756097560984</v>
      </c>
      <c r="K34" s="206">
        <f>Черн.!BX33</f>
        <v>86.7</v>
      </c>
      <c r="L34" s="206">
        <f>Черн.!CB33</f>
        <v>86.7</v>
      </c>
      <c r="M34" s="216">
        <f t="shared" si="3"/>
        <v>100</v>
      </c>
      <c r="N34" s="206">
        <f>Черн.!CG33</f>
        <v>236.42447999999999</v>
      </c>
      <c r="O34" s="206">
        <f>Черн.!CI33</f>
        <v>236.42447999999999</v>
      </c>
      <c r="P34" s="216">
        <f t="shared" si="4"/>
        <v>100</v>
      </c>
      <c r="Q34" s="206">
        <f>Черн.!BS33</f>
        <v>0</v>
      </c>
      <c r="R34" s="206">
        <f>Черн.!BU33</f>
        <v>0</v>
      </c>
      <c r="S34" s="207"/>
    </row>
    <row r="35" spans="1:19" s="196" customFormat="1" ht="13.8" thickBot="1" x14ac:dyDescent="0.3">
      <c r="A35" s="217" t="s">
        <v>184</v>
      </c>
      <c r="B35" s="211">
        <f>Черн.!BG34</f>
        <v>13830392.6417</v>
      </c>
      <c r="C35" s="211">
        <f>Черн.!BL34</f>
        <v>6584179.0451100003</v>
      </c>
      <c r="D35" s="211">
        <f t="shared" si="0"/>
        <v>47.606595240528819</v>
      </c>
      <c r="E35" s="211">
        <f>Черн.!DL34</f>
        <v>9068233.2474799994</v>
      </c>
      <c r="F35" s="211">
        <f>Черн.!DN34</f>
        <v>4332431.9079799997</v>
      </c>
      <c r="G35" s="211">
        <f t="shared" si="1"/>
        <v>47.775920510028264</v>
      </c>
      <c r="H35" s="211">
        <f>Черн.!BN34</f>
        <v>1095852.57363</v>
      </c>
      <c r="I35" s="211">
        <f>Черн.!BP34</f>
        <v>566859.95747000002</v>
      </c>
      <c r="J35" s="211">
        <f t="shared" si="2"/>
        <v>51.72775710078249</v>
      </c>
      <c r="K35" s="211">
        <f>Черн.!BX34</f>
        <v>961532.2694300001</v>
      </c>
      <c r="L35" s="211">
        <f>Черн.!CB34</f>
        <v>349167.18788000004</v>
      </c>
      <c r="M35" s="211">
        <f t="shared" si="3"/>
        <v>36.313621391717582</v>
      </c>
      <c r="N35" s="211">
        <f>Черн.!CG34</f>
        <v>1123767.8262900002</v>
      </c>
      <c r="O35" s="211">
        <f>Черн.!CI34</f>
        <v>527160.7276499999</v>
      </c>
      <c r="P35" s="211">
        <f t="shared" si="4"/>
        <v>46.910110373097694</v>
      </c>
      <c r="Q35" s="211">
        <f>Черн.!BS34</f>
        <v>480878.27009000001</v>
      </c>
      <c r="R35" s="211">
        <f>Черн.!BU34</f>
        <v>349010.74201999995</v>
      </c>
      <c r="S35" s="212">
        <f t="shared" si="5"/>
        <v>72.577773571403</v>
      </c>
    </row>
    <row r="36" spans="1:19" ht="13.8" thickTop="1" x14ac:dyDescent="0.25"/>
    <row r="37" spans="1:19" hidden="1" x14ac:dyDescent="0.25">
      <c r="B37" s="194">
        <f>B35/1000</f>
        <v>13830.3926417</v>
      </c>
      <c r="C37" s="194">
        <f t="shared" ref="C37:R37" si="6">C35/1000</f>
        <v>6584.1790451100005</v>
      </c>
      <c r="D37" s="194">
        <f t="shared" si="0"/>
        <v>47.606595240528819</v>
      </c>
      <c r="E37" s="194">
        <f t="shared" si="6"/>
        <v>9068.2332474799987</v>
      </c>
      <c r="F37" s="194">
        <f t="shared" si="6"/>
        <v>4332.4319079799998</v>
      </c>
      <c r="G37" s="194">
        <f t="shared" si="1"/>
        <v>47.775920510028271</v>
      </c>
      <c r="H37" s="194">
        <f t="shared" si="6"/>
        <v>1095.8525736300001</v>
      </c>
      <c r="I37" s="194">
        <f t="shared" si="6"/>
        <v>566.85995747000004</v>
      </c>
      <c r="J37" s="194">
        <f t="shared" si="2"/>
        <v>51.72775710078249</v>
      </c>
      <c r="K37" s="194">
        <f t="shared" si="6"/>
        <v>961.53226943000016</v>
      </c>
      <c r="L37" s="194">
        <f t="shared" si="6"/>
        <v>349.16718788000003</v>
      </c>
      <c r="M37" s="194">
        <f t="shared" si="3"/>
        <v>36.313621391717575</v>
      </c>
      <c r="N37" s="194">
        <f t="shared" si="6"/>
        <v>1123.7678262900001</v>
      </c>
      <c r="O37" s="194">
        <f t="shared" si="6"/>
        <v>527.1607276499999</v>
      </c>
      <c r="P37" s="194">
        <f t="shared" si="4"/>
        <v>46.910110373097702</v>
      </c>
      <c r="Q37" s="194">
        <f t="shared" si="6"/>
        <v>480.87827009</v>
      </c>
      <c r="R37" s="194">
        <f t="shared" si="6"/>
        <v>349.01074201999995</v>
      </c>
      <c r="S37" s="194">
        <f t="shared" si="5"/>
        <v>72.577773571403</v>
      </c>
    </row>
    <row r="39" spans="1:19" x14ac:dyDescent="0.25">
      <c r="K39" s="264"/>
      <c r="L39" s="264"/>
    </row>
  </sheetData>
  <autoFilter ref="A8:S35"/>
  <mergeCells count="10">
    <mergeCell ref="Q1:S1"/>
    <mergeCell ref="A3:S3"/>
    <mergeCell ref="A5:A7"/>
    <mergeCell ref="B5:D6"/>
    <mergeCell ref="E5:S5"/>
    <mergeCell ref="E6:G6"/>
    <mergeCell ref="H6:J6"/>
    <mergeCell ref="K6:M6"/>
    <mergeCell ref="N6:P6"/>
    <mergeCell ref="Q6:S6"/>
  </mergeCells>
  <pageMargins left="0" right="0" top="0.74803149606299213" bottom="0.74803149606299213" header="0.31496062992125984" footer="0.31496062992125984"/>
  <pageSetup paperSize="9" scale="76"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R59"/>
  <sheetViews>
    <sheetView workbookViewId="0">
      <pane xSplit="1" ySplit="9" topLeftCell="F10" activePane="bottomRight" state="frozen"/>
      <selection activeCell="A188" sqref="A188"/>
      <selection pane="topRight" activeCell="A188" sqref="A188"/>
      <selection pane="bottomLeft" activeCell="A188" sqref="A188"/>
      <selection pane="bottomRight" activeCell="W60" sqref="W60"/>
    </sheetView>
  </sheetViews>
  <sheetFormatPr defaultColWidth="9.109375" defaultRowHeight="13.2" x14ac:dyDescent="0.25"/>
  <cols>
    <col min="1" max="1" width="22" style="190" customWidth="1"/>
    <col min="2" max="2" width="12.33203125" style="197" bestFit="1" customWidth="1"/>
    <col min="3" max="4" width="11.33203125" style="197" bestFit="1" customWidth="1"/>
    <col min="5" max="5" width="9.6640625" style="197" bestFit="1" customWidth="1"/>
    <col min="6" max="6" width="8.6640625" style="197" bestFit="1" customWidth="1"/>
    <col min="7" max="7" width="12.33203125" style="197" bestFit="1" customWidth="1"/>
    <col min="8" max="8" width="11.33203125" style="197" bestFit="1" customWidth="1"/>
    <col min="9" max="9" width="12.33203125" style="197" bestFit="1" customWidth="1"/>
    <col min="10" max="10" width="11.33203125" style="197" bestFit="1" customWidth="1"/>
    <col min="11" max="11" width="9.6640625" style="197" bestFit="1" customWidth="1"/>
    <col min="12" max="12" width="6.33203125" style="197" bestFit="1" customWidth="1"/>
    <col min="13" max="13" width="8.109375" style="197" customWidth="1"/>
    <col min="14" max="15" width="5.6640625" style="197" customWidth="1"/>
    <col min="16" max="16" width="9.6640625" style="197" customWidth="1"/>
    <col min="17" max="17" width="11.33203125" style="197" hidden="1" customWidth="1"/>
    <col min="18" max="18" width="9.6640625" style="197" hidden="1" customWidth="1"/>
    <col min="19" max="16384" width="9.109375" style="197"/>
  </cols>
  <sheetData>
    <row r="1" spans="1:18" x14ac:dyDescent="0.25">
      <c r="A1" s="169"/>
      <c r="B1" s="169"/>
      <c r="C1" s="169"/>
      <c r="D1" s="169"/>
      <c r="E1" s="169"/>
      <c r="F1" s="169"/>
      <c r="G1" s="169"/>
      <c r="H1" s="169"/>
      <c r="I1" s="169"/>
      <c r="J1" s="169"/>
      <c r="K1" s="169"/>
      <c r="L1" s="169"/>
      <c r="M1" s="169"/>
      <c r="N1" s="520" t="s">
        <v>492</v>
      </c>
      <c r="O1" s="520"/>
      <c r="P1" s="520"/>
    </row>
    <row r="2" spans="1:18" x14ac:dyDescent="0.25">
      <c r="A2" s="169"/>
      <c r="B2" s="169"/>
      <c r="C2" s="169"/>
      <c r="D2" s="169"/>
      <c r="E2" s="169"/>
      <c r="F2" s="169"/>
      <c r="G2" s="169"/>
      <c r="H2" s="169"/>
      <c r="I2" s="169"/>
      <c r="J2" s="169"/>
      <c r="K2" s="169"/>
      <c r="L2" s="169"/>
      <c r="M2" s="169"/>
      <c r="N2" s="169"/>
      <c r="O2" s="169"/>
      <c r="P2" s="169"/>
    </row>
    <row r="3" spans="1:18" ht="35.25" customHeight="1" x14ac:dyDescent="0.25">
      <c r="A3" s="521" t="s">
        <v>1170</v>
      </c>
      <c r="B3" s="521"/>
      <c r="C3" s="521"/>
      <c r="D3" s="521"/>
      <c r="E3" s="521"/>
      <c r="F3" s="521"/>
      <c r="G3" s="521"/>
      <c r="H3" s="521"/>
      <c r="I3" s="521"/>
      <c r="J3" s="521"/>
      <c r="K3" s="521"/>
      <c r="L3" s="521"/>
      <c r="M3" s="521"/>
      <c r="N3" s="521"/>
      <c r="O3" s="521"/>
      <c r="P3" s="521"/>
    </row>
    <row r="4" spans="1:18" ht="13.8" thickBot="1" x14ac:dyDescent="0.3">
      <c r="A4" s="169"/>
      <c r="B4" s="169"/>
      <c r="C4" s="169"/>
      <c r="D4" s="169"/>
      <c r="E4" s="169"/>
      <c r="F4" s="169"/>
      <c r="G4" s="169"/>
      <c r="H4" s="169"/>
      <c r="I4" s="169"/>
      <c r="J4" s="169"/>
      <c r="K4" s="169"/>
      <c r="L4" s="169"/>
      <c r="M4" s="169"/>
      <c r="N4" s="169"/>
      <c r="O4" s="526" t="s">
        <v>186</v>
      </c>
      <c r="P4" s="527"/>
    </row>
    <row r="5" spans="1:18" ht="27.6" customHeight="1" thickTop="1" x14ac:dyDescent="0.25">
      <c r="A5" s="493" t="s">
        <v>187</v>
      </c>
      <c r="B5" s="522" t="s">
        <v>460</v>
      </c>
      <c r="C5" s="522"/>
      <c r="D5" s="522"/>
      <c r="E5" s="522"/>
      <c r="F5" s="522"/>
      <c r="G5" s="522" t="s">
        <v>461</v>
      </c>
      <c r="H5" s="522"/>
      <c r="I5" s="522"/>
      <c r="J5" s="522"/>
      <c r="K5" s="522"/>
      <c r="L5" s="522" t="s">
        <v>370</v>
      </c>
      <c r="M5" s="522"/>
      <c r="N5" s="522"/>
      <c r="O5" s="522"/>
      <c r="P5" s="523"/>
    </row>
    <row r="6" spans="1:18" x14ac:dyDescent="0.25">
      <c r="A6" s="494"/>
      <c r="B6" s="524" t="s">
        <v>192</v>
      </c>
      <c r="C6" s="524" t="s">
        <v>140</v>
      </c>
      <c r="D6" s="524"/>
      <c r="E6" s="524"/>
      <c r="F6" s="524"/>
      <c r="G6" s="524" t="s">
        <v>192</v>
      </c>
      <c r="H6" s="524" t="s">
        <v>140</v>
      </c>
      <c r="I6" s="524"/>
      <c r="J6" s="524"/>
      <c r="K6" s="524"/>
      <c r="L6" s="524" t="s">
        <v>192</v>
      </c>
      <c r="M6" s="524" t="s">
        <v>140</v>
      </c>
      <c r="N6" s="524"/>
      <c r="O6" s="524"/>
      <c r="P6" s="525"/>
    </row>
    <row r="7" spans="1:18" ht="24.75" customHeight="1" x14ac:dyDescent="0.25">
      <c r="A7" s="494"/>
      <c r="B7" s="524"/>
      <c r="C7" s="524" t="s">
        <v>216</v>
      </c>
      <c r="D7" s="524" t="s">
        <v>217</v>
      </c>
      <c r="E7" s="524" t="s">
        <v>218</v>
      </c>
      <c r="F7" s="524" t="s">
        <v>361</v>
      </c>
      <c r="G7" s="524"/>
      <c r="H7" s="524" t="s">
        <v>216</v>
      </c>
      <c r="I7" s="524" t="s">
        <v>217</v>
      </c>
      <c r="J7" s="524" t="s">
        <v>218</v>
      </c>
      <c r="K7" s="524" t="s">
        <v>361</v>
      </c>
      <c r="L7" s="524"/>
      <c r="M7" s="524" t="s">
        <v>362</v>
      </c>
      <c r="N7" s="524" t="s">
        <v>369</v>
      </c>
      <c r="O7" s="524" t="s">
        <v>363</v>
      </c>
      <c r="P7" s="525" t="s">
        <v>486</v>
      </c>
    </row>
    <row r="8" spans="1:18" x14ac:dyDescent="0.25">
      <c r="A8" s="494"/>
      <c r="B8" s="524"/>
      <c r="C8" s="524"/>
      <c r="D8" s="524"/>
      <c r="E8" s="524"/>
      <c r="F8" s="524"/>
      <c r="G8" s="524"/>
      <c r="H8" s="524"/>
      <c r="I8" s="524"/>
      <c r="J8" s="524"/>
      <c r="K8" s="524"/>
      <c r="L8" s="524"/>
      <c r="M8" s="524"/>
      <c r="N8" s="524"/>
      <c r="O8" s="524"/>
      <c r="P8" s="525"/>
    </row>
    <row r="9" spans="1:18" x14ac:dyDescent="0.25">
      <c r="A9" s="203" t="s">
        <v>14</v>
      </c>
      <c r="B9" s="222">
        <v>1</v>
      </c>
      <c r="C9" s="222">
        <v>2</v>
      </c>
      <c r="D9" s="222">
        <v>3</v>
      </c>
      <c r="E9" s="222">
        <v>4</v>
      </c>
      <c r="F9" s="222">
        <v>5</v>
      </c>
      <c r="G9" s="222">
        <v>6</v>
      </c>
      <c r="H9" s="222">
        <v>7</v>
      </c>
      <c r="I9" s="222">
        <v>8</v>
      </c>
      <c r="J9" s="222">
        <v>9</v>
      </c>
      <c r="K9" s="222">
        <v>10</v>
      </c>
      <c r="L9" s="222">
        <v>11</v>
      </c>
      <c r="M9" s="222">
        <v>12</v>
      </c>
      <c r="N9" s="222">
        <v>13</v>
      </c>
      <c r="O9" s="222">
        <v>14</v>
      </c>
      <c r="P9" s="223">
        <v>15</v>
      </c>
    </row>
    <row r="10" spans="1:18" x14ac:dyDescent="0.25">
      <c r="A10" s="112" t="s">
        <v>158</v>
      </c>
      <c r="B10" s="32">
        <f>Черн_кон.рас.!D8</f>
        <v>459074.81005000003</v>
      </c>
      <c r="C10" s="32">
        <f>Черн_кон.рас.!G8</f>
        <v>66065.861130000005</v>
      </c>
      <c r="D10" s="32">
        <f>Черн_кон.рас.!J8</f>
        <v>342748.33592000004</v>
      </c>
      <c r="E10" s="32">
        <f>Черн_кон.рас.!M8</f>
        <v>50196.1</v>
      </c>
      <c r="F10" s="32">
        <f>Черн_кон.рас.!P8</f>
        <v>64.513000000000005</v>
      </c>
      <c r="G10" s="32">
        <f>Черн_кон.рас.!S8</f>
        <v>571529.17694999999</v>
      </c>
      <c r="H10" s="32">
        <f>Черн_кон.рас.!V8</f>
        <v>116213.88030999999</v>
      </c>
      <c r="I10" s="32">
        <f>Черн_кон.рас.!Y8</f>
        <v>392089.52664</v>
      </c>
      <c r="J10" s="32">
        <f>Черн_кон.рас.!AB8</f>
        <v>45944.9</v>
      </c>
      <c r="K10" s="32">
        <f>Черн_кон.рас.!AE8</f>
        <v>17280.87</v>
      </c>
      <c r="L10" s="32">
        <f>G10/B10%-100</f>
        <v>24.495869613876678</v>
      </c>
      <c r="M10" s="32">
        <f>H10/C10%-100</f>
        <v>75.906100854906072</v>
      </c>
      <c r="N10" s="32">
        <f>I10/D10%-100</f>
        <v>14.395749169010273</v>
      </c>
      <c r="O10" s="32">
        <f>J10/E10%-100</f>
        <v>-8.4691838608975587</v>
      </c>
      <c r="P10" s="43">
        <f>K10/F10</f>
        <v>267.86647652411136</v>
      </c>
      <c r="Q10" s="197">
        <f>'3_Бюджеты МО'!C9-I10</f>
        <v>402860.65904</v>
      </c>
      <c r="R10" s="197">
        <f>J10/Q10%</f>
        <v>11.404662870155841</v>
      </c>
    </row>
    <row r="11" spans="1:18" x14ac:dyDescent="0.25">
      <c r="A11" s="112" t="s">
        <v>159</v>
      </c>
      <c r="B11" s="32">
        <f>Черн_кон.рас.!D9</f>
        <v>278952.05781999999</v>
      </c>
      <c r="C11" s="32">
        <f>Черн_кон.рас.!G9</f>
        <v>103899.94040000001</v>
      </c>
      <c r="D11" s="32">
        <f>Черн_кон.рас.!J9</f>
        <v>148050.26541999998</v>
      </c>
      <c r="E11" s="32">
        <f>Черн_кон.рас.!M9</f>
        <v>22875.599999999999</v>
      </c>
      <c r="F11" s="32">
        <f>Черн_кон.рас.!P9</f>
        <v>4126.2520000000004</v>
      </c>
      <c r="G11" s="32">
        <f>Черн_кон.рас.!S9</f>
        <v>282372.35022999998</v>
      </c>
      <c r="H11" s="32">
        <f>Черн_кон.рас.!V9</f>
        <v>80323.480020000003</v>
      </c>
      <c r="I11" s="32">
        <f>Черн_кон.рас.!Y9</f>
        <v>155598.76021000001</v>
      </c>
      <c r="J11" s="32">
        <f>Черн_кон.рас.!AB9</f>
        <v>30503.5</v>
      </c>
      <c r="K11" s="32">
        <f>Черн_кон.рас.!AE9</f>
        <v>15946.61</v>
      </c>
      <c r="L11" s="32">
        <f t="shared" ref="L11:L36" si="0">G11/B11%-100</f>
        <v>1.2261219496746065</v>
      </c>
      <c r="M11" s="32">
        <f t="shared" ref="M11:M36" si="1">H11/C11%-100</f>
        <v>-22.691505201286915</v>
      </c>
      <c r="N11" s="32">
        <f t="shared" ref="N11:N36" si="2">I11/D11%-100</f>
        <v>5.0986026729407712</v>
      </c>
      <c r="O11" s="32">
        <f t="shared" ref="O11:O36" si="3">J11/E11%-100</f>
        <v>33.345136302435805</v>
      </c>
      <c r="P11" s="43">
        <f t="shared" ref="P11:P33" si="4">K11/F11</f>
        <v>3.8646718620190912</v>
      </c>
      <c r="Q11" s="197">
        <f>'3_Бюджеты МО'!C10-I11</f>
        <v>170777.19729000001</v>
      </c>
      <c r="R11" s="197">
        <f t="shared" ref="R11:R35" si="5">J11/Q11%</f>
        <v>17.861576653118053</v>
      </c>
    </row>
    <row r="12" spans="1:18" x14ac:dyDescent="0.25">
      <c r="A12" s="112" t="s">
        <v>160</v>
      </c>
      <c r="B12" s="32">
        <f>Черн_кон.рас.!D10</f>
        <v>175065.36797999998</v>
      </c>
      <c r="C12" s="32">
        <f>Черн_кон.рас.!G10</f>
        <v>54118.832000000002</v>
      </c>
      <c r="D12" s="32">
        <f>Черн_кон.рас.!J10</f>
        <v>107114.94998</v>
      </c>
      <c r="E12" s="32">
        <f>Черн_кон.рас.!M10</f>
        <v>13827.4</v>
      </c>
      <c r="F12" s="32">
        <f>Черн_кон.рас.!P10</f>
        <v>4.1859999999999999</v>
      </c>
      <c r="G12" s="32">
        <f>Черн_кон.рас.!S10</f>
        <v>194265.46523999999</v>
      </c>
      <c r="H12" s="32">
        <f>Черн_кон.рас.!V10</f>
        <v>56762.187449999998</v>
      </c>
      <c r="I12" s="32">
        <f>Черн_кон.рас.!Y10</f>
        <v>107961.05747</v>
      </c>
      <c r="J12" s="32">
        <f>Черн_кон.рас.!AB10</f>
        <v>16547.599999999999</v>
      </c>
      <c r="K12" s="32">
        <f>Черн_кон.рас.!AE10</f>
        <v>12994.62032</v>
      </c>
      <c r="L12" s="32">
        <f t="shared" si="0"/>
        <v>10.967387485909541</v>
      </c>
      <c r="M12" s="32">
        <f t="shared" si="1"/>
        <v>4.8843542114877891</v>
      </c>
      <c r="N12" s="32">
        <f t="shared" si="2"/>
        <v>0.78990606834804566</v>
      </c>
      <c r="O12" s="32">
        <f t="shared" si="3"/>
        <v>19.672534243603266</v>
      </c>
      <c r="P12" s="43">
        <f t="shared" si="4"/>
        <v>3104.3049020544672</v>
      </c>
      <c r="Q12" s="197">
        <f>'3_Бюджеты МО'!C11-I12</f>
        <v>124185.02367999998</v>
      </c>
      <c r="R12" s="197">
        <f t="shared" si="5"/>
        <v>13.324956190079618</v>
      </c>
    </row>
    <row r="13" spans="1:18" x14ac:dyDescent="0.25">
      <c r="A13" s="112" t="s">
        <v>161</v>
      </c>
      <c r="B13" s="32">
        <f>Черн_кон.рас.!D11</f>
        <v>236436.92159000001</v>
      </c>
      <c r="C13" s="32">
        <f>Черн_кон.рас.!G11</f>
        <v>54734.000999999997</v>
      </c>
      <c r="D13" s="32">
        <f>Черн_кон.рас.!J11</f>
        <v>151523.96559000001</v>
      </c>
      <c r="E13" s="32">
        <f>Черн_кон.рас.!M11</f>
        <v>30170.5</v>
      </c>
      <c r="F13" s="32">
        <f>Черн_кон.рас.!P11</f>
        <v>8.4550000000000001</v>
      </c>
      <c r="G13" s="32">
        <f>Черн_кон.рас.!S11</f>
        <v>269459.41608</v>
      </c>
      <c r="H13" s="32">
        <f>Черн_кон.рас.!V11</f>
        <v>58886.224349999997</v>
      </c>
      <c r="I13" s="32">
        <f>Черн_кон.рас.!Y11</f>
        <v>166731.06073</v>
      </c>
      <c r="J13" s="32">
        <f>Черн_кон.рас.!AB11</f>
        <v>28781.7</v>
      </c>
      <c r="K13" s="32">
        <f>Черн_кон.рас.!AE11</f>
        <v>15060.431</v>
      </c>
      <c r="L13" s="32">
        <f t="shared" si="0"/>
        <v>13.966724937851936</v>
      </c>
      <c r="M13" s="32">
        <f t="shared" si="1"/>
        <v>7.5861864182009953</v>
      </c>
      <c r="N13" s="32">
        <f t="shared" si="2"/>
        <v>10.036098963478807</v>
      </c>
      <c r="O13" s="32">
        <f t="shared" si="3"/>
        <v>-4.6031719726222491</v>
      </c>
      <c r="P13" s="43">
        <f t="shared" si="4"/>
        <v>1781.2455351862804</v>
      </c>
      <c r="Q13" s="197">
        <f>'3_Бюджеты МО'!C12-I13</f>
        <v>153130.38954000003</v>
      </c>
      <c r="R13" s="197">
        <f t="shared" si="5"/>
        <v>18.795550697976754</v>
      </c>
    </row>
    <row r="14" spans="1:18" x14ac:dyDescent="0.25">
      <c r="A14" s="112" t="s">
        <v>162</v>
      </c>
      <c r="B14" s="32">
        <f>Черн_кон.рас.!D12</f>
        <v>207473.94792999999</v>
      </c>
      <c r="C14" s="32">
        <f>Черн_кон.рас.!G12</f>
        <v>40456.133399999999</v>
      </c>
      <c r="D14" s="32">
        <f>Черн_кон.рас.!J12</f>
        <v>135084.82253</v>
      </c>
      <c r="E14" s="32">
        <f>Черн_кон.рас.!M12</f>
        <v>31862.9</v>
      </c>
      <c r="F14" s="32">
        <f>Черн_кон.рас.!P12</f>
        <v>70.091999999999999</v>
      </c>
      <c r="G14" s="32">
        <f>Черн_кон.рас.!S12</f>
        <v>266303.40285000001</v>
      </c>
      <c r="H14" s="32">
        <f>Черн_кон.рас.!V12</f>
        <v>79049.887310000006</v>
      </c>
      <c r="I14" s="32">
        <f>Черн_кон.рас.!Y12</f>
        <v>144718.87940999999</v>
      </c>
      <c r="J14" s="32">
        <f>Черн_кон.рас.!AB12</f>
        <v>34027</v>
      </c>
      <c r="K14" s="32">
        <f>Черн_кон.рас.!AE12</f>
        <v>8507.6361300000008</v>
      </c>
      <c r="L14" s="32">
        <f t="shared" si="0"/>
        <v>28.355104583949299</v>
      </c>
      <c r="M14" s="32">
        <f t="shared" si="1"/>
        <v>95.396546003083955</v>
      </c>
      <c r="N14" s="32">
        <f t="shared" si="2"/>
        <v>7.1318573763980311</v>
      </c>
      <c r="O14" s="32">
        <f t="shared" si="3"/>
        <v>6.7919115962451571</v>
      </c>
      <c r="P14" s="43">
        <f t="shared" si="4"/>
        <v>121.37813345317583</v>
      </c>
      <c r="Q14" s="197">
        <f>'3_Бюджеты МО'!C13-I14</f>
        <v>90447.054180000006</v>
      </c>
      <c r="R14" s="197">
        <f t="shared" si="5"/>
        <v>37.620904636962933</v>
      </c>
    </row>
    <row r="15" spans="1:18" x14ac:dyDescent="0.25">
      <c r="A15" s="112" t="s">
        <v>163</v>
      </c>
      <c r="B15" s="32">
        <f>Черн_кон.рас.!D13</f>
        <v>380404.38595999999</v>
      </c>
      <c r="C15" s="32">
        <f>Черн_кон.рас.!G13</f>
        <v>156411.94171000001</v>
      </c>
      <c r="D15" s="32">
        <f>Черн_кон.рас.!J13</f>
        <v>176840.01525</v>
      </c>
      <c r="E15" s="32">
        <f>Черн_кон.рас.!M13</f>
        <v>42849.599999999999</v>
      </c>
      <c r="F15" s="32">
        <f>Черн_кон.рас.!P13</f>
        <v>4302.8289999999997</v>
      </c>
      <c r="G15" s="32">
        <f>Черн_кон.рас.!S13</f>
        <v>303563.18648999999</v>
      </c>
      <c r="H15" s="32">
        <f>Черн_кон.рас.!V13</f>
        <v>62480.102570000003</v>
      </c>
      <c r="I15" s="32">
        <f>Черн_кон.рас.!Y13</f>
        <v>185814.28151</v>
      </c>
      <c r="J15" s="32">
        <f>Черн_кон.рас.!AB13</f>
        <v>39051.300000000003</v>
      </c>
      <c r="K15" s="32">
        <f>Черн_кон.рас.!AE13</f>
        <v>16217.502409999999</v>
      </c>
      <c r="L15" s="32">
        <f t="shared" si="0"/>
        <v>-20.199872111379904</v>
      </c>
      <c r="M15" s="32">
        <f t="shared" si="1"/>
        <v>-60.054135325649881</v>
      </c>
      <c r="N15" s="32">
        <f t="shared" si="2"/>
        <v>5.0747938736111422</v>
      </c>
      <c r="O15" s="32">
        <f t="shared" si="3"/>
        <v>-8.864260109779309</v>
      </c>
      <c r="P15" s="43">
        <f t="shared" si="4"/>
        <v>3.7690325155845144</v>
      </c>
      <c r="Q15" s="197">
        <f>'3_Бюджеты МО'!C14-I15</f>
        <v>191939.01174000005</v>
      </c>
      <c r="R15" s="197">
        <f t="shared" si="5"/>
        <v>20.345681498505769</v>
      </c>
    </row>
    <row r="16" spans="1:18" x14ac:dyDescent="0.25">
      <c r="A16" s="112" t="s">
        <v>164</v>
      </c>
      <c r="B16" s="32">
        <f>Черн_кон.рас.!D14</f>
        <v>196995.83672999998</v>
      </c>
      <c r="C16" s="32">
        <f>Черн_кон.рас.!G14</f>
        <v>47155.631289999998</v>
      </c>
      <c r="D16" s="32">
        <f>Черн_кон.рас.!J14</f>
        <v>128091.10544</v>
      </c>
      <c r="E16" s="32">
        <f>Черн_кон.рас.!M14</f>
        <v>21749.1</v>
      </c>
      <c r="F16" s="32">
        <f>Черн_кон.рас.!P14</f>
        <v>0</v>
      </c>
      <c r="G16" s="32">
        <f>Черн_кон.рас.!S14</f>
        <v>229457.13592</v>
      </c>
      <c r="H16" s="32">
        <f>Черн_кон.рас.!V14</f>
        <v>46916.902439999998</v>
      </c>
      <c r="I16" s="32">
        <f>Черн_кон.рас.!Y14</f>
        <v>155304.23348</v>
      </c>
      <c r="J16" s="32">
        <f>Черн_кон.рас.!AB14</f>
        <v>15574</v>
      </c>
      <c r="K16" s="32">
        <f>Черн_кон.рас.!AE14</f>
        <v>11662</v>
      </c>
      <c r="L16" s="32">
        <f t="shared" si="0"/>
        <v>16.478165086550064</v>
      </c>
      <c r="M16" s="32">
        <f t="shared" si="1"/>
        <v>-0.50625735139001904</v>
      </c>
      <c r="N16" s="32">
        <f t="shared" si="2"/>
        <v>21.245134817535842</v>
      </c>
      <c r="O16" s="32">
        <f t="shared" si="3"/>
        <v>-28.392439227370318</v>
      </c>
      <c r="P16" s="43"/>
      <c r="Q16" s="197">
        <f>'3_Бюджеты МО'!C15-I16</f>
        <v>182377.59565999999</v>
      </c>
      <c r="R16" s="197">
        <f t="shared" si="5"/>
        <v>8.5394260976189464</v>
      </c>
    </row>
    <row r="17" spans="1:18" x14ac:dyDescent="0.25">
      <c r="A17" s="112" t="s">
        <v>165</v>
      </c>
      <c r="B17" s="32">
        <f>Черн_кон.рас.!D15</f>
        <v>310877.28982999997</v>
      </c>
      <c r="C17" s="32">
        <f>Черн_кон.рас.!G15</f>
        <v>160992.04555000001</v>
      </c>
      <c r="D17" s="32">
        <f>Черн_кон.рас.!J15</f>
        <v>133063.44428</v>
      </c>
      <c r="E17" s="32">
        <f>Черн_кон.рас.!M15</f>
        <v>16821.8</v>
      </c>
      <c r="F17" s="32">
        <f>Черн_кон.рас.!P15</f>
        <v>0</v>
      </c>
      <c r="G17" s="32">
        <f>Черн_кон.рас.!S15</f>
        <v>283431.06741999998</v>
      </c>
      <c r="H17" s="32">
        <f>Черн_кон.рас.!V15</f>
        <v>119427.67591000001</v>
      </c>
      <c r="I17" s="32">
        <f>Черн_кон.рас.!Y15</f>
        <v>134908.78573999999</v>
      </c>
      <c r="J17" s="32">
        <f>Черн_кон.рас.!AB15</f>
        <v>17911.8</v>
      </c>
      <c r="K17" s="32">
        <f>Черн_кон.рас.!AE15</f>
        <v>11182.805770000001</v>
      </c>
      <c r="L17" s="32">
        <f t="shared" si="0"/>
        <v>-8.8286353837582254</v>
      </c>
      <c r="M17" s="32">
        <f t="shared" si="1"/>
        <v>-25.817654218879511</v>
      </c>
      <c r="N17" s="32">
        <f t="shared" si="2"/>
        <v>1.3868132378393199</v>
      </c>
      <c r="O17" s="32">
        <f t="shared" si="3"/>
        <v>6.4796870727270601</v>
      </c>
      <c r="P17" s="43"/>
      <c r="Q17" s="197">
        <f>'3_Бюджеты МО'!C16-I17</f>
        <v>193653.78883000006</v>
      </c>
      <c r="R17" s="197">
        <f t="shared" si="5"/>
        <v>9.2493930060536869</v>
      </c>
    </row>
    <row r="18" spans="1:18" x14ac:dyDescent="0.25">
      <c r="A18" s="112" t="s">
        <v>166</v>
      </c>
      <c r="B18" s="32">
        <f>Черн_кон.рас.!D16</f>
        <v>214661.86507</v>
      </c>
      <c r="C18" s="32">
        <f>Черн_кон.рас.!G16</f>
        <v>66570.672520000007</v>
      </c>
      <c r="D18" s="32">
        <f>Черн_кон.рас.!J16</f>
        <v>146474.39255000002</v>
      </c>
      <c r="E18" s="32">
        <f>Черн_кон.рас.!M16</f>
        <v>1605.8</v>
      </c>
      <c r="F18" s="32">
        <f>Черн_кон.рас.!P16</f>
        <v>11</v>
      </c>
      <c r="G18" s="32">
        <f>Черн_кон.рас.!S16</f>
        <v>256007.15536999999</v>
      </c>
      <c r="H18" s="32">
        <f>Черн_кон.рас.!V16</f>
        <v>79617.530540000007</v>
      </c>
      <c r="I18" s="32">
        <f>Черн_кон.рас.!Y16</f>
        <v>161297.3744</v>
      </c>
      <c r="J18" s="32">
        <f>Черн_кон.рас.!AB16</f>
        <v>2111.5</v>
      </c>
      <c r="K18" s="32">
        <f>Черн_кон.рас.!AE16</f>
        <v>12980.75043</v>
      </c>
      <c r="L18" s="32">
        <f t="shared" si="0"/>
        <v>19.260659217005085</v>
      </c>
      <c r="M18" s="32">
        <f t="shared" si="1"/>
        <v>19.598507159560839</v>
      </c>
      <c r="N18" s="32">
        <f t="shared" si="2"/>
        <v>10.119845245263647</v>
      </c>
      <c r="O18" s="32">
        <f t="shared" si="3"/>
        <v>31.49209116951053</v>
      </c>
      <c r="P18" s="43">
        <f t="shared" si="4"/>
        <v>1180.068220909091</v>
      </c>
      <c r="Q18" s="197">
        <f>'3_Бюджеты МО'!C17-I18</f>
        <v>174439.68609</v>
      </c>
      <c r="R18" s="197">
        <f t="shared" si="5"/>
        <v>1.2104470303337955</v>
      </c>
    </row>
    <row r="19" spans="1:18" x14ac:dyDescent="0.25">
      <c r="A19" s="112" t="s">
        <v>167</v>
      </c>
      <c r="B19" s="32">
        <f>Черн_кон.рас.!D17</f>
        <v>174051.68969999999</v>
      </c>
      <c r="C19" s="32">
        <f>Черн_кон.рас.!G17</f>
        <v>51616.831380000003</v>
      </c>
      <c r="D19" s="32">
        <f>Черн_кон.рас.!J17</f>
        <v>88783.567040000009</v>
      </c>
      <c r="E19" s="32">
        <f>Черн_кон.рас.!M17</f>
        <v>30924.2</v>
      </c>
      <c r="F19" s="32">
        <f>Черн_кон.рас.!P17</f>
        <v>2727.0912799999996</v>
      </c>
      <c r="G19" s="32">
        <f>Черн_кон.рас.!S17</f>
        <v>192669.70746000001</v>
      </c>
      <c r="H19" s="32">
        <f>Черн_кон.рас.!V17</f>
        <v>57762.548089999997</v>
      </c>
      <c r="I19" s="32">
        <f>Черн_кон.рас.!Y17</f>
        <v>105467.14761</v>
      </c>
      <c r="J19" s="32">
        <f>Черн_кон.рас.!AB17</f>
        <v>20476.7</v>
      </c>
      <c r="K19" s="32">
        <f>Черн_кон.рас.!AE17</f>
        <v>8963.3117600000005</v>
      </c>
      <c r="L19" s="32">
        <f t="shared" si="0"/>
        <v>10.69683252836586</v>
      </c>
      <c r="M19" s="32">
        <f t="shared" si="1"/>
        <v>11.906419951964097</v>
      </c>
      <c r="N19" s="32">
        <f t="shared" si="2"/>
        <v>18.791293396089245</v>
      </c>
      <c r="O19" s="32">
        <f t="shared" si="3"/>
        <v>-33.784220772081412</v>
      </c>
      <c r="P19" s="43">
        <f t="shared" si="4"/>
        <v>3.2867663160875207</v>
      </c>
      <c r="Q19" s="197">
        <f>'3_Бюджеты МО'!C18-I19</f>
        <v>112495.03012</v>
      </c>
      <c r="R19" s="197">
        <f t="shared" si="5"/>
        <v>18.202315229532559</v>
      </c>
    </row>
    <row r="20" spans="1:18" x14ac:dyDescent="0.25">
      <c r="A20" s="112" t="s">
        <v>168</v>
      </c>
      <c r="B20" s="32">
        <f>Черн_кон.рас.!D18</f>
        <v>177251.77287000002</v>
      </c>
      <c r="C20" s="32">
        <f>Черн_кон.рас.!G18</f>
        <v>57869.346119999995</v>
      </c>
      <c r="D20" s="32">
        <f>Черн_кон.рас.!J18</f>
        <v>117967.26075</v>
      </c>
      <c r="E20" s="32">
        <f>Черн_кон.рас.!M18</f>
        <v>0</v>
      </c>
      <c r="F20" s="32">
        <f>Черн_кон.рас.!P18</f>
        <v>1415.1659999999999</v>
      </c>
      <c r="G20" s="32">
        <f>Черн_кон.рас.!S18</f>
        <v>218919.43841999999</v>
      </c>
      <c r="H20" s="32">
        <f>Черн_кон.рас.!V18</f>
        <v>83657.109100000001</v>
      </c>
      <c r="I20" s="32">
        <f>Черн_кон.рас.!Y18</f>
        <v>127505.55732000001</v>
      </c>
      <c r="J20" s="32">
        <f>Черн_кон.рас.!AB18</f>
        <v>0</v>
      </c>
      <c r="K20" s="32">
        <f>Черн_кон.рас.!AE18</f>
        <v>7756.7719999999999</v>
      </c>
      <c r="L20" s="32">
        <f t="shared" si="0"/>
        <v>23.507615678721521</v>
      </c>
      <c r="M20" s="32">
        <f t="shared" si="1"/>
        <v>44.562043135109121</v>
      </c>
      <c r="N20" s="32">
        <f t="shared" si="2"/>
        <v>8.0855455228496709</v>
      </c>
      <c r="O20" s="32"/>
      <c r="P20" s="43">
        <f t="shared" si="4"/>
        <v>5.4811746466492268</v>
      </c>
      <c r="Q20" s="197">
        <f>'3_Бюджеты МО'!C19-I20</f>
        <v>184388.13514999999</v>
      </c>
      <c r="R20" s="197">
        <f t="shared" si="5"/>
        <v>0</v>
      </c>
    </row>
    <row r="21" spans="1:18" x14ac:dyDescent="0.25">
      <c r="A21" s="112" t="s">
        <v>169</v>
      </c>
      <c r="B21" s="32">
        <f>Черн_кон.рас.!D19</f>
        <v>241749.08071000001</v>
      </c>
      <c r="C21" s="32">
        <f>Черн_кон.рас.!G19</f>
        <v>35440.25563</v>
      </c>
      <c r="D21" s="32">
        <f>Черн_кон.рас.!J19</f>
        <v>173193.72508</v>
      </c>
      <c r="E21" s="32">
        <f>Черн_кон.рас.!M19</f>
        <v>28556.1</v>
      </c>
      <c r="F21" s="32">
        <f>Черн_кон.рас.!P19</f>
        <v>4559</v>
      </c>
      <c r="G21" s="32">
        <f>Черн_кон.рас.!S19</f>
        <v>270446.17174999998</v>
      </c>
      <c r="H21" s="32">
        <f>Черн_кон.рас.!V19</f>
        <v>48959.936090000003</v>
      </c>
      <c r="I21" s="32">
        <f>Черн_кон.рас.!Y19</f>
        <v>190428.86765999999</v>
      </c>
      <c r="J21" s="32">
        <f>Черн_кон.рас.!AB19</f>
        <v>26913.4</v>
      </c>
      <c r="K21" s="32">
        <f>Черн_кон.рас.!AE19</f>
        <v>4143.9679999999998</v>
      </c>
      <c r="L21" s="32">
        <f t="shared" si="0"/>
        <v>11.870610202826271</v>
      </c>
      <c r="M21" s="32">
        <f t="shared" si="1"/>
        <v>38.147807400564176</v>
      </c>
      <c r="N21" s="32">
        <f t="shared" si="2"/>
        <v>9.951366639893493</v>
      </c>
      <c r="O21" s="32">
        <f t="shared" si="3"/>
        <v>-5.7525362356904424</v>
      </c>
      <c r="P21" s="43">
        <f t="shared" si="4"/>
        <v>0.90896424654529495</v>
      </c>
      <c r="Q21" s="197">
        <f>'3_Бюджеты МО'!C20-I21</f>
        <v>205751.96496000001</v>
      </c>
      <c r="R21" s="197">
        <f t="shared" si="5"/>
        <v>13.08050691289009</v>
      </c>
    </row>
    <row r="22" spans="1:18" x14ac:dyDescent="0.25">
      <c r="A22" s="112" t="s">
        <v>170</v>
      </c>
      <c r="B22" s="32">
        <f>Черн_кон.рас.!D20</f>
        <v>300334.11274000001</v>
      </c>
      <c r="C22" s="32">
        <f>Черн_кон.рас.!G20</f>
        <v>12552.398999999999</v>
      </c>
      <c r="D22" s="32">
        <f>Черн_кон.рас.!J20</f>
        <v>236468.89774000001</v>
      </c>
      <c r="E22" s="32">
        <f>Черн_кон.рас.!M20</f>
        <v>49861</v>
      </c>
      <c r="F22" s="32">
        <f>Черн_кон.рас.!P20</f>
        <v>1451.816</v>
      </c>
      <c r="G22" s="32">
        <f>Черн_кон.рас.!S20</f>
        <v>355019.32325999998</v>
      </c>
      <c r="H22" s="32">
        <f>Черн_кон.рас.!V20</f>
        <v>33689.743470000001</v>
      </c>
      <c r="I22" s="32">
        <f>Черн_кон.рас.!Y20</f>
        <v>261183.48279000001</v>
      </c>
      <c r="J22" s="32">
        <f>Черн_кон.рас.!AB20</f>
        <v>53322.6</v>
      </c>
      <c r="K22" s="32">
        <f>Черн_кон.рас.!AE20</f>
        <v>6823.4970000000003</v>
      </c>
      <c r="L22" s="32">
        <f t="shared" si="0"/>
        <v>18.208124951607175</v>
      </c>
      <c r="M22" s="32">
        <f t="shared" si="1"/>
        <v>168.39286633574989</v>
      </c>
      <c r="N22" s="32">
        <f t="shared" si="2"/>
        <v>10.451516155487795</v>
      </c>
      <c r="O22" s="32">
        <f t="shared" si="3"/>
        <v>6.9425001504181552</v>
      </c>
      <c r="P22" s="43">
        <f t="shared" si="4"/>
        <v>4.6999736881257679</v>
      </c>
      <c r="Q22" s="197">
        <f>'3_Бюджеты МО'!C21-I22</f>
        <v>197378.42655</v>
      </c>
      <c r="R22" s="197">
        <f t="shared" si="5"/>
        <v>27.01541446653102</v>
      </c>
    </row>
    <row r="23" spans="1:18" x14ac:dyDescent="0.25">
      <c r="A23" s="112" t="s">
        <v>171</v>
      </c>
      <c r="B23" s="32">
        <f>Черн_кон.рас.!D21</f>
        <v>451300.59972000006</v>
      </c>
      <c r="C23" s="32">
        <f>Черн_кон.рас.!G21</f>
        <v>114572.03843</v>
      </c>
      <c r="D23" s="32">
        <f>Черн_кон.рас.!J21</f>
        <v>278747.58179000003</v>
      </c>
      <c r="E23" s="32">
        <f>Черн_кон.рас.!M21</f>
        <v>57001.9</v>
      </c>
      <c r="F23" s="32">
        <f>Черн_кон.рас.!P21</f>
        <v>979.07950000000005</v>
      </c>
      <c r="G23" s="32">
        <f>Черн_кон.рас.!S21</f>
        <v>494717.65561999998</v>
      </c>
      <c r="H23" s="32">
        <f>Черн_кон.рас.!V21</f>
        <v>120324.046</v>
      </c>
      <c r="I23" s="32">
        <f>Черн_кон.рас.!Y21</f>
        <v>299661.60462</v>
      </c>
      <c r="J23" s="32">
        <f>Черн_кон.рас.!AB21</f>
        <v>60231.5</v>
      </c>
      <c r="K23" s="32">
        <f>Черн_кон.рас.!AE21</f>
        <v>14500.504999999999</v>
      </c>
      <c r="L23" s="32">
        <f t="shared" si="0"/>
        <v>9.6204294713849521</v>
      </c>
      <c r="M23" s="32">
        <f t="shared" si="1"/>
        <v>5.0204287615204635</v>
      </c>
      <c r="N23" s="32">
        <f t="shared" si="2"/>
        <v>7.502853547894091</v>
      </c>
      <c r="O23" s="32">
        <f t="shared" si="3"/>
        <v>5.665776053078929</v>
      </c>
      <c r="P23" s="43">
        <f t="shared" si="4"/>
        <v>14.810344818781314</v>
      </c>
      <c r="Q23" s="197">
        <f>'3_Бюджеты МО'!C22-I23</f>
        <v>276349.34046000009</v>
      </c>
      <c r="R23" s="197">
        <f t="shared" si="5"/>
        <v>21.795420209703071</v>
      </c>
    </row>
    <row r="24" spans="1:18" x14ac:dyDescent="0.25">
      <c r="A24" s="112" t="s">
        <v>172</v>
      </c>
      <c r="B24" s="32">
        <f>Черн_кон.рас.!D22</f>
        <v>431383.81102999998</v>
      </c>
      <c r="C24" s="32">
        <f>Черн_кон.рас.!G22</f>
        <v>55055.014869999999</v>
      </c>
      <c r="D24" s="32">
        <f>Черн_кон.рас.!J22</f>
        <v>316525.78716000001</v>
      </c>
      <c r="E24" s="32">
        <f>Черн_кон.рас.!M22</f>
        <v>59076.1</v>
      </c>
      <c r="F24" s="32">
        <f>Черн_кон.рас.!P22</f>
        <v>726.90899999999999</v>
      </c>
      <c r="G24" s="32">
        <f>Черн_кон.рас.!S22</f>
        <v>447349.25228999997</v>
      </c>
      <c r="H24" s="32">
        <f>Черн_кон.рас.!V22</f>
        <v>27887.44743</v>
      </c>
      <c r="I24" s="32">
        <f>Черн_кон.рас.!Y22</f>
        <v>333074.40486000001</v>
      </c>
      <c r="J24" s="32">
        <f>Черн_кон.рас.!AB22</f>
        <v>57387.4</v>
      </c>
      <c r="K24" s="32">
        <f>Черн_кон.рас.!AE22</f>
        <v>29000</v>
      </c>
      <c r="L24" s="32">
        <f t="shared" si="0"/>
        <v>3.7009829418215361</v>
      </c>
      <c r="M24" s="32">
        <f t="shared" si="1"/>
        <v>-49.346217604608924</v>
      </c>
      <c r="N24" s="32">
        <f t="shared" si="2"/>
        <v>5.2282052114871931</v>
      </c>
      <c r="O24" s="32">
        <f t="shared" si="3"/>
        <v>-2.858516388184043</v>
      </c>
      <c r="P24" s="43">
        <f t="shared" si="4"/>
        <v>39.894952463100608</v>
      </c>
      <c r="Q24" s="197">
        <f>'3_Бюджеты МО'!C23-I24</f>
        <v>278871.44903000002</v>
      </c>
      <c r="R24" s="197">
        <f t="shared" si="5"/>
        <v>20.57844221759197</v>
      </c>
    </row>
    <row r="25" spans="1:18" x14ac:dyDescent="0.25">
      <c r="A25" s="112" t="s">
        <v>173</v>
      </c>
      <c r="B25" s="32">
        <f>Черн_кон.рас.!D23</f>
        <v>286368.22461999999</v>
      </c>
      <c r="C25" s="32">
        <f>Черн_кон.рас.!G23</f>
        <v>90806.562000000005</v>
      </c>
      <c r="D25" s="32">
        <f>Черн_кон.рас.!J23</f>
        <v>195317.45362000001</v>
      </c>
      <c r="E25" s="32">
        <f>Черн_кон.рас.!M23</f>
        <v>0</v>
      </c>
      <c r="F25" s="32">
        <f>Черн_кон.рас.!P23</f>
        <v>244.209</v>
      </c>
      <c r="G25" s="32">
        <f>Черн_кон.рас.!S23</f>
        <v>326211.72097000002</v>
      </c>
      <c r="H25" s="32">
        <f>Черн_кон.рас.!V23</f>
        <v>80059.074840000001</v>
      </c>
      <c r="I25" s="32">
        <f>Черн_кон.рас.!Y23</f>
        <v>224509.76559</v>
      </c>
      <c r="J25" s="32">
        <f>Черн_кон.рас.!AB23</f>
        <v>0</v>
      </c>
      <c r="K25" s="32">
        <f>Черн_кон.рас.!AE23</f>
        <v>21642.880539999998</v>
      </c>
      <c r="L25" s="32">
        <f t="shared" si="0"/>
        <v>13.913378973128346</v>
      </c>
      <c r="M25" s="32">
        <f t="shared" si="1"/>
        <v>-11.835584260970052</v>
      </c>
      <c r="N25" s="32">
        <f t="shared" si="2"/>
        <v>14.946084658053707</v>
      </c>
      <c r="O25" s="32"/>
      <c r="P25" s="43">
        <f t="shared" si="4"/>
        <v>88.624418182786044</v>
      </c>
      <c r="Q25" s="197">
        <f>'3_Бюджеты МО'!C24-I25</f>
        <v>282629.59667999996</v>
      </c>
      <c r="R25" s="197">
        <f t="shared" si="5"/>
        <v>0</v>
      </c>
    </row>
    <row r="26" spans="1:18" x14ac:dyDescent="0.25">
      <c r="A26" s="112" t="s">
        <v>174</v>
      </c>
      <c r="B26" s="32">
        <f>Черн_кон.рас.!D24</f>
        <v>398959.64273000002</v>
      </c>
      <c r="C26" s="32">
        <f>Черн_кон.рас.!G24</f>
        <v>73702.728000000003</v>
      </c>
      <c r="D26" s="32">
        <f>Черн_кон.рас.!J24</f>
        <v>290606.05385000003</v>
      </c>
      <c r="E26" s="32">
        <f>Черн_кон.рас.!M24</f>
        <v>34105.199999999997</v>
      </c>
      <c r="F26" s="32">
        <f>Черн_кон.рас.!P24</f>
        <v>545.66088000000002</v>
      </c>
      <c r="G26" s="32">
        <f>Черн_кон.рас.!S24</f>
        <v>467201.32507000002</v>
      </c>
      <c r="H26" s="32">
        <f>Черн_кон.рас.!V24</f>
        <v>87495.737940000006</v>
      </c>
      <c r="I26" s="32">
        <f>Черн_кон.рас.!Y24</f>
        <v>326635.38929999998</v>
      </c>
      <c r="J26" s="32">
        <f>Черн_кон.рас.!AB24</f>
        <v>26011.200000000001</v>
      </c>
      <c r="K26" s="32">
        <f>Черн_кон.рас.!AE24</f>
        <v>27058.99783</v>
      </c>
      <c r="L26" s="32">
        <f t="shared" si="0"/>
        <v>17.104908625102013</v>
      </c>
      <c r="M26" s="32">
        <f t="shared" si="1"/>
        <v>18.714381834007554</v>
      </c>
      <c r="N26" s="32">
        <f t="shared" si="2"/>
        <v>12.397998931087969</v>
      </c>
      <c r="O26" s="32">
        <f t="shared" si="3"/>
        <v>-23.732451356391394</v>
      </c>
      <c r="P26" s="43">
        <f t="shared" si="4"/>
        <v>49.589404008584964</v>
      </c>
      <c r="Q26" s="197">
        <f>'3_Бюджеты МО'!C25-I26</f>
        <v>270360.04893999995</v>
      </c>
      <c r="R26" s="197">
        <f t="shared" si="5"/>
        <v>9.6209481030877377</v>
      </c>
    </row>
    <row r="27" spans="1:18" x14ac:dyDescent="0.25">
      <c r="A27" s="112" t="s">
        <v>175</v>
      </c>
      <c r="B27" s="32">
        <f>Черн_кон.рас.!D25</f>
        <v>420160.19812999998</v>
      </c>
      <c r="C27" s="32">
        <f>Черн_кон.рас.!G25</f>
        <v>86536.224000000002</v>
      </c>
      <c r="D27" s="32">
        <f>Черн_кон.рас.!J25</f>
        <v>292794.98213000002</v>
      </c>
      <c r="E27" s="32">
        <f>Черн_кон.рас.!M25</f>
        <v>39749</v>
      </c>
      <c r="F27" s="32">
        <f>Черн_кон.рас.!P25</f>
        <v>1079.992</v>
      </c>
      <c r="G27" s="32">
        <f>Черн_кон.рас.!S25</f>
        <v>442101.60915999999</v>
      </c>
      <c r="H27" s="32">
        <f>Черн_кон.рас.!V25</f>
        <v>63477.191800000001</v>
      </c>
      <c r="I27" s="32">
        <f>Черн_кон.рас.!Y25</f>
        <v>306043.29121</v>
      </c>
      <c r="J27" s="32">
        <f>Черн_кон.рас.!AB25</f>
        <v>41873.800000000003</v>
      </c>
      <c r="K27" s="32">
        <f>Черн_кон.рас.!AE25</f>
        <v>30707.326150000001</v>
      </c>
      <c r="L27" s="32">
        <f t="shared" si="0"/>
        <v>5.222153627986259</v>
      </c>
      <c r="M27" s="32">
        <f t="shared" si="1"/>
        <v>-26.646681741047544</v>
      </c>
      <c r="N27" s="32">
        <f t="shared" si="2"/>
        <v>4.5247732675001089</v>
      </c>
      <c r="O27" s="32">
        <f t="shared" si="3"/>
        <v>5.3455432841077766</v>
      </c>
      <c r="P27" s="43">
        <f t="shared" si="4"/>
        <v>28.432920012370463</v>
      </c>
      <c r="Q27" s="197">
        <f>'3_Бюджеты МО'!C26-I27</f>
        <v>215610.38699000003</v>
      </c>
      <c r="R27" s="197">
        <f t="shared" si="5"/>
        <v>19.421049507203058</v>
      </c>
    </row>
    <row r="28" spans="1:18" x14ac:dyDescent="0.25">
      <c r="A28" s="112" t="s">
        <v>176</v>
      </c>
      <c r="B28" s="32">
        <f>Черн_кон.рас.!D26</f>
        <v>156176.88937000002</v>
      </c>
      <c r="C28" s="32">
        <f>Черн_кон.рас.!G26</f>
        <v>27855.991999999998</v>
      </c>
      <c r="D28" s="32">
        <f>Черн_кон.рас.!J26</f>
        <v>100639.69737000001</v>
      </c>
      <c r="E28" s="32">
        <f>Черн_кон.рас.!M26</f>
        <v>27584.2</v>
      </c>
      <c r="F28" s="32">
        <f>Черн_кон.рас.!P26</f>
        <v>97</v>
      </c>
      <c r="G28" s="32">
        <f>Черн_кон.рас.!S26</f>
        <v>176537.5172</v>
      </c>
      <c r="H28" s="32">
        <f>Черн_кон.рас.!V26</f>
        <v>38216.442000000003</v>
      </c>
      <c r="I28" s="32">
        <f>Черн_кон.рас.!Y26</f>
        <v>107010.6752</v>
      </c>
      <c r="J28" s="32">
        <f>Черн_кон.рас.!AB26</f>
        <v>28820.400000000001</v>
      </c>
      <c r="K28" s="32">
        <f>Черн_кон.рас.!AE26</f>
        <v>2490</v>
      </c>
      <c r="L28" s="32">
        <f t="shared" si="0"/>
        <v>13.036901882303113</v>
      </c>
      <c r="M28" s="32">
        <f t="shared" si="1"/>
        <v>37.192895517775867</v>
      </c>
      <c r="N28" s="32">
        <f t="shared" si="2"/>
        <v>6.330481903753352</v>
      </c>
      <c r="O28" s="32">
        <f t="shared" si="3"/>
        <v>4.4815510328376433</v>
      </c>
      <c r="P28" s="43">
        <f t="shared" si="4"/>
        <v>25.670103092783506</v>
      </c>
      <c r="Q28" s="197">
        <f>'3_Бюджеты МО'!C27-I28</f>
        <v>104862.80485000001</v>
      </c>
      <c r="R28" s="197">
        <f t="shared" si="5"/>
        <v>27.483911040931876</v>
      </c>
    </row>
    <row r="29" spans="1:18" x14ac:dyDescent="0.25">
      <c r="A29" s="112" t="s">
        <v>177</v>
      </c>
      <c r="B29" s="32">
        <f>Черн_кон.рас.!D27</f>
        <v>1776159.9154000001</v>
      </c>
      <c r="C29" s="32">
        <f>Черн_кон.рас.!G27</f>
        <v>49387.666729999997</v>
      </c>
      <c r="D29" s="32">
        <f>Черн_кон.рас.!J27</f>
        <v>1725975.9797499999</v>
      </c>
      <c r="E29" s="32">
        <f>Черн_кон.рас.!M27</f>
        <v>0</v>
      </c>
      <c r="F29" s="32">
        <f>Черн_кон.рас.!P27</f>
        <v>796.26892000000009</v>
      </c>
      <c r="G29" s="32">
        <f>Черн_кон.рас.!S27</f>
        <v>2164199.2288099998</v>
      </c>
      <c r="H29" s="32">
        <f>Черн_кон.рас.!V27</f>
        <v>150157.01345999999</v>
      </c>
      <c r="I29" s="32">
        <f>Черн_кон.рас.!Y27</f>
        <v>2001759.4731099999</v>
      </c>
      <c r="J29" s="32">
        <f>Черн_кон.рас.!AB27</f>
        <v>0</v>
      </c>
      <c r="K29" s="32">
        <f>Черн_кон.рас.!AE27</f>
        <v>12282.74224</v>
      </c>
      <c r="L29" s="32">
        <f t="shared" si="0"/>
        <v>21.84709327384023</v>
      </c>
      <c r="M29" s="32">
        <f t="shared" si="1"/>
        <v>204.0374721099929</v>
      </c>
      <c r="N29" s="32">
        <f t="shared" si="2"/>
        <v>15.978408540769266</v>
      </c>
      <c r="O29" s="32"/>
      <c r="P29" s="43">
        <f t="shared" si="4"/>
        <v>15.425369409118716</v>
      </c>
      <c r="Q29" s="197">
        <f>'3_Бюджеты МО'!C28-I29</f>
        <v>2271270.9068600005</v>
      </c>
      <c r="R29" s="197">
        <f t="shared" si="5"/>
        <v>0</v>
      </c>
    </row>
    <row r="30" spans="1:18" x14ac:dyDescent="0.25">
      <c r="A30" s="112" t="s">
        <v>178</v>
      </c>
      <c r="B30" s="32">
        <f>Черн_кон.рас.!D28</f>
        <v>1556062.69236</v>
      </c>
      <c r="C30" s="32">
        <f>Черн_кон.рас.!G28</f>
        <v>328415.30785000004</v>
      </c>
      <c r="D30" s="32">
        <f>Черн_кон.рас.!J28</f>
        <v>1227046.2742600001</v>
      </c>
      <c r="E30" s="32">
        <f>Черн_кон.рас.!M28</f>
        <v>0</v>
      </c>
      <c r="F30" s="32">
        <f>Черн_кон.рас.!P28</f>
        <v>601.11024999999995</v>
      </c>
      <c r="G30" s="32">
        <f>Черн_кон.рас.!S28</f>
        <v>1470811.23731</v>
      </c>
      <c r="H30" s="32">
        <f>Черн_кон.рас.!V28</f>
        <v>118161.44816</v>
      </c>
      <c r="I30" s="32">
        <f>Черн_кон.рас.!Y28</f>
        <v>1351304.46206</v>
      </c>
      <c r="J30" s="32">
        <f>Черн_кон.рас.!AB28</f>
        <v>0</v>
      </c>
      <c r="K30" s="32">
        <f>Черн_кон.рас.!AE28</f>
        <v>1345.32709</v>
      </c>
      <c r="L30" s="32">
        <f t="shared" si="0"/>
        <v>-5.4786645466516291</v>
      </c>
      <c r="M30" s="32">
        <f t="shared" si="1"/>
        <v>-64.02072457171549</v>
      </c>
      <c r="N30" s="32">
        <f t="shared" si="2"/>
        <v>10.126609762532127</v>
      </c>
      <c r="O30" s="32"/>
      <c r="P30" s="43">
        <f t="shared" si="4"/>
        <v>2.2380704537977851</v>
      </c>
      <c r="Q30" s="197">
        <f>'3_Бюджеты МО'!C29-I30</f>
        <v>1794837.83118</v>
      </c>
      <c r="R30" s="197">
        <f t="shared" si="5"/>
        <v>0</v>
      </c>
    </row>
    <row r="31" spans="1:18" x14ac:dyDescent="0.25">
      <c r="A31" s="112" t="s">
        <v>179</v>
      </c>
      <c r="B31" s="32">
        <f>Черн_кон.рас.!D29</f>
        <v>568410.80712999997</v>
      </c>
      <c r="C31" s="32">
        <f>Черн_кон.рас.!G29</f>
        <v>29961.983</v>
      </c>
      <c r="D31" s="32">
        <f>Черн_кон.рас.!J29</f>
        <v>458788.21132999996</v>
      </c>
      <c r="E31" s="32">
        <f>Черн_кон.рас.!M29</f>
        <v>78596.7</v>
      </c>
      <c r="F31" s="32">
        <f>Черн_кон.рас.!P29</f>
        <v>1063.9128000000001</v>
      </c>
      <c r="G31" s="32">
        <f>Черн_кон.рас.!S29</f>
        <v>688437.89896999998</v>
      </c>
      <c r="H31" s="32">
        <f>Черн_кон.рас.!V29</f>
        <v>39382.149899999997</v>
      </c>
      <c r="I31" s="32">
        <f>Черн_кон.рас.!Y29</f>
        <v>563831.40822999994</v>
      </c>
      <c r="J31" s="32">
        <f>Черн_кон.рас.!AB29</f>
        <v>73922.399999999994</v>
      </c>
      <c r="K31" s="32">
        <f>Черн_кон.рас.!AE29</f>
        <v>11301.940839999999</v>
      </c>
      <c r="L31" s="32">
        <f t="shared" si="0"/>
        <v>21.116257878001406</v>
      </c>
      <c r="M31" s="32">
        <f t="shared" si="1"/>
        <v>31.44039865452163</v>
      </c>
      <c r="N31" s="32">
        <f t="shared" si="2"/>
        <v>22.89579250423327</v>
      </c>
      <c r="O31" s="32">
        <f t="shared" si="3"/>
        <v>-5.9471962563313809</v>
      </c>
      <c r="P31" s="43">
        <f t="shared" si="4"/>
        <v>10.622995456018575</v>
      </c>
      <c r="Q31" s="197">
        <f>'3_Бюджеты МО'!C30-I31</f>
        <v>507568.14880000008</v>
      </c>
      <c r="R31" s="197">
        <f t="shared" si="5"/>
        <v>14.564034440452655</v>
      </c>
    </row>
    <row r="32" spans="1:18" x14ac:dyDescent="0.25">
      <c r="A32" s="112" t="s">
        <v>180</v>
      </c>
      <c r="B32" s="32">
        <f>Черн_кон.рас.!D30</f>
        <v>247283.94845</v>
      </c>
      <c r="C32" s="32">
        <f>Черн_кон.рас.!G30</f>
        <v>1191.164</v>
      </c>
      <c r="D32" s="32">
        <f>Черн_кон.рас.!J30</f>
        <v>207599.88444999998</v>
      </c>
      <c r="E32" s="32">
        <f>Черн_кон.рас.!M30</f>
        <v>38492.9</v>
      </c>
      <c r="F32" s="32">
        <f>Черн_кон.рас.!P30</f>
        <v>0</v>
      </c>
      <c r="G32" s="32">
        <f>Черн_кон.рас.!S30</f>
        <v>299712.88827</v>
      </c>
      <c r="H32" s="32">
        <f>Черн_кон.рас.!V30</f>
        <v>26446.595450000001</v>
      </c>
      <c r="I32" s="32">
        <f>Черн_кон.рас.!Y30</f>
        <v>229908.62281999999</v>
      </c>
      <c r="J32" s="32">
        <f>Черн_кон.рас.!AB30</f>
        <v>41393.699999999997</v>
      </c>
      <c r="K32" s="32">
        <f>Черн_кон.рас.!AE30</f>
        <v>1963.97</v>
      </c>
      <c r="L32" s="32">
        <f t="shared" si="0"/>
        <v>21.201917936295402</v>
      </c>
      <c r="M32" s="32">
        <f t="shared" si="1"/>
        <v>2120.2312569889623</v>
      </c>
      <c r="N32" s="32">
        <f t="shared" si="2"/>
        <v>10.746026390671247</v>
      </c>
      <c r="O32" s="32">
        <f t="shared" si="3"/>
        <v>7.5359351984391765</v>
      </c>
      <c r="P32" s="43"/>
      <c r="Q32" s="197">
        <f>'3_Бюджеты МО'!C31-I32</f>
        <v>241016.79729000002</v>
      </c>
      <c r="R32" s="197">
        <f t="shared" si="5"/>
        <v>17.174612087386432</v>
      </c>
    </row>
    <row r="33" spans="1:18" x14ac:dyDescent="0.25">
      <c r="A33" s="112" t="s">
        <v>181</v>
      </c>
      <c r="B33" s="32">
        <f>Черн_кон.рас.!D31</f>
        <v>235910.61333000002</v>
      </c>
      <c r="C33" s="32">
        <f>Черн_кон.рас.!G31</f>
        <v>4851.9931999999999</v>
      </c>
      <c r="D33" s="32">
        <f>Черн_кон.рас.!J31</f>
        <v>224762.79113</v>
      </c>
      <c r="E33" s="32">
        <f>Черн_кон.рас.!M31</f>
        <v>6271</v>
      </c>
      <c r="F33" s="32">
        <f>Черн_кон.рас.!P31</f>
        <v>24.829000000000001</v>
      </c>
      <c r="G33" s="32">
        <f>Черн_кон.рас.!S31</f>
        <v>311531.21385</v>
      </c>
      <c r="H33" s="32">
        <f>Черн_кон.рас.!V31</f>
        <v>43632.62083</v>
      </c>
      <c r="I33" s="32">
        <f>Черн_кон.рас.!Y31</f>
        <v>259973.48302000001</v>
      </c>
      <c r="J33" s="32">
        <f>Черн_кон.рас.!AB31</f>
        <v>7754.2</v>
      </c>
      <c r="K33" s="32">
        <f>Черн_кон.рас.!AE31</f>
        <v>170.91</v>
      </c>
      <c r="L33" s="32">
        <f t="shared" si="0"/>
        <v>32.054768309308429</v>
      </c>
      <c r="M33" s="32">
        <f t="shared" si="1"/>
        <v>799.27209358001573</v>
      </c>
      <c r="N33" s="32">
        <f t="shared" si="2"/>
        <v>15.665712155013495</v>
      </c>
      <c r="O33" s="32">
        <f t="shared" si="3"/>
        <v>23.651730186573104</v>
      </c>
      <c r="P33" s="43">
        <f t="shared" si="4"/>
        <v>6.883483023883362</v>
      </c>
      <c r="Q33" s="197">
        <f>'3_Бюджеты МО'!C32-I33</f>
        <v>271962.01021999994</v>
      </c>
      <c r="R33" s="197">
        <f t="shared" si="5"/>
        <v>2.8512070467957438</v>
      </c>
    </row>
    <row r="34" spans="1:18" x14ac:dyDescent="0.25">
      <c r="A34" s="112" t="s">
        <v>182</v>
      </c>
      <c r="B34" s="32">
        <f>Черн_кон.рас.!D32</f>
        <v>246807.00592</v>
      </c>
      <c r="C34" s="32">
        <f>Черн_кон.рас.!G32</f>
        <v>8050.2188599999999</v>
      </c>
      <c r="D34" s="32">
        <f>Черн_кон.рас.!J32</f>
        <v>164376.78706</v>
      </c>
      <c r="E34" s="32">
        <f>Черн_кон.рас.!M32</f>
        <v>74380</v>
      </c>
      <c r="F34" s="32">
        <f>Черн_кон.рас.!P32</f>
        <v>0</v>
      </c>
      <c r="G34" s="32">
        <f>Черн_кон.рас.!S32</f>
        <v>292722.74287999998</v>
      </c>
      <c r="H34" s="32">
        <f>Черн_кон.рас.!V32</f>
        <v>16012.809600000001</v>
      </c>
      <c r="I34" s="32">
        <f>Черн_кон.рас.!Y32</f>
        <v>192327.93328</v>
      </c>
      <c r="J34" s="32">
        <f>Черн_кон.рас.!AB32</f>
        <v>84382</v>
      </c>
      <c r="K34" s="32">
        <f>Черн_кон.рас.!AE32</f>
        <v>0</v>
      </c>
      <c r="L34" s="32">
        <f t="shared" si="0"/>
        <v>18.603903397654406</v>
      </c>
      <c r="M34" s="32">
        <f t="shared" si="1"/>
        <v>98.911481519646543</v>
      </c>
      <c r="N34" s="32">
        <f t="shared" si="2"/>
        <v>17.004314733197347</v>
      </c>
      <c r="O34" s="32">
        <f>J34/E34%-100</f>
        <v>13.447163215918266</v>
      </c>
      <c r="P34" s="43"/>
      <c r="Q34" s="197">
        <f>'3_Бюджеты МО'!C33-I34</f>
        <v>352192.93091999996</v>
      </c>
      <c r="R34" s="197">
        <f t="shared" si="5"/>
        <v>23.959027167177084</v>
      </c>
    </row>
    <row r="35" spans="1:18" x14ac:dyDescent="0.25">
      <c r="A35" s="112" t="s">
        <v>183</v>
      </c>
      <c r="B35" s="32">
        <f>Черн_кон.рас.!D33</f>
        <v>4056.0172699999998</v>
      </c>
      <c r="C35" s="32">
        <f>Черн_кон.рас.!G33</f>
        <v>0</v>
      </c>
      <c r="D35" s="32">
        <f>Черн_кон.рас.!J33</f>
        <v>3654.0172699999998</v>
      </c>
      <c r="E35" s="32">
        <f>Черн_кон.рас.!M33</f>
        <v>402</v>
      </c>
      <c r="F35" s="32">
        <f>Черн_кон.рас.!P33</f>
        <v>0</v>
      </c>
      <c r="G35" s="32">
        <f>Черн_кон.рас.!S33</f>
        <v>3913.6904</v>
      </c>
      <c r="H35" s="32">
        <f>Черн_кон.рас.!V33</f>
        <v>0</v>
      </c>
      <c r="I35" s="32">
        <f>Черн_кон.рас.!Y33</f>
        <v>3529.3904000000002</v>
      </c>
      <c r="J35" s="32">
        <f>Черн_кон.рас.!AB33</f>
        <v>384.3</v>
      </c>
      <c r="K35" s="32">
        <f>Черн_кон.рас.!AE33</f>
        <v>0</v>
      </c>
      <c r="L35" s="32">
        <f t="shared" si="0"/>
        <v>-3.5090301772802803</v>
      </c>
      <c r="M35" s="32"/>
      <c r="N35" s="32">
        <f t="shared" si="2"/>
        <v>-3.4106809243405536</v>
      </c>
      <c r="O35" s="32">
        <f t="shared" si="3"/>
        <v>-4.4029850746268551</v>
      </c>
      <c r="P35" s="43"/>
      <c r="Q35" s="197">
        <f>'3_Бюджеты МО'!C34-I35</f>
        <v>41510.445640000005</v>
      </c>
      <c r="R35" s="197">
        <f t="shared" si="5"/>
        <v>0.92579107276478745</v>
      </c>
    </row>
    <row r="36" spans="1:18" s="196" customFormat="1" ht="13.8" thickBot="1" x14ac:dyDescent="0.3">
      <c r="A36" s="277" t="s">
        <v>184</v>
      </c>
      <c r="B36" s="278">
        <f>Черн_кон.рас.!D34</f>
        <v>10132369.50444</v>
      </c>
      <c r="C36" s="278">
        <f>Черн_кон.рас.!G34</f>
        <v>1778270.7840699996</v>
      </c>
      <c r="D36" s="278">
        <f>Черн_кон.рас.!J34</f>
        <v>7572240.2487399997</v>
      </c>
      <c r="E36" s="278">
        <f>Черн_кон.рас.!M34</f>
        <v>756959.1</v>
      </c>
      <c r="F36" s="278">
        <f>Черн_кон.рас.!P34</f>
        <v>24899.371629999991</v>
      </c>
      <c r="G36" s="278">
        <f>Черн_кон.рас.!S34</f>
        <v>11278890.978240002</v>
      </c>
      <c r="H36" s="278">
        <f>Черн_кон.рас.!V34</f>
        <v>1734999.7850599994</v>
      </c>
      <c r="I36" s="278">
        <f>Черн_кон.рас.!Y34</f>
        <v>8488578.9186700005</v>
      </c>
      <c r="J36" s="278">
        <f>Черн_кон.рас.!AB34</f>
        <v>753326.9</v>
      </c>
      <c r="K36" s="278">
        <f>Черн_кон.рас.!AE34</f>
        <v>301985.37450999988</v>
      </c>
      <c r="L36" s="278">
        <f t="shared" si="0"/>
        <v>11.315432913274606</v>
      </c>
      <c r="M36" s="278">
        <f t="shared" si="1"/>
        <v>-2.4333188959537466</v>
      </c>
      <c r="N36" s="278">
        <f t="shared" si="2"/>
        <v>12.101288916215736</v>
      </c>
      <c r="O36" s="278">
        <f t="shared" si="3"/>
        <v>-0.47984098480353055</v>
      </c>
      <c r="P36" s="279">
        <f>K36/F36</f>
        <v>12.12823275211303</v>
      </c>
      <c r="Q36" s="197">
        <f>'3_Бюджеты МО'!C35-I36</f>
        <v>9292866.6606900003</v>
      </c>
      <c r="R36" s="197">
        <f t="shared" ref="R36" si="6">J36/Q36%</f>
        <v>8.1065071468922287</v>
      </c>
    </row>
    <row r="37" spans="1:18" ht="13.8" hidden="1" thickTop="1" x14ac:dyDescent="0.25">
      <c r="A37" s="169" t="s">
        <v>364</v>
      </c>
      <c r="B37" s="194"/>
      <c r="C37" s="194">
        <f>C36/$B$36%</f>
        <v>17.550394143154396</v>
      </c>
      <c r="D37" s="194">
        <f t="shared" ref="D37:F37" si="7">D36/$B$36%</f>
        <v>74.733163308166439</v>
      </c>
      <c r="E37" s="194">
        <f t="shared" si="7"/>
        <v>7.4707016919221196</v>
      </c>
      <c r="F37" s="194">
        <f t="shared" si="7"/>
        <v>0.24574085675704085</v>
      </c>
      <c r="G37" s="194"/>
      <c r="H37" s="194">
        <f>H36/$G$36%</f>
        <v>15.382716158949298</v>
      </c>
      <c r="I37" s="194">
        <f>I36/$G$36%</f>
        <v>75.260758660108877</v>
      </c>
      <c r="J37" s="194">
        <f t="shared" ref="J37:K37" si="8">J36/$G$36%</f>
        <v>6.6790866358524887</v>
      </c>
      <c r="K37" s="194">
        <f t="shared" si="8"/>
        <v>2.6774385450893217</v>
      </c>
      <c r="L37" s="194"/>
      <c r="M37" s="194">
        <f>H37-C37</f>
        <v>-2.1676779842050973</v>
      </c>
      <c r="N37" s="194">
        <f t="shared" ref="N37:P37" si="9">I37-D37</f>
        <v>0.52759535194243767</v>
      </c>
      <c r="O37" s="194">
        <f t="shared" si="9"/>
        <v>-0.7916150560696309</v>
      </c>
      <c r="P37" s="194">
        <f t="shared" si="9"/>
        <v>2.4316976883322807</v>
      </c>
    </row>
    <row r="38" spans="1:18" ht="20.399999999999999" hidden="1" x14ac:dyDescent="0.25">
      <c r="F38" s="317" t="s">
        <v>371</v>
      </c>
      <c r="G38" s="197">
        <f>'1_Конс.'!X31*1000</f>
        <v>11278477.378239999</v>
      </c>
      <c r="H38" s="197">
        <f t="shared" ref="H38:I38" si="10">(H36-C36)/1000</f>
        <v>-43.270999010000146</v>
      </c>
      <c r="I38" s="197">
        <f t="shared" si="10"/>
        <v>916.33866993000083</v>
      </c>
      <c r="J38" s="197">
        <f>(J36-E36)/1000</f>
        <v>-3.6321999999999535</v>
      </c>
      <c r="K38" s="197">
        <f>(K36-F36)/1000</f>
        <v>277.08600287999985</v>
      </c>
    </row>
    <row r="39" spans="1:18" hidden="1" x14ac:dyDescent="0.25">
      <c r="F39" s="317"/>
      <c r="G39" s="197">
        <f>G38-G36</f>
        <v>-413.60000000335276</v>
      </c>
      <c r="K39" s="197">
        <f>K36/F36</f>
        <v>12.12823275211303</v>
      </c>
    </row>
    <row r="40" spans="1:18" hidden="1" x14ac:dyDescent="0.25">
      <c r="G40" s="197">
        <f>(G36-B36)/1000</f>
        <v>1146.5214738000016</v>
      </c>
    </row>
    <row r="41" spans="1:18" hidden="1" x14ac:dyDescent="0.25">
      <c r="I41" s="197">
        <f>I36-D36</f>
        <v>916338.66993000079</v>
      </c>
    </row>
    <row r="42" spans="1:18" hidden="1" x14ac:dyDescent="0.25"/>
    <row r="43" spans="1:18" ht="26.4" hidden="1" x14ac:dyDescent="0.25">
      <c r="B43" s="264" t="s">
        <v>485</v>
      </c>
      <c r="C43" s="264" t="s">
        <v>444</v>
      </c>
    </row>
    <row r="44" spans="1:18" hidden="1" x14ac:dyDescent="0.25">
      <c r="A44" s="190" t="s">
        <v>216</v>
      </c>
      <c r="B44" s="197">
        <f>C36/1000</f>
        <v>1778.2707840699995</v>
      </c>
      <c r="C44" s="197">
        <f>H36/1000</f>
        <v>1734.9997850599993</v>
      </c>
    </row>
    <row r="45" spans="1:18" hidden="1" x14ac:dyDescent="0.25">
      <c r="A45" s="190" t="s">
        <v>217</v>
      </c>
      <c r="B45" s="197">
        <f>D36/1000</f>
        <v>7572.2402487399995</v>
      </c>
      <c r="C45" s="197">
        <f>I36/1000</f>
        <v>8488.5789186700003</v>
      </c>
    </row>
    <row r="46" spans="1:18" hidden="1" x14ac:dyDescent="0.25">
      <c r="A46" s="190" t="s">
        <v>218</v>
      </c>
      <c r="B46" s="197">
        <f>E36/1000</f>
        <v>756.95909999999992</v>
      </c>
      <c r="C46" s="197">
        <f>J36/1000</f>
        <v>753.32690000000002</v>
      </c>
    </row>
    <row r="47" spans="1:18" hidden="1" x14ac:dyDescent="0.25">
      <c r="A47" s="265" t="s">
        <v>377</v>
      </c>
      <c r="B47" s="197">
        <f>F36/1000</f>
        <v>24.89937162999999</v>
      </c>
      <c r="C47" s="197">
        <f>K36/1000</f>
        <v>301.98537450999987</v>
      </c>
    </row>
    <row r="48" spans="1:1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t="13.8" thickTop="1" x14ac:dyDescent="0.25"/>
  </sheetData>
  <autoFilter ref="A9:R40"/>
  <mergeCells count="25">
    <mergeCell ref="O4:P4"/>
    <mergeCell ref="H7:H8"/>
    <mergeCell ref="O7:O8"/>
    <mergeCell ref="P7:P8"/>
    <mergeCell ref="I7:I8"/>
    <mergeCell ref="J7:J8"/>
    <mergeCell ref="K7:K8"/>
    <mergeCell ref="M7:M8"/>
    <mergeCell ref="N7:N8"/>
    <mergeCell ref="N1:P1"/>
    <mergeCell ref="A3:P3"/>
    <mergeCell ref="A5:A8"/>
    <mergeCell ref="B5:F5"/>
    <mergeCell ref="G5:K5"/>
    <mergeCell ref="L5:P5"/>
    <mergeCell ref="B6:B8"/>
    <mergeCell ref="C6:F6"/>
    <mergeCell ref="G6:G8"/>
    <mergeCell ref="H6:K6"/>
    <mergeCell ref="L6:L8"/>
    <mergeCell ref="M6:P6"/>
    <mergeCell ref="C7:C8"/>
    <mergeCell ref="D7:D8"/>
    <mergeCell ref="E7:E8"/>
    <mergeCell ref="F7:F8"/>
  </mergeCells>
  <printOptions horizontalCentered="1"/>
  <pageMargins left="0" right="0" top="0.55118110236220474" bottom="0.35433070866141736" header="0.11811023622047245" footer="0.11811023622047245"/>
  <pageSetup paperSize="9" scale="87" orientation="landscape"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50"/>
  <sheetViews>
    <sheetView zoomScale="115" zoomScaleNormal="115" workbookViewId="0">
      <pane xSplit="1" ySplit="7" topLeftCell="B8" activePane="bottomRight" state="frozen"/>
      <selection activeCell="A188" sqref="A188"/>
      <selection pane="topRight" activeCell="A188" sqref="A188"/>
      <selection pane="bottomLeft" activeCell="A188" sqref="A188"/>
      <selection pane="bottomRight" activeCell="A37" sqref="A37:XFD49"/>
    </sheetView>
  </sheetViews>
  <sheetFormatPr defaultColWidth="9.109375" defaultRowHeight="13.2" x14ac:dyDescent="0.25"/>
  <cols>
    <col min="1" max="1" width="21.5546875" style="361" customWidth="1"/>
    <col min="2" max="3" width="11.33203125" style="362" bestFit="1" customWidth="1"/>
    <col min="4" max="4" width="8.109375" style="362" customWidth="1"/>
    <col min="5" max="5" width="11.33203125" style="362" bestFit="1" customWidth="1"/>
    <col min="6" max="6" width="11.88671875" style="362" bestFit="1" customWidth="1"/>
    <col min="7" max="16384" width="9.109375" style="362"/>
  </cols>
  <sheetData>
    <row r="1" spans="1:10" s="361" customFormat="1" ht="24.75" customHeight="1" x14ac:dyDescent="0.25">
      <c r="A1" s="269"/>
      <c r="B1" s="269"/>
      <c r="C1" s="269"/>
      <c r="D1" s="269"/>
      <c r="E1" s="269"/>
      <c r="F1" s="269"/>
      <c r="G1" s="269"/>
      <c r="H1" s="520" t="s">
        <v>385</v>
      </c>
      <c r="I1" s="520"/>
      <c r="J1" s="520"/>
    </row>
    <row r="2" spans="1:10" s="361" customFormat="1" ht="27" customHeight="1" x14ac:dyDescent="0.25">
      <c r="A2" s="521" t="s">
        <v>462</v>
      </c>
      <c r="B2" s="521"/>
      <c r="C2" s="521"/>
      <c r="D2" s="521"/>
      <c r="E2" s="521"/>
      <c r="F2" s="521"/>
      <c r="G2" s="521"/>
      <c r="H2" s="521"/>
      <c r="I2" s="521"/>
      <c r="J2" s="521"/>
    </row>
    <row r="3" spans="1:10" s="361" customFormat="1" ht="13.8" thickBot="1" x14ac:dyDescent="0.3">
      <c r="A3" s="269"/>
      <c r="B3" s="269"/>
      <c r="C3" s="269"/>
      <c r="D3" s="269"/>
      <c r="E3" s="269"/>
      <c r="F3" s="269"/>
      <c r="G3" s="269"/>
      <c r="H3" s="269"/>
      <c r="I3" s="528" t="s">
        <v>186</v>
      </c>
      <c r="J3" s="528"/>
    </row>
    <row r="4" spans="1:10" s="361" customFormat="1" ht="13.8" thickTop="1" x14ac:dyDescent="0.25">
      <c r="A4" s="493" t="s">
        <v>187</v>
      </c>
      <c r="B4" s="522" t="s">
        <v>393</v>
      </c>
      <c r="C4" s="522"/>
      <c r="D4" s="522"/>
      <c r="E4" s="522" t="s">
        <v>444</v>
      </c>
      <c r="F4" s="522"/>
      <c r="G4" s="522"/>
      <c r="H4" s="522" t="s">
        <v>396</v>
      </c>
      <c r="I4" s="522"/>
      <c r="J4" s="523"/>
    </row>
    <row r="5" spans="1:10" s="361" customFormat="1" x14ac:dyDescent="0.25">
      <c r="A5" s="494"/>
      <c r="B5" s="524" t="s">
        <v>192</v>
      </c>
      <c r="C5" s="358" t="s">
        <v>9</v>
      </c>
      <c r="D5" s="524" t="s">
        <v>341</v>
      </c>
      <c r="E5" s="524" t="s">
        <v>192</v>
      </c>
      <c r="F5" s="358" t="s">
        <v>9</v>
      </c>
      <c r="G5" s="524" t="s">
        <v>341</v>
      </c>
      <c r="H5" s="524" t="s">
        <v>340</v>
      </c>
      <c r="I5" s="358" t="s">
        <v>9</v>
      </c>
      <c r="J5" s="525" t="s">
        <v>347</v>
      </c>
    </row>
    <row r="6" spans="1:10" s="361" customFormat="1" ht="52.8" customHeight="1" x14ac:dyDescent="0.25">
      <c r="A6" s="494"/>
      <c r="B6" s="524"/>
      <c r="C6" s="358" t="s">
        <v>336</v>
      </c>
      <c r="D6" s="524"/>
      <c r="E6" s="524"/>
      <c r="F6" s="358" t="s">
        <v>336</v>
      </c>
      <c r="G6" s="524"/>
      <c r="H6" s="524"/>
      <c r="I6" s="358" t="s">
        <v>346</v>
      </c>
      <c r="J6" s="525"/>
    </row>
    <row r="7" spans="1:10" s="361" customFormat="1" x14ac:dyDescent="0.25">
      <c r="A7" s="203" t="s">
        <v>14</v>
      </c>
      <c r="B7" s="222">
        <v>1</v>
      </c>
      <c r="C7" s="222">
        <v>2</v>
      </c>
      <c r="D7" s="222" t="s">
        <v>342</v>
      </c>
      <c r="E7" s="222">
        <v>4</v>
      </c>
      <c r="F7" s="222">
        <v>5</v>
      </c>
      <c r="G7" s="222" t="s">
        <v>343</v>
      </c>
      <c r="H7" s="222" t="s">
        <v>344</v>
      </c>
      <c r="I7" s="222" t="s">
        <v>345</v>
      </c>
      <c r="J7" s="223" t="s">
        <v>228</v>
      </c>
    </row>
    <row r="8" spans="1:10" x14ac:dyDescent="0.25">
      <c r="A8" s="364" t="s">
        <v>158</v>
      </c>
      <c r="B8" s="365">
        <f>Черн.!DZ8</f>
        <v>38724.849390000003</v>
      </c>
      <c r="C8" s="365">
        <f>Черн.!EA8</f>
        <v>8945.2973399999992</v>
      </c>
      <c r="D8" s="365">
        <f>C8/B8%</f>
        <v>23.099631066118391</v>
      </c>
      <c r="E8" s="365">
        <f>Черн.!EB8</f>
        <v>37773.479169999999</v>
      </c>
      <c r="F8" s="365">
        <f>Черн.!EC8</f>
        <v>6066.59573</v>
      </c>
      <c r="G8" s="411">
        <f>F8/E8%</f>
        <v>16.060463222615034</v>
      </c>
      <c r="H8" s="411">
        <f>E8/B8%-100</f>
        <v>-2.4567434992934523</v>
      </c>
      <c r="I8" s="411">
        <f>F8/C8%-100</f>
        <v>-32.181172973731464</v>
      </c>
      <c r="J8" s="412">
        <f>G8-D8</f>
        <v>-7.0391678435033569</v>
      </c>
    </row>
    <row r="9" spans="1:10" x14ac:dyDescent="0.25">
      <c r="A9" s="364" t="s">
        <v>159</v>
      </c>
      <c r="B9" s="365">
        <f>Черн.!DZ9</f>
        <v>20157.919190000001</v>
      </c>
      <c r="C9" s="365">
        <f>Черн.!EA9</f>
        <v>1814.85094</v>
      </c>
      <c r="D9" s="365">
        <f t="shared" ref="D9:D36" si="0">C9/B9%</f>
        <v>9.0031660653760159</v>
      </c>
      <c r="E9" s="365">
        <f>Черн.!EB9</f>
        <v>28048.129479999996</v>
      </c>
      <c r="F9" s="365">
        <f>Черн.!EC9</f>
        <v>1284.53559</v>
      </c>
      <c r="G9" s="411">
        <f t="shared" ref="G9:G36" si="1">F9/E9%</f>
        <v>4.5797549206122685</v>
      </c>
      <c r="H9" s="411">
        <f t="shared" ref="H9:H35" si="2">E9/B9%-100</f>
        <v>39.141987898801545</v>
      </c>
      <c r="I9" s="411">
        <f t="shared" ref="I9:I36" si="3">F9/C9%-100</f>
        <v>-29.220876398807732</v>
      </c>
      <c r="J9" s="412">
        <f t="shared" ref="J9:J36" si="4">G9-D9</f>
        <v>-4.4234111447637474</v>
      </c>
    </row>
    <row r="10" spans="1:10" x14ac:dyDescent="0.25">
      <c r="A10" s="364" t="s">
        <v>160</v>
      </c>
      <c r="B10" s="365">
        <f>Черн.!DZ10</f>
        <v>9251.3239999999987</v>
      </c>
      <c r="C10" s="365">
        <f>Черн.!EA10</f>
        <v>1820.2745600000001</v>
      </c>
      <c r="D10" s="365">
        <f t="shared" si="0"/>
        <v>19.675827589650957</v>
      </c>
      <c r="E10" s="365">
        <f>Черн.!EB10</f>
        <v>6531.7323500000002</v>
      </c>
      <c r="F10" s="365">
        <f>Черн.!EC10</f>
        <v>911.63387999999998</v>
      </c>
      <c r="G10" s="411">
        <f t="shared" si="1"/>
        <v>13.95699993739027</v>
      </c>
      <c r="H10" s="411">
        <f t="shared" si="2"/>
        <v>-29.39678309828949</v>
      </c>
      <c r="I10" s="411">
        <f t="shared" si="3"/>
        <v>-49.917781633997016</v>
      </c>
      <c r="J10" s="412">
        <f t="shared" si="4"/>
        <v>-5.7188276522606873</v>
      </c>
    </row>
    <row r="11" spans="1:10" x14ac:dyDescent="0.25">
      <c r="A11" s="364" t="s">
        <v>161</v>
      </c>
      <c r="B11" s="365">
        <f>Черн.!DZ11</f>
        <v>21739.851170000002</v>
      </c>
      <c r="C11" s="365">
        <f>Черн.!EA11</f>
        <v>17184.492760000001</v>
      </c>
      <c r="D11" s="373">
        <f t="shared" si="0"/>
        <v>79.046046017618607</v>
      </c>
      <c r="E11" s="365">
        <f>Черн.!EB11</f>
        <v>20991.140660000001</v>
      </c>
      <c r="F11" s="365">
        <f>Черн.!EC11</f>
        <v>16059.91178</v>
      </c>
      <c r="G11" s="373">
        <f t="shared" si="1"/>
        <v>76.508047085803284</v>
      </c>
      <c r="H11" s="411">
        <f t="shared" si="2"/>
        <v>-3.4439541657635147</v>
      </c>
      <c r="I11" s="411">
        <f t="shared" si="3"/>
        <v>-6.5441616212127229</v>
      </c>
      <c r="J11" s="412">
        <f t="shared" si="4"/>
        <v>-2.5379989318153235</v>
      </c>
    </row>
    <row r="12" spans="1:10" x14ac:dyDescent="0.25">
      <c r="A12" s="364" t="s">
        <v>162</v>
      </c>
      <c r="B12" s="365">
        <f>Черн.!DZ12</f>
        <v>28102.881229999999</v>
      </c>
      <c r="C12" s="365">
        <f>Черн.!EA12</f>
        <v>4620.2853500000001</v>
      </c>
      <c r="D12" s="365">
        <f t="shared" si="0"/>
        <v>16.440610883227937</v>
      </c>
      <c r="E12" s="365">
        <f>Черн.!EB12</f>
        <v>28839.751179999999</v>
      </c>
      <c r="F12" s="365">
        <f>Черн.!EC12</f>
        <v>3223.7423600000002</v>
      </c>
      <c r="G12" s="411">
        <f t="shared" si="1"/>
        <v>11.178121266994925</v>
      </c>
      <c r="H12" s="411">
        <f t="shared" si="2"/>
        <v>2.6220441383547097</v>
      </c>
      <c r="I12" s="411">
        <f t="shared" si="3"/>
        <v>-30.226336345221625</v>
      </c>
      <c r="J12" s="412">
        <f t="shared" si="4"/>
        <v>-5.2624896162330117</v>
      </c>
    </row>
    <row r="13" spans="1:10" x14ac:dyDescent="0.25">
      <c r="A13" s="364" t="s">
        <v>163</v>
      </c>
      <c r="B13" s="365">
        <f>Черн.!DZ13</f>
        <v>18701.747800000001</v>
      </c>
      <c r="C13" s="365">
        <f>Черн.!EA13</f>
        <v>2330.5945999999999</v>
      </c>
      <c r="D13" s="365">
        <f t="shared" si="0"/>
        <v>12.461907972045264</v>
      </c>
      <c r="E13" s="365">
        <f>Черн.!EB13</f>
        <v>16893.179359999998</v>
      </c>
      <c r="F13" s="365">
        <f>Черн.!EC13</f>
        <v>1695.57861</v>
      </c>
      <c r="G13" s="411">
        <f t="shared" si="1"/>
        <v>10.037060365408919</v>
      </c>
      <c r="H13" s="411">
        <f t="shared" si="2"/>
        <v>-9.6705851203918058</v>
      </c>
      <c r="I13" s="411">
        <f t="shared" si="3"/>
        <v>-27.246951915189356</v>
      </c>
      <c r="J13" s="412">
        <f t="shared" si="4"/>
        <v>-2.4248476066363445</v>
      </c>
    </row>
    <row r="14" spans="1:10" x14ac:dyDescent="0.25">
      <c r="A14" s="364" t="s">
        <v>164</v>
      </c>
      <c r="B14" s="365">
        <f>Черн.!DZ14</f>
        <v>34143.181960000002</v>
      </c>
      <c r="C14" s="365">
        <f>Черн.!EA14</f>
        <v>8746.0429299999996</v>
      </c>
      <c r="D14" s="365">
        <f t="shared" si="0"/>
        <v>25.615781622949822</v>
      </c>
      <c r="E14" s="365">
        <f>Черн.!EB14</f>
        <v>30026.989750000004</v>
      </c>
      <c r="F14" s="365">
        <f>Черн.!EC14</f>
        <v>10986.74216</v>
      </c>
      <c r="G14" s="411">
        <f t="shared" si="1"/>
        <v>36.589555767907093</v>
      </c>
      <c r="H14" s="411">
        <f t="shared" si="2"/>
        <v>-12.055678392313496</v>
      </c>
      <c r="I14" s="411">
        <f t="shared" si="3"/>
        <v>25.619577309804029</v>
      </c>
      <c r="J14" s="412">
        <f t="shared" si="4"/>
        <v>10.973774144957272</v>
      </c>
    </row>
    <row r="15" spans="1:10" x14ac:dyDescent="0.25">
      <c r="A15" s="364" t="s">
        <v>165</v>
      </c>
      <c r="B15" s="365">
        <f>Черн.!DZ15</f>
        <v>5089.0628799999995</v>
      </c>
      <c r="C15" s="365">
        <f>Черн.!EA15</f>
        <v>2939.1760100000001</v>
      </c>
      <c r="D15" s="365">
        <f t="shared" si="0"/>
        <v>57.754759163046543</v>
      </c>
      <c r="E15" s="365">
        <f>Черн.!EB15</f>
        <v>8488.8502399999998</v>
      </c>
      <c r="F15" s="365">
        <f>Черн.!EC15</f>
        <v>1952.18308</v>
      </c>
      <c r="G15" s="411">
        <f t="shared" si="1"/>
        <v>22.997025802165645</v>
      </c>
      <c r="H15" s="411">
        <f t="shared" si="2"/>
        <v>66.805764443610116</v>
      </c>
      <c r="I15" s="411">
        <f t="shared" si="3"/>
        <v>-33.580599686508748</v>
      </c>
      <c r="J15" s="412">
        <f t="shared" si="4"/>
        <v>-34.757733360880898</v>
      </c>
    </row>
    <row r="16" spans="1:10" x14ac:dyDescent="0.25">
      <c r="A16" s="364" t="s">
        <v>166</v>
      </c>
      <c r="B16" s="365">
        <f>Черн.!DZ16</f>
        <v>7603.0048800000004</v>
      </c>
      <c r="C16" s="365">
        <f>Черн.!EA16</f>
        <v>1677.48486</v>
      </c>
      <c r="D16" s="365">
        <f t="shared" si="0"/>
        <v>22.063445788555118</v>
      </c>
      <c r="E16" s="365">
        <f>Черн.!EB16</f>
        <v>6584.6679400000003</v>
      </c>
      <c r="F16" s="365">
        <f>Черн.!EC16</f>
        <v>578.50193999999999</v>
      </c>
      <c r="G16" s="411">
        <f t="shared" si="1"/>
        <v>8.7855901811807993</v>
      </c>
      <c r="H16" s="411">
        <f t="shared" si="2"/>
        <v>-13.393874607114554</v>
      </c>
      <c r="I16" s="411">
        <f t="shared" si="3"/>
        <v>-65.513731074747227</v>
      </c>
      <c r="J16" s="412">
        <f t="shared" si="4"/>
        <v>-13.277855607374319</v>
      </c>
    </row>
    <row r="17" spans="1:10" x14ac:dyDescent="0.25">
      <c r="A17" s="364" t="s">
        <v>167</v>
      </c>
      <c r="B17" s="365">
        <f>Черн.!DZ17</f>
        <v>5385.6218600000002</v>
      </c>
      <c r="C17" s="365">
        <f>Черн.!EA17</f>
        <v>2814.0549299999998</v>
      </c>
      <c r="D17" s="365">
        <f t="shared" si="0"/>
        <v>52.251253488487578</v>
      </c>
      <c r="E17" s="365">
        <f>Черн.!EB17</f>
        <v>5810.9439499999999</v>
      </c>
      <c r="F17" s="365">
        <f>Черн.!EC17</f>
        <v>98.190349999999995</v>
      </c>
      <c r="G17" s="411">
        <f t="shared" si="1"/>
        <v>1.689748702532228</v>
      </c>
      <c r="H17" s="411">
        <f t="shared" si="2"/>
        <v>7.8973626640768089</v>
      </c>
      <c r="I17" s="411">
        <f t="shared" si="3"/>
        <v>-96.510716654702975</v>
      </c>
      <c r="J17" s="412">
        <f t="shared" si="4"/>
        <v>-50.56150478595535</v>
      </c>
    </row>
    <row r="18" spans="1:10" x14ac:dyDescent="0.25">
      <c r="A18" s="364" t="s">
        <v>168</v>
      </c>
      <c r="B18" s="365">
        <f>Черн.!DZ18</f>
        <v>10714.21243</v>
      </c>
      <c r="C18" s="365">
        <f>Черн.!EA18</f>
        <v>1062.1632999999999</v>
      </c>
      <c r="D18" s="365">
        <f t="shared" si="0"/>
        <v>9.9135919409803979</v>
      </c>
      <c r="E18" s="365">
        <f>Черн.!EB18</f>
        <v>10478.926040000002</v>
      </c>
      <c r="F18" s="365">
        <f>Черн.!EC18</f>
        <v>7909.2365999999993</v>
      </c>
      <c r="G18" s="373">
        <f t="shared" si="1"/>
        <v>75.477549605837254</v>
      </c>
      <c r="H18" s="411">
        <f t="shared" si="2"/>
        <v>-2.1960213271597127</v>
      </c>
      <c r="I18" s="411">
        <f t="shared" si="3"/>
        <v>644.63470918266523</v>
      </c>
      <c r="J18" s="374">
        <f t="shared" si="4"/>
        <v>65.563957664856858</v>
      </c>
    </row>
    <row r="19" spans="1:10" x14ac:dyDescent="0.25">
      <c r="A19" s="364" t="s">
        <v>169</v>
      </c>
      <c r="B19" s="365">
        <f>Черн.!DZ19</f>
        <v>70869.09534</v>
      </c>
      <c r="C19" s="365">
        <f>Черн.!EA19</f>
        <v>3531.4137599999999</v>
      </c>
      <c r="D19" s="365">
        <f t="shared" si="0"/>
        <v>4.9830095093746678</v>
      </c>
      <c r="E19" s="365">
        <f>Черн.!EB19</f>
        <v>70262.767589999989</v>
      </c>
      <c r="F19" s="365">
        <f>Черн.!EC19</f>
        <v>6355.69776</v>
      </c>
      <c r="G19" s="411">
        <f t="shared" si="1"/>
        <v>9.0456126025194639</v>
      </c>
      <c r="H19" s="411">
        <f t="shared" si="2"/>
        <v>-0.85556016637592336</v>
      </c>
      <c r="I19" s="411">
        <f t="shared" si="3"/>
        <v>79.976015045033961</v>
      </c>
      <c r="J19" s="412">
        <f t="shared" si="4"/>
        <v>4.0626030931447961</v>
      </c>
    </row>
    <row r="20" spans="1:10" x14ac:dyDescent="0.25">
      <c r="A20" s="364" t="s">
        <v>170</v>
      </c>
      <c r="B20" s="365">
        <f>Черн.!DZ20</f>
        <v>77111.029689999996</v>
      </c>
      <c r="C20" s="365">
        <f>Черн.!EA20</f>
        <v>52289.478060000001</v>
      </c>
      <c r="D20" s="373">
        <f t="shared" si="0"/>
        <v>67.810633926447309</v>
      </c>
      <c r="E20" s="365">
        <f>Черн.!EB20</f>
        <v>73141.990879999998</v>
      </c>
      <c r="F20" s="365">
        <f>Черн.!EC20</f>
        <v>2818.1424000000002</v>
      </c>
      <c r="G20" s="411">
        <f t="shared" si="1"/>
        <v>3.8529746949649888</v>
      </c>
      <c r="H20" s="411">
        <f t="shared" si="2"/>
        <v>-5.1471739204576039</v>
      </c>
      <c r="I20" s="411">
        <f t="shared" si="3"/>
        <v>-94.610498125901543</v>
      </c>
      <c r="J20" s="412">
        <f t="shared" si="4"/>
        <v>-63.957659231482317</v>
      </c>
    </row>
    <row r="21" spans="1:10" x14ac:dyDescent="0.25">
      <c r="A21" s="364" t="s">
        <v>171</v>
      </c>
      <c r="B21" s="365">
        <f>Черн.!DZ21</f>
        <v>20605.95264</v>
      </c>
      <c r="C21" s="365">
        <f>Черн.!EA21</f>
        <v>15378.38379</v>
      </c>
      <c r="D21" s="373">
        <f t="shared" si="0"/>
        <v>74.630782952241134</v>
      </c>
      <c r="E21" s="365">
        <f>Черн.!EB21</f>
        <v>52966.200689999998</v>
      </c>
      <c r="F21" s="365">
        <f>Черн.!EC21</f>
        <v>14603.125459999999</v>
      </c>
      <c r="G21" s="411">
        <f t="shared" si="1"/>
        <v>27.570649338186467</v>
      </c>
      <c r="H21" s="411">
        <f t="shared" si="2"/>
        <v>157.04320307512847</v>
      </c>
      <c r="I21" s="411">
        <f t="shared" si="3"/>
        <v>-5.0412211100110795</v>
      </c>
      <c r="J21" s="412">
        <f t="shared" si="4"/>
        <v>-47.060133614054664</v>
      </c>
    </row>
    <row r="22" spans="1:10" x14ac:dyDescent="0.25">
      <c r="A22" s="364" t="s">
        <v>172</v>
      </c>
      <c r="B22" s="365">
        <f>Черн.!DZ22</f>
        <v>89813.445569999996</v>
      </c>
      <c r="C22" s="365">
        <f>Черн.!EA22</f>
        <v>9390.6642900000006</v>
      </c>
      <c r="D22" s="365">
        <f t="shared" si="0"/>
        <v>10.455744382594675</v>
      </c>
      <c r="E22" s="365">
        <f>Черн.!EB22</f>
        <v>78504.290720000005</v>
      </c>
      <c r="F22" s="365">
        <f>Черн.!EC22</f>
        <v>13861.72514</v>
      </c>
      <c r="G22" s="411">
        <f t="shared" si="1"/>
        <v>17.657283459117405</v>
      </c>
      <c r="H22" s="411">
        <f t="shared" si="2"/>
        <v>-12.59182829277573</v>
      </c>
      <c r="I22" s="411">
        <f t="shared" si="3"/>
        <v>47.611763256846217</v>
      </c>
      <c r="J22" s="412">
        <f t="shared" si="4"/>
        <v>7.2015390765227298</v>
      </c>
    </row>
    <row r="23" spans="1:10" x14ac:dyDescent="0.25">
      <c r="A23" s="364" t="s">
        <v>173</v>
      </c>
      <c r="B23" s="365">
        <f>Черн.!DZ23</f>
        <v>67963.792390000002</v>
      </c>
      <c r="C23" s="365">
        <f>Черн.!EA23</f>
        <v>13587.98149</v>
      </c>
      <c r="D23" s="365">
        <f t="shared" si="0"/>
        <v>19.992971275098085</v>
      </c>
      <c r="E23" s="365">
        <f>Черн.!EB23</f>
        <v>67075.724660000007</v>
      </c>
      <c r="F23" s="365">
        <f>Черн.!EC23</f>
        <v>3595.2923900000001</v>
      </c>
      <c r="G23" s="411">
        <f t="shared" si="1"/>
        <v>5.3600500154477198</v>
      </c>
      <c r="H23" s="411">
        <f t="shared" si="2"/>
        <v>-1.3066777158401521</v>
      </c>
      <c r="I23" s="411">
        <f t="shared" si="3"/>
        <v>-73.540644041604452</v>
      </c>
      <c r="J23" s="412">
        <f t="shared" si="4"/>
        <v>-14.632921259650367</v>
      </c>
    </row>
    <row r="24" spans="1:10" x14ac:dyDescent="0.25">
      <c r="A24" s="364" t="s">
        <v>174</v>
      </c>
      <c r="B24" s="365">
        <f>Черн.!DZ24</f>
        <v>47804.796159999998</v>
      </c>
      <c r="C24" s="365">
        <f>Черн.!EA24</f>
        <v>13136.48899</v>
      </c>
      <c r="D24" s="365">
        <f t="shared" si="0"/>
        <v>27.479437305898973</v>
      </c>
      <c r="E24" s="365">
        <f>Черн.!EB24</f>
        <v>49165.422559999999</v>
      </c>
      <c r="F24" s="365">
        <f>Черн.!EC24</f>
        <v>10101.239939999999</v>
      </c>
      <c r="G24" s="411">
        <f t="shared" si="1"/>
        <v>20.545414671607368</v>
      </c>
      <c r="H24" s="411">
        <f t="shared" si="2"/>
        <v>2.8462131612193389</v>
      </c>
      <c r="I24" s="411">
        <f t="shared" si="3"/>
        <v>-23.105481626868098</v>
      </c>
      <c r="J24" s="412">
        <f t="shared" si="4"/>
        <v>-6.9340226342916047</v>
      </c>
    </row>
    <row r="25" spans="1:10" x14ac:dyDescent="0.25">
      <c r="A25" s="364" t="s">
        <v>175</v>
      </c>
      <c r="B25" s="365">
        <f>Черн.!DZ25</f>
        <v>29857.068900000002</v>
      </c>
      <c r="C25" s="365">
        <f>Черн.!EA25</f>
        <v>4347.9186200000004</v>
      </c>
      <c r="D25" s="365">
        <f t="shared" si="0"/>
        <v>14.562442932902902</v>
      </c>
      <c r="E25" s="365">
        <f>Черн.!EB25</f>
        <v>27066.967650000002</v>
      </c>
      <c r="F25" s="365">
        <f>Черн.!EC25</f>
        <v>3406.5424600000001</v>
      </c>
      <c r="G25" s="411">
        <f t="shared" si="1"/>
        <v>12.585608052034598</v>
      </c>
      <c r="H25" s="411">
        <f t="shared" si="2"/>
        <v>-9.3448598700189223</v>
      </c>
      <c r="I25" s="411">
        <f t="shared" si="3"/>
        <v>-21.651190886364844</v>
      </c>
      <c r="J25" s="412">
        <f t="shared" si="4"/>
        <v>-1.9768348808683047</v>
      </c>
    </row>
    <row r="26" spans="1:10" x14ac:dyDescent="0.25">
      <c r="A26" s="364" t="s">
        <v>176</v>
      </c>
      <c r="B26" s="365">
        <f>Черн.!DZ26</f>
        <v>7383.0519800000002</v>
      </c>
      <c r="C26" s="365">
        <f>Черн.!EA26</f>
        <v>3767.7739700000002</v>
      </c>
      <c r="D26" s="365">
        <f t="shared" si="0"/>
        <v>51.032743372341798</v>
      </c>
      <c r="E26" s="365">
        <f>Черн.!EB26</f>
        <v>5573.9349099999999</v>
      </c>
      <c r="F26" s="365">
        <f>Черн.!EC26</f>
        <v>2592.2982999999999</v>
      </c>
      <c r="G26" s="411">
        <f t="shared" si="1"/>
        <v>46.507509360205283</v>
      </c>
      <c r="H26" s="411">
        <f t="shared" si="2"/>
        <v>-24.503648015762721</v>
      </c>
      <c r="I26" s="411">
        <f t="shared" si="3"/>
        <v>-31.198147217944722</v>
      </c>
      <c r="J26" s="412">
        <f t="shared" si="4"/>
        <v>-4.5252340121365151</v>
      </c>
    </row>
    <row r="27" spans="1:10" x14ac:dyDescent="0.25">
      <c r="A27" s="364" t="s">
        <v>177</v>
      </c>
      <c r="B27" s="365">
        <f>Черн.!DZ27</f>
        <v>1403942.99688</v>
      </c>
      <c r="C27" s="365">
        <f>Черн.!EA27</f>
        <v>677370.48341999995</v>
      </c>
      <c r="D27" s="365">
        <f t="shared" si="0"/>
        <v>48.247719809517115</v>
      </c>
      <c r="E27" s="365">
        <f>Черн.!EB27</f>
        <v>1370820.8842</v>
      </c>
      <c r="F27" s="365">
        <f>Черн.!EC27</f>
        <v>639561.33273000002</v>
      </c>
      <c r="G27" s="411">
        <f t="shared" si="1"/>
        <v>46.655353744719378</v>
      </c>
      <c r="H27" s="411">
        <f t="shared" si="2"/>
        <v>-2.3592206203248764</v>
      </c>
      <c r="I27" s="411">
        <f t="shared" si="3"/>
        <v>-5.5817535035043164</v>
      </c>
      <c r="J27" s="412">
        <f t="shared" si="4"/>
        <v>-1.5923660647977371</v>
      </c>
    </row>
    <row r="28" spans="1:10" x14ac:dyDescent="0.25">
      <c r="A28" s="364" t="s">
        <v>178</v>
      </c>
      <c r="B28" s="365">
        <f>Черн.!DZ28</f>
        <v>213414.32306</v>
      </c>
      <c r="C28" s="365">
        <f>Черн.!EA28</f>
        <v>27472.077979999998</v>
      </c>
      <c r="D28" s="365">
        <f t="shared" si="0"/>
        <v>12.872649588882751</v>
      </c>
      <c r="E28" s="365">
        <f>Черн.!EB28</f>
        <v>218737.42809999999</v>
      </c>
      <c r="F28" s="365">
        <f>Черн.!EC28</f>
        <v>16759.621050000002</v>
      </c>
      <c r="G28" s="411">
        <f t="shared" si="1"/>
        <v>7.6619813973208197</v>
      </c>
      <c r="H28" s="411">
        <f t="shared" si="2"/>
        <v>2.4942585688137768</v>
      </c>
      <c r="I28" s="411">
        <f t="shared" si="3"/>
        <v>-38.993981226315661</v>
      </c>
      <c r="J28" s="412">
        <f t="shared" si="4"/>
        <v>-5.2106681915619317</v>
      </c>
    </row>
    <row r="29" spans="1:10" x14ac:dyDescent="0.25">
      <c r="A29" s="364" t="s">
        <v>179</v>
      </c>
      <c r="B29" s="365">
        <f>Черн.!DZ29</f>
        <v>45076.006730000001</v>
      </c>
      <c r="C29" s="365">
        <f>Черн.!EA29</f>
        <v>30481.626810000002</v>
      </c>
      <c r="D29" s="373">
        <f t="shared" si="0"/>
        <v>67.622731074164079</v>
      </c>
      <c r="E29" s="365">
        <f>Черн.!EB29</f>
        <v>60910.295579999998</v>
      </c>
      <c r="F29" s="365">
        <f>Черн.!EC29</f>
        <v>3386.34501</v>
      </c>
      <c r="G29" s="411">
        <f t="shared" si="1"/>
        <v>5.5595609539480089</v>
      </c>
      <c r="H29" s="411">
        <f t="shared" si="2"/>
        <v>35.127976053525629</v>
      </c>
      <c r="I29" s="411">
        <f t="shared" si="3"/>
        <v>-88.890537138624595</v>
      </c>
      <c r="J29" s="412">
        <f t="shared" si="4"/>
        <v>-62.063170120216071</v>
      </c>
    </row>
    <row r="30" spans="1:10" x14ac:dyDescent="0.25">
      <c r="A30" s="364" t="s">
        <v>180</v>
      </c>
      <c r="B30" s="365">
        <f>Черн.!DZ30</f>
        <v>17858.494869999999</v>
      </c>
      <c r="C30" s="365">
        <f>Черн.!EA30</f>
        <v>5827.98146</v>
      </c>
      <c r="D30" s="365">
        <f t="shared" si="0"/>
        <v>32.63422535003366</v>
      </c>
      <c r="E30" s="365">
        <f>Черн.!EB30</f>
        <v>16547.207869999998</v>
      </c>
      <c r="F30" s="365">
        <f>Черн.!EC30</f>
        <v>5514.5313800000004</v>
      </c>
      <c r="G30" s="411">
        <f t="shared" si="1"/>
        <v>33.326053696332764</v>
      </c>
      <c r="H30" s="411">
        <f t="shared" si="2"/>
        <v>-7.3426512679004929</v>
      </c>
      <c r="I30" s="411">
        <f t="shared" si="3"/>
        <v>-5.3783643985717049</v>
      </c>
      <c r="J30" s="412">
        <f t="shared" si="4"/>
        <v>0.69182834629910417</v>
      </c>
    </row>
    <row r="31" spans="1:10" x14ac:dyDescent="0.25">
      <c r="A31" s="364" t="s">
        <v>181</v>
      </c>
      <c r="B31" s="365">
        <f>Черн.!DZ31</f>
        <v>18389.024829999998</v>
      </c>
      <c r="C31" s="365">
        <f>Черн.!EA31</f>
        <v>0</v>
      </c>
      <c r="D31" s="365">
        <f t="shared" si="0"/>
        <v>0</v>
      </c>
      <c r="E31" s="365">
        <f>Черн.!EB31</f>
        <v>14640.071669999999</v>
      </c>
      <c r="F31" s="365">
        <f>Черн.!EC31</f>
        <v>2911.4576200000001</v>
      </c>
      <c r="G31" s="411">
        <f t="shared" si="1"/>
        <v>19.886908244896592</v>
      </c>
      <c r="H31" s="411">
        <f t="shared" si="2"/>
        <v>-20.386905747627949</v>
      </c>
      <c r="I31" s="411"/>
      <c r="J31" s="412">
        <f t="shared" si="4"/>
        <v>19.886908244896592</v>
      </c>
    </row>
    <row r="32" spans="1:10" x14ac:dyDescent="0.25">
      <c r="A32" s="364" t="s">
        <v>182</v>
      </c>
      <c r="B32" s="365">
        <f>Черн.!DZ32</f>
        <v>384447.83676999999</v>
      </c>
      <c r="C32" s="365">
        <f>Черн.!EA32</f>
        <v>52878.190900000001</v>
      </c>
      <c r="D32" s="365">
        <f t="shared" si="0"/>
        <v>13.754321351958845</v>
      </c>
      <c r="E32" s="365">
        <f>Черн.!EB32</f>
        <v>83071.789189999996</v>
      </c>
      <c r="F32" s="365">
        <f>Черн.!EC32</f>
        <v>51419.226629999997</v>
      </c>
      <c r="G32" s="373">
        <f t="shared" si="1"/>
        <v>61.897338592762289</v>
      </c>
      <c r="H32" s="411">
        <f t="shared" si="2"/>
        <v>-78.391921804544168</v>
      </c>
      <c r="I32" s="411">
        <f t="shared" si="3"/>
        <v>-2.7591039806167146</v>
      </c>
      <c r="J32" s="374">
        <f t="shared" si="4"/>
        <v>48.143017240803445</v>
      </c>
    </row>
    <row r="33" spans="1:10" x14ac:dyDescent="0.25">
      <c r="A33" s="364" t="s">
        <v>183</v>
      </c>
      <c r="B33" s="365">
        <f>Черн.!DZ33</f>
        <v>6669.5854099999997</v>
      </c>
      <c r="C33" s="365">
        <f>Черн.!EA33</f>
        <v>0</v>
      </c>
      <c r="D33" s="365">
        <f t="shared" si="0"/>
        <v>0</v>
      </c>
      <c r="E33" s="365">
        <f>Черн.!EB33</f>
        <v>7381.52592</v>
      </c>
      <c r="F33" s="365">
        <f>Черн.!EC33</f>
        <v>0</v>
      </c>
      <c r="G33" s="365">
        <f t="shared" si="1"/>
        <v>0</v>
      </c>
      <c r="H33" s="365">
        <f t="shared" si="2"/>
        <v>10.674434259925022</v>
      </c>
      <c r="I33" s="365"/>
      <c r="J33" s="366">
        <f>G33-D33</f>
        <v>0</v>
      </c>
    </row>
    <row r="34" spans="1:10" s="363" customFormat="1" x14ac:dyDescent="0.25">
      <c r="A34" s="367" t="s">
        <v>184</v>
      </c>
      <c r="B34" s="368">
        <f>SUM(B8:B33)</f>
        <v>2700820.1580099999</v>
      </c>
      <c r="C34" s="368">
        <f t="shared" ref="C34:F34" si="5">SUM(C8:C33)</f>
        <v>963415.18112000008</v>
      </c>
      <c r="D34" s="368">
        <f t="shared" si="0"/>
        <v>35.67120817958709</v>
      </c>
      <c r="E34" s="368">
        <f t="shared" si="5"/>
        <v>2396334.2923099999</v>
      </c>
      <c r="F34" s="368">
        <f t="shared" si="5"/>
        <v>827653.43035000016</v>
      </c>
      <c r="G34" s="368">
        <f t="shared" si="1"/>
        <v>34.538312663888185</v>
      </c>
      <c r="H34" s="368">
        <f t="shared" si="2"/>
        <v>-11.273829721574245</v>
      </c>
      <c r="I34" s="368">
        <f t="shared" si="3"/>
        <v>-14.091718028791362</v>
      </c>
      <c r="J34" s="369">
        <f t="shared" si="4"/>
        <v>-1.1328955156989053</v>
      </c>
    </row>
    <row r="35" spans="1:10" x14ac:dyDescent="0.25">
      <c r="A35" s="364" t="s">
        <v>387</v>
      </c>
      <c r="B35" s="365">
        <f>Черн.!DZ35</f>
        <v>3509247.16041</v>
      </c>
      <c r="C35" s="365">
        <f>Черн.!EA35</f>
        <v>1978046.52538</v>
      </c>
      <c r="D35" s="365">
        <f t="shared" si="0"/>
        <v>56.366691628209416</v>
      </c>
      <c r="E35" s="365">
        <f>Черн.!EB35</f>
        <v>3843285.17875</v>
      </c>
      <c r="F35" s="365">
        <f>Черн.!EC35</f>
        <v>1753961.8476300002</v>
      </c>
      <c r="G35" s="365">
        <f t="shared" si="1"/>
        <v>45.637046590450083</v>
      </c>
      <c r="H35" s="365">
        <f t="shared" si="2"/>
        <v>9.5187942903677651</v>
      </c>
      <c r="I35" s="365">
        <f t="shared" si="3"/>
        <v>-11.328584786798743</v>
      </c>
      <c r="J35" s="366">
        <f t="shared" si="4"/>
        <v>-10.729645037759333</v>
      </c>
    </row>
    <row r="36" spans="1:10" s="363" customFormat="1" ht="13.8" thickBot="1" x14ac:dyDescent="0.3">
      <c r="A36" s="370" t="s">
        <v>328</v>
      </c>
      <c r="B36" s="371">
        <f>B34+B35</f>
        <v>6210067.3184200004</v>
      </c>
      <c r="C36" s="371">
        <f t="shared" ref="C36:F36" si="6">C34+C35</f>
        <v>2941461.7065000003</v>
      </c>
      <c r="D36" s="371">
        <f t="shared" si="0"/>
        <v>47.36601965288169</v>
      </c>
      <c r="E36" s="371">
        <f t="shared" si="6"/>
        <v>6239619.4710600004</v>
      </c>
      <c r="F36" s="371">
        <f t="shared" si="6"/>
        <v>2581615.2779800002</v>
      </c>
      <c r="G36" s="371">
        <f t="shared" si="1"/>
        <v>41.374562823162513</v>
      </c>
      <c r="H36" s="371">
        <f>E36/B36%-100</f>
        <v>0.47587491607932009</v>
      </c>
      <c r="I36" s="371">
        <f t="shared" si="3"/>
        <v>-12.233592153343906</v>
      </c>
      <c r="J36" s="372">
        <f t="shared" si="4"/>
        <v>-5.9914568297191764</v>
      </c>
    </row>
    <row r="37" spans="1:10" ht="13.8" hidden="1" thickTop="1" x14ac:dyDescent="0.25"/>
    <row r="38" spans="1:10" hidden="1" x14ac:dyDescent="0.25"/>
    <row r="39" spans="1:10" hidden="1" x14ac:dyDescent="0.25">
      <c r="B39" s="362">
        <f>B34/1000</f>
        <v>2700.8201580099999</v>
      </c>
      <c r="C39" s="362">
        <f t="shared" ref="C39:F39" si="7">C34/1000</f>
        <v>963.41518112000006</v>
      </c>
      <c r="E39" s="362">
        <f t="shared" si="7"/>
        <v>2396.3342923099999</v>
      </c>
      <c r="F39" s="362">
        <f t="shared" si="7"/>
        <v>827.65343035000012</v>
      </c>
    </row>
    <row r="40" spans="1:10" hidden="1" x14ac:dyDescent="0.25">
      <c r="B40" s="362">
        <f t="shared" ref="B40:F41" si="8">B35/1000</f>
        <v>3509.2471604100001</v>
      </c>
      <c r="C40" s="362">
        <f t="shared" si="8"/>
        <v>1978.04652538</v>
      </c>
      <c r="E40" s="362">
        <f t="shared" si="8"/>
        <v>3843.2851787499999</v>
      </c>
      <c r="F40" s="362">
        <f t="shared" si="8"/>
        <v>1753.9618476300002</v>
      </c>
    </row>
    <row r="41" spans="1:10" hidden="1" x14ac:dyDescent="0.25">
      <c r="B41" s="362">
        <f t="shared" si="8"/>
        <v>6210.0673184200004</v>
      </c>
      <c r="C41" s="362">
        <f t="shared" si="8"/>
        <v>2941.4617065000002</v>
      </c>
      <c r="E41" s="362">
        <f t="shared" si="8"/>
        <v>6239.6194710600003</v>
      </c>
      <c r="F41" s="362">
        <f t="shared" si="8"/>
        <v>2581.6152779800004</v>
      </c>
      <c r="G41" s="362">
        <f>C41/B41%</f>
        <v>47.36601965288169</v>
      </c>
      <c r="H41" s="362">
        <f>F41/E41%</f>
        <v>41.37456282316252</v>
      </c>
      <c r="I41" s="362">
        <f>H41-G41</f>
        <v>-5.9914568297191693</v>
      </c>
    </row>
    <row r="42" spans="1:10" hidden="1" x14ac:dyDescent="0.25"/>
    <row r="43" spans="1:10" hidden="1" x14ac:dyDescent="0.25">
      <c r="E43" s="362">
        <f>E39-B39</f>
        <v>-304.48586569999998</v>
      </c>
      <c r="F43" s="362">
        <f>F39-C39</f>
        <v>-135.76175076999994</v>
      </c>
    </row>
    <row r="44" spans="1:10" hidden="1" x14ac:dyDescent="0.25">
      <c r="E44" s="362">
        <f>E40-B40</f>
        <v>334.03801833999978</v>
      </c>
      <c r="F44" s="362">
        <f t="shared" ref="F44" si="9">F40-C40</f>
        <v>-224.08467774999986</v>
      </c>
    </row>
    <row r="45" spans="1:10" hidden="1" x14ac:dyDescent="0.25">
      <c r="E45" s="362">
        <f>E41-B41</f>
        <v>29.552152639999804</v>
      </c>
      <c r="F45" s="362">
        <f>F41-C41</f>
        <v>-359.84642851999979</v>
      </c>
    </row>
    <row r="46" spans="1:10" hidden="1" x14ac:dyDescent="0.25"/>
    <row r="47" spans="1:10" hidden="1" x14ac:dyDescent="0.25">
      <c r="E47" s="362">
        <f>E39/B39%-100</f>
        <v>-11.273829721574259</v>
      </c>
      <c r="F47" s="362">
        <f>F39/C39%-100</f>
        <v>-14.091718028791362</v>
      </c>
    </row>
    <row r="48" spans="1:10" hidden="1" x14ac:dyDescent="0.25">
      <c r="E48" s="362">
        <f t="shared" ref="E48:F49" si="10">E40/B40%-100</f>
        <v>9.5187942903677651</v>
      </c>
      <c r="F48" s="362">
        <f t="shared" si="10"/>
        <v>-11.328584786798743</v>
      </c>
    </row>
    <row r="49" spans="5:6" hidden="1" x14ac:dyDescent="0.25">
      <c r="E49" s="362">
        <f t="shared" si="10"/>
        <v>0.47587491607930588</v>
      </c>
      <c r="F49" s="362">
        <f t="shared" si="10"/>
        <v>-12.233592153343906</v>
      </c>
    </row>
    <row r="50" spans="5:6" ht="13.8" thickTop="1" x14ac:dyDescent="0.25"/>
  </sheetData>
  <autoFilter ref="A7:J36"/>
  <mergeCells count="13">
    <mergeCell ref="G5:G6"/>
    <mergeCell ref="H5:H6"/>
    <mergeCell ref="J5:J6"/>
    <mergeCell ref="H1:J1"/>
    <mergeCell ref="A2:J2"/>
    <mergeCell ref="I3:J3"/>
    <mergeCell ref="A4:A6"/>
    <mergeCell ref="B4:D4"/>
    <mergeCell ref="E4:G4"/>
    <mergeCell ref="H4:J4"/>
    <mergeCell ref="B5:B6"/>
    <mergeCell ref="D5:D6"/>
    <mergeCell ref="E5:E6"/>
  </mergeCells>
  <printOptions horizontalCentered="1"/>
  <pageMargins left="0.11811023622047245" right="0.11811023622047245" top="0.55118110236220474" bottom="0.35433070866141736" header="0.31496062992125984" footer="0.11811023622047245"/>
  <pageSetup paperSize="9"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54"/>
  <sheetViews>
    <sheetView zoomScale="115" zoomScaleNormal="115" workbookViewId="0">
      <pane xSplit="1" ySplit="7" topLeftCell="B35" activePane="bottomRight" state="frozen"/>
      <selection activeCell="A188" sqref="A188"/>
      <selection pane="topRight" activeCell="A188" sqref="A188"/>
      <selection pane="bottomLeft" activeCell="A188" sqref="A188"/>
      <selection pane="bottomRight" activeCell="F5" sqref="F5"/>
    </sheetView>
  </sheetViews>
  <sheetFormatPr defaultColWidth="9.109375" defaultRowHeight="13.2" x14ac:dyDescent="0.25"/>
  <cols>
    <col min="1" max="1" width="25.6640625" style="269" customWidth="1"/>
    <col min="2" max="2" width="11.33203125" style="270" bestFit="1" customWidth="1"/>
    <col min="3" max="3" width="9.6640625" style="270" bestFit="1" customWidth="1"/>
    <col min="4" max="4" width="9.109375" style="270"/>
    <col min="5" max="5" width="11.33203125" style="270" bestFit="1" customWidth="1"/>
    <col min="6" max="6" width="9.6640625" style="270" bestFit="1" customWidth="1"/>
    <col min="7" max="7" width="9.109375" style="270"/>
    <col min="8" max="8" width="8.5546875" style="270" customWidth="1"/>
    <col min="9" max="9" width="9.109375" style="270" customWidth="1"/>
    <col min="10" max="10" width="9.109375" style="270"/>
    <col min="11" max="12" width="0" style="270" hidden="1" customWidth="1"/>
    <col min="13" max="16384" width="9.109375" style="270"/>
  </cols>
  <sheetData>
    <row r="1" spans="1:12" s="269" customFormat="1" ht="27.75" customHeight="1" x14ac:dyDescent="0.25">
      <c r="H1" s="520" t="s">
        <v>381</v>
      </c>
      <c r="I1" s="520"/>
      <c r="J1" s="520"/>
    </row>
    <row r="2" spans="1:12" s="269" customFormat="1" ht="27.75" customHeight="1" x14ac:dyDescent="0.25">
      <c r="A2" s="521" t="s">
        <v>445</v>
      </c>
      <c r="B2" s="521"/>
      <c r="C2" s="521"/>
      <c r="D2" s="521"/>
      <c r="E2" s="521"/>
      <c r="F2" s="521"/>
      <c r="G2" s="521"/>
      <c r="H2" s="521"/>
      <c r="I2" s="521"/>
      <c r="J2" s="521"/>
    </row>
    <row r="3" spans="1:12" s="269" customFormat="1" ht="13.8" thickBot="1" x14ac:dyDescent="0.3">
      <c r="I3" s="528" t="s">
        <v>186</v>
      </c>
      <c r="J3" s="528"/>
    </row>
    <row r="4" spans="1:12" s="286" customFormat="1" ht="13.5" customHeight="1" thickTop="1" x14ac:dyDescent="0.25">
      <c r="A4" s="493" t="s">
        <v>187</v>
      </c>
      <c r="B4" s="522" t="s">
        <v>393</v>
      </c>
      <c r="C4" s="522"/>
      <c r="D4" s="522"/>
      <c r="E4" s="522" t="s">
        <v>444</v>
      </c>
      <c r="F4" s="522"/>
      <c r="G4" s="522"/>
      <c r="H4" s="522" t="s">
        <v>396</v>
      </c>
      <c r="I4" s="522"/>
      <c r="J4" s="523"/>
    </row>
    <row r="5" spans="1:12" s="286" customFormat="1" x14ac:dyDescent="0.25">
      <c r="A5" s="494"/>
      <c r="B5" s="524" t="s">
        <v>192</v>
      </c>
      <c r="C5" s="328" t="s">
        <v>9</v>
      </c>
      <c r="D5" s="524" t="s">
        <v>341</v>
      </c>
      <c r="E5" s="524" t="s">
        <v>192</v>
      </c>
      <c r="F5" s="328" t="s">
        <v>9</v>
      </c>
      <c r="G5" s="524" t="s">
        <v>341</v>
      </c>
      <c r="H5" s="524" t="s">
        <v>340</v>
      </c>
      <c r="I5" s="328" t="s">
        <v>9</v>
      </c>
      <c r="J5" s="525" t="s">
        <v>347</v>
      </c>
    </row>
    <row r="6" spans="1:12" s="286" customFormat="1" ht="53.25" customHeight="1" x14ac:dyDescent="0.25">
      <c r="A6" s="494"/>
      <c r="B6" s="524"/>
      <c r="C6" s="328" t="s">
        <v>336</v>
      </c>
      <c r="D6" s="524"/>
      <c r="E6" s="524"/>
      <c r="F6" s="328" t="s">
        <v>336</v>
      </c>
      <c r="G6" s="524"/>
      <c r="H6" s="524"/>
      <c r="I6" s="328" t="s">
        <v>346</v>
      </c>
      <c r="J6" s="525"/>
    </row>
    <row r="7" spans="1:12" s="225" customFormat="1" ht="10.199999999999999" x14ac:dyDescent="0.25">
      <c r="A7" s="203" t="s">
        <v>14</v>
      </c>
      <c r="B7" s="222">
        <v>1</v>
      </c>
      <c r="C7" s="222">
        <v>2</v>
      </c>
      <c r="D7" s="222" t="s">
        <v>342</v>
      </c>
      <c r="E7" s="222">
        <v>4</v>
      </c>
      <c r="F7" s="222">
        <v>5</v>
      </c>
      <c r="G7" s="222" t="s">
        <v>343</v>
      </c>
      <c r="H7" s="222" t="s">
        <v>344</v>
      </c>
      <c r="I7" s="222" t="s">
        <v>345</v>
      </c>
      <c r="J7" s="223" t="s">
        <v>228</v>
      </c>
    </row>
    <row r="8" spans="1:12" x14ac:dyDescent="0.25">
      <c r="A8" s="112" t="s">
        <v>158</v>
      </c>
      <c r="B8" s="267">
        <f>Черн.!DT8</f>
        <v>60482.169009999998</v>
      </c>
      <c r="C8" s="267">
        <f>Черн.!DU8</f>
        <v>26469.48013</v>
      </c>
      <c r="D8" s="258">
        <f>C8/B8%</f>
        <v>43.764105294609379</v>
      </c>
      <c r="E8" s="267">
        <f>Черн.!DV8</f>
        <v>73688.257320000004</v>
      </c>
      <c r="F8" s="267">
        <f>Черн.!DW8</f>
        <v>31904.061410000002</v>
      </c>
      <c r="G8" s="258">
        <f>F8/E8%</f>
        <v>43.295991207191712</v>
      </c>
      <c r="H8" s="267">
        <f>E8/B8%-100</f>
        <v>21.834680412695747</v>
      </c>
      <c r="I8" s="267">
        <f>F8/C8%-100</f>
        <v>20.53149987574011</v>
      </c>
      <c r="J8" s="288">
        <f>G8-D8</f>
        <v>-0.46811408741766769</v>
      </c>
      <c r="K8" s="270">
        <f t="shared" ref="K8:K15" si="0">E8/B8</f>
        <v>1.2183468041269574</v>
      </c>
      <c r="L8" s="270">
        <f>F8/C8</f>
        <v>1.205314998757401</v>
      </c>
    </row>
    <row r="9" spans="1:12" x14ac:dyDescent="0.25">
      <c r="A9" s="112" t="s">
        <v>159</v>
      </c>
      <c r="B9" s="267">
        <f>Черн.!DT9</f>
        <v>8178.4894800000002</v>
      </c>
      <c r="C9" s="267">
        <f>Черн.!DU9</f>
        <v>417.95200999999997</v>
      </c>
      <c r="D9" s="258">
        <f t="shared" ref="D9:D36" si="1">C9/B9%</f>
        <v>5.1103814588510046</v>
      </c>
      <c r="E9" s="267">
        <f>Черн.!DV9</f>
        <v>16447.443619999998</v>
      </c>
      <c r="F9" s="267">
        <f>Черн.!DW9</f>
        <v>0</v>
      </c>
      <c r="G9" s="258">
        <f t="shared" ref="G9:G33" si="2">F9/E9%</f>
        <v>0</v>
      </c>
      <c r="H9" s="267">
        <f t="shared" ref="H9:H33" si="3">E9/B9%-100</f>
        <v>101.10612919685502</v>
      </c>
      <c r="I9" s="267">
        <f t="shared" ref="I9:I32" si="4">F9/C9%-100</f>
        <v>-100</v>
      </c>
      <c r="J9" s="288">
        <f t="shared" ref="J9:J33" si="5">G9-D9</f>
        <v>-5.1103814588510046</v>
      </c>
      <c r="K9" s="270">
        <f t="shared" si="0"/>
        <v>2.0110612919685504</v>
      </c>
      <c r="L9" s="270">
        <f t="shared" ref="L9:L32" si="6">F9/C9</f>
        <v>0</v>
      </c>
    </row>
    <row r="10" spans="1:12" x14ac:dyDescent="0.25">
      <c r="A10" s="112" t="s">
        <v>160</v>
      </c>
      <c r="B10" s="267">
        <f>Черн.!DT10</f>
        <v>4733.0988399999997</v>
      </c>
      <c r="C10" s="267">
        <f>Черн.!DU10</f>
        <v>0</v>
      </c>
      <c r="D10" s="258">
        <f t="shared" si="1"/>
        <v>0</v>
      </c>
      <c r="E10" s="267">
        <f>Черн.!DV10</f>
        <v>4679.3574799999997</v>
      </c>
      <c r="F10" s="267">
        <f>Черн.!DW10</f>
        <v>46.649099999999997</v>
      </c>
      <c r="G10" s="258">
        <f t="shared" si="2"/>
        <v>0.99691250774027207</v>
      </c>
      <c r="H10" s="267">
        <f t="shared" si="3"/>
        <v>-1.1354370955836544</v>
      </c>
      <c r="I10" s="267"/>
      <c r="J10" s="288">
        <f t="shared" si="5"/>
        <v>0.99691250774027207</v>
      </c>
      <c r="K10" s="270">
        <f t="shared" si="0"/>
        <v>0.98864562904416342</v>
      </c>
      <c r="L10" s="270" t="e">
        <f t="shared" si="6"/>
        <v>#DIV/0!</v>
      </c>
    </row>
    <row r="11" spans="1:12" x14ac:dyDescent="0.25">
      <c r="A11" s="112" t="s">
        <v>161</v>
      </c>
      <c r="B11" s="267">
        <f>Черн.!DT11</f>
        <v>13687.797500000001</v>
      </c>
      <c r="C11" s="267">
        <f>Черн.!DU11</f>
        <v>3284.9434700000002</v>
      </c>
      <c r="D11" s="258">
        <f t="shared" si="1"/>
        <v>23.999065371912469</v>
      </c>
      <c r="E11" s="267">
        <f>Черн.!DV11</f>
        <v>20734.065549999999</v>
      </c>
      <c r="F11" s="267">
        <f>Черн.!DW11</f>
        <v>3644.0591199999999</v>
      </c>
      <c r="G11" s="258">
        <f t="shared" si="2"/>
        <v>17.575227160406079</v>
      </c>
      <c r="H11" s="267">
        <f t="shared" si="3"/>
        <v>51.478465034275985</v>
      </c>
      <c r="I11" s="267">
        <f t="shared" si="4"/>
        <v>10.932171383758984</v>
      </c>
      <c r="J11" s="288">
        <f t="shared" si="5"/>
        <v>-6.4238382115063892</v>
      </c>
      <c r="K11" s="270">
        <f t="shared" si="0"/>
        <v>1.5147846503427596</v>
      </c>
      <c r="L11" s="270">
        <f t="shared" si="6"/>
        <v>1.1093217138375899</v>
      </c>
    </row>
    <row r="12" spans="1:12" x14ac:dyDescent="0.25">
      <c r="A12" s="112" t="s">
        <v>162</v>
      </c>
      <c r="B12" s="267">
        <f>Черн.!DT12</f>
        <v>120447.02301999999</v>
      </c>
      <c r="C12" s="267">
        <f>Черн.!DU12</f>
        <v>8359.8310399999991</v>
      </c>
      <c r="D12" s="258">
        <f t="shared" si="1"/>
        <v>6.9406705374626538</v>
      </c>
      <c r="E12" s="267">
        <f>Черн.!DV12</f>
        <v>29263.017189999999</v>
      </c>
      <c r="F12" s="267">
        <f>Черн.!DW12</f>
        <v>12157.57006</v>
      </c>
      <c r="G12" s="258">
        <f t="shared" si="2"/>
        <v>41.54585284580493</v>
      </c>
      <c r="H12" s="267">
        <f t="shared" si="3"/>
        <v>-75.704657154423046</v>
      </c>
      <c r="I12" s="267">
        <f t="shared" si="4"/>
        <v>45.428418371479438</v>
      </c>
      <c r="J12" s="325">
        <f t="shared" si="5"/>
        <v>34.605182308342279</v>
      </c>
      <c r="K12" s="270">
        <f t="shared" si="0"/>
        <v>0.24295342845576956</v>
      </c>
      <c r="L12" s="270">
        <f t="shared" si="6"/>
        <v>1.4542841837147944</v>
      </c>
    </row>
    <row r="13" spans="1:12" x14ac:dyDescent="0.25">
      <c r="A13" s="112" t="s">
        <v>163</v>
      </c>
      <c r="B13" s="267">
        <f>Черн.!DT13</f>
        <v>30269.45004</v>
      </c>
      <c r="C13" s="267">
        <f>Черн.!DU13</f>
        <v>15909.975259999999</v>
      </c>
      <c r="D13" s="164">
        <f t="shared" si="1"/>
        <v>52.561163942442079</v>
      </c>
      <c r="E13" s="267">
        <f>Черн.!DV13</f>
        <v>35845.582620000001</v>
      </c>
      <c r="F13" s="267">
        <f>Черн.!DW13</f>
        <v>15849.365830000001</v>
      </c>
      <c r="G13" s="258">
        <f t="shared" si="2"/>
        <v>44.215673652230905</v>
      </c>
      <c r="H13" s="267">
        <f t="shared" si="3"/>
        <v>18.421651442729697</v>
      </c>
      <c r="I13" s="267">
        <f t="shared" si="4"/>
        <v>-0.38095238370596007</v>
      </c>
      <c r="J13" s="288">
        <f t="shared" si="5"/>
        <v>-8.3454902902111741</v>
      </c>
      <c r="K13" s="270">
        <f t="shared" si="0"/>
        <v>1.1842165144272969</v>
      </c>
      <c r="L13" s="270">
        <f t="shared" si="6"/>
        <v>0.99619047616294043</v>
      </c>
    </row>
    <row r="14" spans="1:12" x14ac:dyDescent="0.25">
      <c r="A14" s="112" t="s">
        <v>164</v>
      </c>
      <c r="B14" s="267">
        <f>Черн.!DT14</f>
        <v>56594.036139999997</v>
      </c>
      <c r="C14" s="267">
        <f>Черн.!DU14</f>
        <v>33649.094400000002</v>
      </c>
      <c r="D14" s="164">
        <f t="shared" si="1"/>
        <v>59.456961713704708</v>
      </c>
      <c r="E14" s="267">
        <f>Черн.!DV14</f>
        <v>65723.825209999995</v>
      </c>
      <c r="F14" s="267">
        <f>Черн.!DW14</f>
        <v>42579.575680000002</v>
      </c>
      <c r="G14" s="164">
        <f t="shared" si="2"/>
        <v>64.785601787403948</v>
      </c>
      <c r="H14" s="267">
        <f t="shared" si="3"/>
        <v>16.132069194384911</v>
      </c>
      <c r="I14" s="267">
        <f t="shared" si="4"/>
        <v>26.540034551420206</v>
      </c>
      <c r="J14" s="288">
        <f t="shared" si="5"/>
        <v>5.3286400736992405</v>
      </c>
      <c r="K14" s="270">
        <f t="shared" si="0"/>
        <v>1.161320691943849</v>
      </c>
      <c r="L14" s="270">
        <f t="shared" si="6"/>
        <v>1.265400345514202</v>
      </c>
    </row>
    <row r="15" spans="1:12" x14ac:dyDescent="0.25">
      <c r="A15" s="112" t="s">
        <v>165</v>
      </c>
      <c r="B15" s="267">
        <f>Черн.!DT15</f>
        <v>13738.57223</v>
      </c>
      <c r="C15" s="267">
        <f>Черн.!DU15</f>
        <v>5567.6757600000001</v>
      </c>
      <c r="D15" s="258">
        <f t="shared" si="1"/>
        <v>40.525868822396546</v>
      </c>
      <c r="E15" s="267">
        <f>Черн.!DV15</f>
        <v>13331.690850000001</v>
      </c>
      <c r="F15" s="267">
        <f>Черн.!DW15</f>
        <v>7612.9223400000001</v>
      </c>
      <c r="G15" s="164">
        <f t="shared" si="2"/>
        <v>57.103951971703573</v>
      </c>
      <c r="H15" s="267">
        <f t="shared" si="3"/>
        <v>-2.9615987250226681</v>
      </c>
      <c r="I15" s="267">
        <f t="shared" si="4"/>
        <v>36.734297544654424</v>
      </c>
      <c r="J15" s="325">
        <f t="shared" si="5"/>
        <v>16.578083149307027</v>
      </c>
      <c r="K15" s="270">
        <f t="shared" si="0"/>
        <v>0.97038401274977326</v>
      </c>
      <c r="L15" s="270">
        <f t="shared" si="6"/>
        <v>1.3673429754465443</v>
      </c>
    </row>
    <row r="16" spans="1:12" x14ac:dyDescent="0.25">
      <c r="A16" s="112" t="s">
        <v>166</v>
      </c>
      <c r="B16" s="267">
        <f>Черн.!DT16</f>
        <v>25046.990040000001</v>
      </c>
      <c r="C16" s="267">
        <f>Черн.!DU16</f>
        <v>19028.30759</v>
      </c>
      <c r="D16" s="164">
        <f t="shared" si="1"/>
        <v>75.970436206553472</v>
      </c>
      <c r="E16" s="267">
        <f>Черн.!DV16</f>
        <v>24494.05183</v>
      </c>
      <c r="F16" s="267">
        <f>Черн.!DW16</f>
        <v>16777.544010000001</v>
      </c>
      <c r="G16" s="164">
        <f t="shared" si="2"/>
        <v>68.496401193415778</v>
      </c>
      <c r="H16" s="267">
        <f t="shared" si="3"/>
        <v>-2.2076034250700758</v>
      </c>
      <c r="I16" s="267">
        <f t="shared" si="4"/>
        <v>-11.828501138918142</v>
      </c>
      <c r="J16" s="288">
        <f t="shared" si="5"/>
        <v>-7.4740350131376942</v>
      </c>
      <c r="K16" s="270">
        <f>E16/B16</f>
        <v>0.9779239657492993</v>
      </c>
      <c r="L16" s="270">
        <f t="shared" si="6"/>
        <v>0.88171498861081854</v>
      </c>
    </row>
    <row r="17" spans="1:12" x14ac:dyDescent="0.25">
      <c r="A17" s="112" t="s">
        <v>167</v>
      </c>
      <c r="B17" s="267">
        <f>Черн.!DT17</f>
        <v>6362.7908500000003</v>
      </c>
      <c r="C17" s="267">
        <f>Черн.!DU17</f>
        <v>1901.8915300000001</v>
      </c>
      <c r="D17" s="258">
        <f t="shared" si="1"/>
        <v>29.890838388943745</v>
      </c>
      <c r="E17" s="267">
        <f>Черн.!DV17</f>
        <v>8109.8684700000003</v>
      </c>
      <c r="F17" s="267">
        <f>Черн.!DW17</f>
        <v>1892.33716</v>
      </c>
      <c r="G17" s="258">
        <f t="shared" si="2"/>
        <v>23.333758950593683</v>
      </c>
      <c r="H17" s="267">
        <f t="shared" si="3"/>
        <v>27.457725095584436</v>
      </c>
      <c r="I17" s="267">
        <f t="shared" si="4"/>
        <v>-0.50236145696489132</v>
      </c>
      <c r="J17" s="288">
        <f t="shared" si="5"/>
        <v>-6.5570794383500619</v>
      </c>
      <c r="K17" s="270">
        <f t="shared" ref="K17:K33" si="7">E17/B17</f>
        <v>1.2745772509558444</v>
      </c>
      <c r="L17" s="270">
        <f t="shared" si="6"/>
        <v>0.99497638543035094</v>
      </c>
    </row>
    <row r="18" spans="1:12" x14ac:dyDescent="0.25">
      <c r="A18" s="112" t="s">
        <v>168</v>
      </c>
      <c r="B18" s="267">
        <f>Черн.!DT18</f>
        <v>21673.73717</v>
      </c>
      <c r="C18" s="267">
        <f>Черн.!DU18</f>
        <v>10091.221229999999</v>
      </c>
      <c r="D18" s="258">
        <f t="shared" si="1"/>
        <v>46.559673354200775</v>
      </c>
      <c r="E18" s="267">
        <f>Черн.!DV18</f>
        <v>34729.465949999998</v>
      </c>
      <c r="F18" s="267">
        <f>Черн.!DW18</f>
        <v>14412.410839999999</v>
      </c>
      <c r="G18" s="258">
        <f t="shared" si="2"/>
        <v>41.499085706499322</v>
      </c>
      <c r="H18" s="267">
        <f t="shared" si="3"/>
        <v>60.23755237777479</v>
      </c>
      <c r="I18" s="267">
        <f t="shared" si="4"/>
        <v>42.821275160964831</v>
      </c>
      <c r="J18" s="288">
        <f t="shared" si="5"/>
        <v>-5.0605876477014533</v>
      </c>
      <c r="K18" s="270">
        <f t="shared" si="7"/>
        <v>1.6023755237777482</v>
      </c>
      <c r="L18" s="270">
        <f t="shared" si="6"/>
        <v>1.4282127516096483</v>
      </c>
    </row>
    <row r="19" spans="1:12" x14ac:dyDescent="0.25">
      <c r="A19" s="112" t="s">
        <v>169</v>
      </c>
      <c r="B19" s="267">
        <f>Черн.!DT19</f>
        <v>17722.747039999998</v>
      </c>
      <c r="C19" s="267">
        <f>Черн.!DU19</f>
        <v>8471.2423299999991</v>
      </c>
      <c r="D19" s="258">
        <f t="shared" si="1"/>
        <v>47.798697972049823</v>
      </c>
      <c r="E19" s="267">
        <f>Черн.!DV19</f>
        <v>493222.33416000003</v>
      </c>
      <c r="F19" s="267">
        <f>Черн.!DW19</f>
        <v>8851.3270799999991</v>
      </c>
      <c r="G19" s="258">
        <f t="shared" si="2"/>
        <v>1.7945917017473609</v>
      </c>
      <c r="H19" s="267">
        <f t="shared" si="3"/>
        <v>2682.9903177357546</v>
      </c>
      <c r="I19" s="267">
        <f t="shared" si="4"/>
        <v>4.486765166119369</v>
      </c>
      <c r="J19" s="288">
        <f t="shared" si="5"/>
        <v>-46.004106270302465</v>
      </c>
      <c r="K19" s="270">
        <f t="shared" si="7"/>
        <v>27.829903177357547</v>
      </c>
      <c r="L19" s="270">
        <f t="shared" si="6"/>
        <v>1.0448676516611939</v>
      </c>
    </row>
    <row r="20" spans="1:12" x14ac:dyDescent="0.25">
      <c r="A20" s="112" t="s">
        <v>170</v>
      </c>
      <c r="B20" s="267">
        <f>Черн.!DT20</f>
        <v>54643.744440000002</v>
      </c>
      <c r="C20" s="267">
        <f>Черн.!DU20</f>
        <v>2186.9348300000001</v>
      </c>
      <c r="D20" s="258">
        <f t="shared" si="1"/>
        <v>4.0021686881309924</v>
      </c>
      <c r="E20" s="267">
        <f>Черн.!DV20</f>
        <v>42953.280789999997</v>
      </c>
      <c r="F20" s="267">
        <f>Черн.!DW20</f>
        <v>981.67340000000002</v>
      </c>
      <c r="G20" s="258">
        <f t="shared" si="2"/>
        <v>2.2854445154013581</v>
      </c>
      <c r="H20" s="267">
        <f t="shared" si="3"/>
        <v>-21.39396516436824</v>
      </c>
      <c r="I20" s="267">
        <f t="shared" si="4"/>
        <v>-55.111904271971383</v>
      </c>
      <c r="J20" s="288">
        <f t="shared" si="5"/>
        <v>-1.7167241727296343</v>
      </c>
      <c r="K20" s="270">
        <f t="shared" si="7"/>
        <v>0.78606034835631766</v>
      </c>
      <c r="L20" s="270">
        <f t="shared" si="6"/>
        <v>0.44888095728028621</v>
      </c>
    </row>
    <row r="21" spans="1:12" x14ac:dyDescent="0.25">
      <c r="A21" s="112" t="s">
        <v>171</v>
      </c>
      <c r="B21" s="267">
        <f>Черн.!DT21</f>
        <v>9994.8952599999993</v>
      </c>
      <c r="C21" s="267">
        <f>Черн.!DU21</f>
        <v>619.9</v>
      </c>
      <c r="D21" s="258">
        <f t="shared" si="1"/>
        <v>6.2021660445094051</v>
      </c>
      <c r="E21" s="267">
        <f>Черн.!DV21</f>
        <v>339401.77902000002</v>
      </c>
      <c r="F21" s="267">
        <f>Черн.!DW21</f>
        <v>1241.72918</v>
      </c>
      <c r="G21" s="258">
        <f t="shared" si="2"/>
        <v>0.36585818247193935</v>
      </c>
      <c r="H21" s="267">
        <f t="shared" si="3"/>
        <v>3295.7512329148713</v>
      </c>
      <c r="I21" s="267">
        <f t="shared" si="4"/>
        <v>100.31120825939669</v>
      </c>
      <c r="J21" s="288">
        <f t="shared" si="5"/>
        <v>-5.836307862037466</v>
      </c>
      <c r="K21" s="270">
        <f t="shared" si="7"/>
        <v>33.957512329148713</v>
      </c>
      <c r="L21" s="270">
        <f t="shared" si="6"/>
        <v>2.003112082593967</v>
      </c>
    </row>
    <row r="22" spans="1:12" x14ac:dyDescent="0.25">
      <c r="A22" s="112" t="s">
        <v>172</v>
      </c>
      <c r="B22" s="267">
        <f>Черн.!DT22</f>
        <v>122004.61497</v>
      </c>
      <c r="C22" s="267">
        <f>Черн.!DU22</f>
        <v>67968.822899999999</v>
      </c>
      <c r="D22" s="164">
        <f t="shared" si="1"/>
        <v>55.710042539549029</v>
      </c>
      <c r="E22" s="267">
        <f>Черн.!DV22</f>
        <v>121809.05928</v>
      </c>
      <c r="F22" s="267">
        <f>Черн.!DW22</f>
        <v>68156.855009999999</v>
      </c>
      <c r="G22" s="164">
        <f t="shared" si="2"/>
        <v>55.953847285963541</v>
      </c>
      <c r="H22" s="267">
        <f t="shared" si="3"/>
        <v>-0.16028548596139558</v>
      </c>
      <c r="I22" s="267">
        <f t="shared" si="4"/>
        <v>0.27664464673259204</v>
      </c>
      <c r="J22" s="288">
        <f t="shared" si="5"/>
        <v>0.24380474641451144</v>
      </c>
      <c r="K22" s="270">
        <f t="shared" si="7"/>
        <v>0.99839714514038602</v>
      </c>
      <c r="L22" s="270">
        <f t="shared" si="6"/>
        <v>1.0027664464673258</v>
      </c>
    </row>
    <row r="23" spans="1:12" x14ac:dyDescent="0.25">
      <c r="A23" s="112" t="s">
        <v>173</v>
      </c>
      <c r="B23" s="267">
        <f>Черн.!DT23</f>
        <v>46348.302369999998</v>
      </c>
      <c r="C23" s="267">
        <f>Черн.!DU23</f>
        <v>5827.5177000000003</v>
      </c>
      <c r="D23" s="258">
        <f t="shared" si="1"/>
        <v>12.573314235931962</v>
      </c>
      <c r="E23" s="267">
        <f>Черн.!DV23</f>
        <v>295659.61100999999</v>
      </c>
      <c r="F23" s="267">
        <f>Черн.!DW23</f>
        <v>5827.5177000000003</v>
      </c>
      <c r="G23" s="258">
        <f t="shared" si="2"/>
        <v>1.9710225823854237</v>
      </c>
      <c r="H23" s="267">
        <f t="shared" si="3"/>
        <v>537.90817762803852</v>
      </c>
      <c r="I23" s="267">
        <f t="shared" si="4"/>
        <v>0</v>
      </c>
      <c r="J23" s="288">
        <f t="shared" si="5"/>
        <v>-10.602291653546539</v>
      </c>
      <c r="K23" s="270">
        <f t="shared" si="7"/>
        <v>6.379081776280386</v>
      </c>
      <c r="L23" s="270">
        <f t="shared" si="6"/>
        <v>1</v>
      </c>
    </row>
    <row r="24" spans="1:12" x14ac:dyDescent="0.25">
      <c r="A24" s="112" t="s">
        <v>174</v>
      </c>
      <c r="B24" s="267">
        <f>Черн.!DT24</f>
        <v>35253.170140000002</v>
      </c>
      <c r="C24" s="267">
        <f>Черн.!DU24</f>
        <v>6142.9548999999997</v>
      </c>
      <c r="D24" s="258">
        <f t="shared" si="1"/>
        <v>17.425255304997087</v>
      </c>
      <c r="E24" s="267">
        <f>Черн.!DV24</f>
        <v>25259.551759999998</v>
      </c>
      <c r="F24" s="267">
        <f>Черн.!DW24</f>
        <v>5688.2005699999991</v>
      </c>
      <c r="G24" s="258">
        <f t="shared" si="2"/>
        <v>22.519008349972395</v>
      </c>
      <c r="H24" s="267">
        <f t="shared" si="3"/>
        <v>-28.348141004943969</v>
      </c>
      <c r="I24" s="267">
        <f t="shared" si="4"/>
        <v>-7.4028596563520352</v>
      </c>
      <c r="J24" s="288">
        <f t="shared" si="5"/>
        <v>5.0937530449753083</v>
      </c>
      <c r="K24" s="270">
        <f t="shared" si="7"/>
        <v>0.71651858995056028</v>
      </c>
      <c r="L24" s="270">
        <f t="shared" si="6"/>
        <v>0.92597140343647966</v>
      </c>
    </row>
    <row r="25" spans="1:12" x14ac:dyDescent="0.25">
      <c r="A25" s="112" t="s">
        <v>175</v>
      </c>
      <c r="B25" s="267">
        <f>Черн.!DT25</f>
        <v>10439.640220000001</v>
      </c>
      <c r="C25" s="267">
        <f>Черн.!DU25</f>
        <v>214.24440999999999</v>
      </c>
      <c r="D25" s="258">
        <f t="shared" si="1"/>
        <v>2.052220244042088</v>
      </c>
      <c r="E25" s="267">
        <f>Черн.!DV25</f>
        <v>18983.764910000002</v>
      </c>
      <c r="F25" s="267">
        <f>Черн.!DW25</f>
        <v>977.23559</v>
      </c>
      <c r="G25" s="258">
        <f t="shared" si="2"/>
        <v>5.1477438465603074</v>
      </c>
      <c r="H25" s="267">
        <f t="shared" si="3"/>
        <v>81.843095259464803</v>
      </c>
      <c r="I25" s="267">
        <f t="shared" si="4"/>
        <v>356.13119614182699</v>
      </c>
      <c r="J25" s="288">
        <f t="shared" si="5"/>
        <v>3.0955236025182193</v>
      </c>
      <c r="K25" s="270">
        <f t="shared" si="7"/>
        <v>1.8184309525946478</v>
      </c>
      <c r="L25" s="270">
        <f t="shared" si="6"/>
        <v>4.5613119614182702</v>
      </c>
    </row>
    <row r="26" spans="1:12" x14ac:dyDescent="0.25">
      <c r="A26" s="112" t="s">
        <v>176</v>
      </c>
      <c r="B26" s="267">
        <f>Черн.!DT26</f>
        <v>6594.2429400000001</v>
      </c>
      <c r="C26" s="267">
        <f>Черн.!DU26</f>
        <v>0</v>
      </c>
      <c r="D26" s="258">
        <f t="shared" si="1"/>
        <v>0</v>
      </c>
      <c r="E26" s="267">
        <f>Черн.!DV26</f>
        <v>6544.1723899999997</v>
      </c>
      <c r="F26" s="267">
        <f>Черн.!DW26</f>
        <v>0</v>
      </c>
      <c r="G26" s="258">
        <f t="shared" si="2"/>
        <v>0</v>
      </c>
      <c r="H26" s="267">
        <f t="shared" si="3"/>
        <v>-0.75930702668348715</v>
      </c>
      <c r="I26" s="267"/>
      <c r="J26" s="288">
        <f t="shared" si="5"/>
        <v>0</v>
      </c>
      <c r="K26" s="270">
        <f t="shared" si="7"/>
        <v>0.99240692973316502</v>
      </c>
    </row>
    <row r="27" spans="1:12" x14ac:dyDescent="0.25">
      <c r="A27" s="112" t="s">
        <v>177</v>
      </c>
      <c r="B27" s="267">
        <f>Черн.!DT27</f>
        <v>240389.07295</v>
      </c>
      <c r="C27" s="267">
        <f>Черн.!DU27</f>
        <v>333.33395999999999</v>
      </c>
      <c r="D27" s="258">
        <f t="shared" si="1"/>
        <v>0.13866435604139635</v>
      </c>
      <c r="E27" s="267">
        <f>Черн.!DV27</f>
        <v>401729.08919999999</v>
      </c>
      <c r="F27" s="267">
        <f>Черн.!DW27</f>
        <v>23683.877680000001</v>
      </c>
      <c r="G27" s="258">
        <f t="shared" si="2"/>
        <v>5.895484871947879</v>
      </c>
      <c r="H27" s="267">
        <f t="shared" si="3"/>
        <v>67.116202192583899</v>
      </c>
      <c r="I27" s="267">
        <f t="shared" si="4"/>
        <v>7005.1499463181017</v>
      </c>
      <c r="J27" s="288">
        <f t="shared" si="5"/>
        <v>5.7568205159064822</v>
      </c>
      <c r="K27" s="270">
        <f t="shared" si="7"/>
        <v>1.671162021925839</v>
      </c>
      <c r="L27" s="270">
        <f t="shared" si="6"/>
        <v>71.051499463181017</v>
      </c>
    </row>
    <row r="28" spans="1:12" x14ac:dyDescent="0.25">
      <c r="A28" s="112" t="s">
        <v>178</v>
      </c>
      <c r="B28" s="267">
        <f>Черн.!DT28</f>
        <v>207914.75416000001</v>
      </c>
      <c r="C28" s="267">
        <f>Черн.!DU28</f>
        <v>0</v>
      </c>
      <c r="D28" s="258">
        <f t="shared" si="1"/>
        <v>0</v>
      </c>
      <c r="E28" s="267">
        <f>Черн.!DV28</f>
        <v>293270.11988999997</v>
      </c>
      <c r="F28" s="267">
        <f>Черн.!DW28</f>
        <v>0</v>
      </c>
      <c r="G28" s="258">
        <f t="shared" si="2"/>
        <v>0</v>
      </c>
      <c r="H28" s="267">
        <f t="shared" si="3"/>
        <v>41.05305853586276</v>
      </c>
      <c r="I28" s="267"/>
      <c r="J28" s="288">
        <f t="shared" si="5"/>
        <v>0</v>
      </c>
      <c r="K28" s="270">
        <f t="shared" si="7"/>
        <v>1.4105305853586276</v>
      </c>
    </row>
    <row r="29" spans="1:12" x14ac:dyDescent="0.25">
      <c r="A29" s="112" t="s">
        <v>179</v>
      </c>
      <c r="B29" s="267">
        <f>Черн.!DT29</f>
        <v>217188.10826000001</v>
      </c>
      <c r="C29" s="267">
        <f>Черн.!DU29</f>
        <v>0</v>
      </c>
      <c r="D29" s="258">
        <f t="shared" si="1"/>
        <v>0</v>
      </c>
      <c r="E29" s="267">
        <f>Черн.!DV29</f>
        <v>213709.03067000001</v>
      </c>
      <c r="F29" s="267">
        <f>Черн.!DW29</f>
        <v>0</v>
      </c>
      <c r="G29" s="258">
        <f t="shared" si="2"/>
        <v>0</v>
      </c>
      <c r="H29" s="267">
        <f t="shared" si="3"/>
        <v>-1.6018729652707862</v>
      </c>
      <c r="I29" s="267"/>
      <c r="J29" s="288">
        <f t="shared" si="5"/>
        <v>0</v>
      </c>
      <c r="K29" s="270">
        <f t="shared" si="7"/>
        <v>0.9839812703472921</v>
      </c>
    </row>
    <row r="30" spans="1:12" x14ac:dyDescent="0.25">
      <c r="A30" s="112" t="s">
        <v>180</v>
      </c>
      <c r="B30" s="267">
        <f>Черн.!DT30</f>
        <v>42713.163549999997</v>
      </c>
      <c r="C30" s="267">
        <f>Черн.!DU30</f>
        <v>19132.06381</v>
      </c>
      <c r="D30" s="258">
        <f t="shared" si="1"/>
        <v>44.79196158721426</v>
      </c>
      <c r="E30" s="267">
        <f>Черн.!DV30</f>
        <v>41902.615169999997</v>
      </c>
      <c r="F30" s="267">
        <f>Черн.!DW30</f>
        <v>19132.06381</v>
      </c>
      <c r="G30" s="258">
        <f t="shared" si="2"/>
        <v>45.658400394296919</v>
      </c>
      <c r="H30" s="267">
        <f t="shared" si="3"/>
        <v>-1.8976547570661069</v>
      </c>
      <c r="I30" s="267">
        <f t="shared" si="4"/>
        <v>0</v>
      </c>
      <c r="J30" s="288">
        <f t="shared" si="5"/>
        <v>0.86643880708265897</v>
      </c>
      <c r="K30" s="270">
        <f t="shared" si="7"/>
        <v>0.98102345242933897</v>
      </c>
      <c r="L30" s="270">
        <f t="shared" si="6"/>
        <v>1</v>
      </c>
    </row>
    <row r="31" spans="1:12" x14ac:dyDescent="0.25">
      <c r="A31" s="112" t="s">
        <v>181</v>
      </c>
      <c r="B31" s="267">
        <f>Черн.!DT31</f>
        <v>22394.991300000002</v>
      </c>
      <c r="C31" s="267">
        <f>Черн.!DU31</f>
        <v>0</v>
      </c>
      <c r="D31" s="258">
        <f t="shared" si="1"/>
        <v>0</v>
      </c>
      <c r="E31" s="267">
        <f>Черн.!DV31</f>
        <v>21738.59174</v>
      </c>
      <c r="F31" s="267">
        <f>Черн.!DW31</f>
        <v>0</v>
      </c>
      <c r="G31" s="258">
        <f t="shared" si="2"/>
        <v>0</v>
      </c>
      <c r="H31" s="267">
        <f t="shared" si="3"/>
        <v>-2.9310105603836547</v>
      </c>
      <c r="I31" s="267"/>
      <c r="J31" s="288">
        <f t="shared" si="5"/>
        <v>0</v>
      </c>
      <c r="K31" s="270">
        <f t="shared" si="7"/>
        <v>0.97068989439616338</v>
      </c>
      <c r="L31" s="270" t="e">
        <f t="shared" si="6"/>
        <v>#DIV/0!</v>
      </c>
    </row>
    <row r="32" spans="1:12" x14ac:dyDescent="0.25">
      <c r="A32" s="112" t="s">
        <v>182</v>
      </c>
      <c r="B32" s="267">
        <f>Черн.!DT32</f>
        <v>71500.924169999998</v>
      </c>
      <c r="C32" s="267">
        <f>Черн.!DU32</f>
        <v>29419.466639999999</v>
      </c>
      <c r="D32" s="258">
        <f t="shared" si="1"/>
        <v>41.145575363547081</v>
      </c>
      <c r="E32" s="267">
        <f>Черн.!DV32</f>
        <v>50125.374470000002</v>
      </c>
      <c r="F32" s="267">
        <f>Черн.!DW32</f>
        <v>22800.64561</v>
      </c>
      <c r="G32" s="258">
        <f t="shared" si="2"/>
        <v>45.487232466754271</v>
      </c>
      <c r="H32" s="267">
        <f t="shared" si="3"/>
        <v>-29.895487293531573</v>
      </c>
      <c r="I32" s="267">
        <f t="shared" si="4"/>
        <v>-22.498100019939713</v>
      </c>
      <c r="J32" s="288">
        <f t="shared" si="5"/>
        <v>4.34165710320719</v>
      </c>
      <c r="K32" s="270">
        <f t="shared" si="7"/>
        <v>0.70104512706468425</v>
      </c>
      <c r="L32" s="270">
        <f t="shared" si="6"/>
        <v>0.77501899980060285</v>
      </c>
    </row>
    <row r="33" spans="1:12" x14ac:dyDescent="0.25">
      <c r="A33" s="112" t="s">
        <v>183</v>
      </c>
      <c r="B33" s="267">
        <f>Черн.!DT33</f>
        <v>129.00431</v>
      </c>
      <c r="C33" s="267">
        <f>Черн.!DU33</f>
        <v>0</v>
      </c>
      <c r="D33" s="258">
        <f t="shared" si="1"/>
        <v>0</v>
      </c>
      <c r="E33" s="267">
        <f>Черн.!DV33</f>
        <v>92.862480000000005</v>
      </c>
      <c r="F33" s="267">
        <f>Черн.!DW33</f>
        <v>0</v>
      </c>
      <c r="G33" s="258">
        <f t="shared" si="2"/>
        <v>0</v>
      </c>
      <c r="H33" s="267">
        <f t="shared" si="3"/>
        <v>-28.015986442623515</v>
      </c>
      <c r="I33" s="267"/>
      <c r="J33" s="288">
        <f t="shared" si="5"/>
        <v>0</v>
      </c>
      <c r="K33" s="270">
        <f t="shared" si="7"/>
        <v>0.71984013557376492</v>
      </c>
    </row>
    <row r="34" spans="1:12" s="287" customFormat="1" x14ac:dyDescent="0.25">
      <c r="A34" s="274" t="s">
        <v>184</v>
      </c>
      <c r="B34" s="275">
        <f>SUM(B8:B33)</f>
        <v>1466445.5303999998</v>
      </c>
      <c r="C34" s="275">
        <f>SUM(C8:C33)</f>
        <v>264996.85389999999</v>
      </c>
      <c r="D34" s="275">
        <f t="shared" si="1"/>
        <v>18.070691915008755</v>
      </c>
      <c r="E34" s="275">
        <f>SUM(E8:E33)</f>
        <v>2693447.8630300001</v>
      </c>
      <c r="F34" s="275">
        <f>SUM(F8:F33)</f>
        <v>304217.62117999996</v>
      </c>
      <c r="G34" s="275">
        <f t="shared" ref="G34" si="8">F34/E34%</f>
        <v>11.294728416898691</v>
      </c>
      <c r="H34" s="275">
        <f t="shared" ref="H34:H35" si="9">E34/B34%-100</f>
        <v>83.671865554754902</v>
      </c>
      <c r="I34" s="275">
        <f t="shared" ref="I34" si="10">F34/C34%-100</f>
        <v>14.800465251863116</v>
      </c>
      <c r="J34" s="276">
        <f t="shared" ref="J34:J35" si="11">G34-D34</f>
        <v>-6.7759634981100643</v>
      </c>
      <c r="K34" s="287">
        <f t="shared" ref="K34" si="12">E34/B34</f>
        <v>1.836718655547549</v>
      </c>
      <c r="L34" s="287">
        <f t="shared" ref="L34" si="13">F34/C34</f>
        <v>1.1480046525186312</v>
      </c>
    </row>
    <row r="35" spans="1:12" s="264" customFormat="1" x14ac:dyDescent="0.25">
      <c r="A35" s="266" t="s">
        <v>387</v>
      </c>
      <c r="B35" s="48">
        <f>3600322900.62/1000</f>
        <v>3600322.90062</v>
      </c>
      <c r="C35" s="206">
        <f>C36-C34</f>
        <v>0</v>
      </c>
      <c r="D35" s="206">
        <f t="shared" si="1"/>
        <v>0</v>
      </c>
      <c r="E35" s="206">
        <f>7361374387.69/1000</f>
        <v>7361374.3876899993</v>
      </c>
      <c r="F35" s="206">
        <f>1369730.4/1000</f>
        <v>1369.7303999999999</v>
      </c>
      <c r="G35" s="206">
        <f t="shared" ref="G35" si="14">F35/E35%</f>
        <v>1.8606992768775907E-2</v>
      </c>
      <c r="H35" s="206">
        <f t="shared" si="9"/>
        <v>104.46428253483376</v>
      </c>
      <c r="I35" s="206"/>
      <c r="J35" s="207">
        <f t="shared" si="11"/>
        <v>1.8606992768775907E-2</v>
      </c>
    </row>
    <row r="36" spans="1:12" s="287" customFormat="1" ht="13.8" thickBot="1" x14ac:dyDescent="0.3">
      <c r="A36" s="277" t="s">
        <v>328</v>
      </c>
      <c r="B36" s="278">
        <f>4894404470.39/1000</f>
        <v>4894404.4703900004</v>
      </c>
      <c r="C36" s="278">
        <f>264996853.9/1000</f>
        <v>264996.85389999999</v>
      </c>
      <c r="D36" s="278">
        <f t="shared" si="1"/>
        <v>5.4142818703106537</v>
      </c>
      <c r="E36" s="278">
        <f>9461864333.13/1000</f>
        <v>9461864.3331299983</v>
      </c>
      <c r="F36" s="278">
        <f>F34+F35</f>
        <v>305587.35157999996</v>
      </c>
      <c r="G36" s="278">
        <f t="shared" ref="G36" si="15">F36/E36%</f>
        <v>3.2296737812019676</v>
      </c>
      <c r="H36" s="278">
        <f>E36/B36%-100</f>
        <v>93.320032914567207</v>
      </c>
      <c r="I36" s="278">
        <f t="shared" ref="I36" si="16">F36/C36%-100</f>
        <v>15.317350784593586</v>
      </c>
      <c r="J36" s="279">
        <f t="shared" ref="J36" si="17">G36-D36</f>
        <v>-2.1846080891086861</v>
      </c>
      <c r="K36" s="287">
        <f t="shared" ref="K36" si="18">E36/B36</f>
        <v>1.9332003291456723</v>
      </c>
      <c r="L36" s="287">
        <f t="shared" ref="L36" si="19">F36/C36</f>
        <v>1.153173507845936</v>
      </c>
    </row>
    <row r="37" spans="1:12" ht="13.8" hidden="1" thickTop="1" x14ac:dyDescent="0.25"/>
    <row r="38" spans="1:12" hidden="1" x14ac:dyDescent="0.25"/>
    <row r="39" spans="1:12" hidden="1" x14ac:dyDescent="0.25">
      <c r="A39" s="269" t="s">
        <v>388</v>
      </c>
      <c r="B39" s="270">
        <f>B34+B35-B36</f>
        <v>172363.96062999964</v>
      </c>
      <c r="C39" s="270">
        <f>C34+C35-C36</f>
        <v>0</v>
      </c>
      <c r="E39" s="270">
        <f>E34+E35-E36</f>
        <v>592957.9175900016</v>
      </c>
      <c r="F39" s="270">
        <f>F34+F35-F36</f>
        <v>0</v>
      </c>
    </row>
    <row r="40" spans="1:12" hidden="1" x14ac:dyDescent="0.25"/>
    <row r="41" spans="1:12" hidden="1" x14ac:dyDescent="0.25">
      <c r="E41" s="270">
        <f>E34/1000</f>
        <v>2693.44786303</v>
      </c>
      <c r="F41" s="270">
        <f>F34/1000</f>
        <v>304.21762117999998</v>
      </c>
    </row>
    <row r="42" spans="1:12" hidden="1" x14ac:dyDescent="0.25">
      <c r="E42" s="270">
        <f t="shared" ref="E42:F43" si="20">E35/1000</f>
        <v>7361.3743876899989</v>
      </c>
      <c r="F42" s="270">
        <f t="shared" si="20"/>
        <v>1.3697303999999999</v>
      </c>
    </row>
    <row r="43" spans="1:12" hidden="1" x14ac:dyDescent="0.25">
      <c r="E43" s="270">
        <f>E36/1000</f>
        <v>9461.8643331299991</v>
      </c>
      <c r="F43" s="270">
        <f t="shared" si="20"/>
        <v>305.58735157999996</v>
      </c>
    </row>
    <row r="44" spans="1:12" hidden="1" x14ac:dyDescent="0.25"/>
    <row r="45" spans="1:12" hidden="1" x14ac:dyDescent="0.25">
      <c r="E45" s="270">
        <f t="shared" ref="E45:F46" si="21">(E34-B34)/1000</f>
        <v>1227.0023326300004</v>
      </c>
      <c r="F45" s="270">
        <f>(F34-C34)/1000</f>
        <v>39.220767279999968</v>
      </c>
    </row>
    <row r="46" spans="1:12" hidden="1" x14ac:dyDescent="0.25">
      <c r="E46" s="270">
        <f t="shared" si="21"/>
        <v>3761.0514870699994</v>
      </c>
      <c r="F46" s="270">
        <f t="shared" si="21"/>
        <v>1.3697303999999999</v>
      </c>
    </row>
    <row r="47" spans="1:12" hidden="1" x14ac:dyDescent="0.25">
      <c r="E47" s="270">
        <f>(E36-B36)/1000</f>
        <v>4567.4598627399982</v>
      </c>
      <c r="F47" s="270">
        <f>(F36-C36)/1000</f>
        <v>40.59049767999997</v>
      </c>
    </row>
    <row r="48" spans="1:12" hidden="1" x14ac:dyDescent="0.25"/>
    <row r="49" spans="5:6" hidden="1" x14ac:dyDescent="0.25">
      <c r="E49" s="270">
        <f t="shared" ref="E49:F50" si="22">E34/B34%-100</f>
        <v>83.671865554754902</v>
      </c>
      <c r="F49" s="270">
        <f t="shared" si="22"/>
        <v>14.800465251863116</v>
      </c>
    </row>
    <row r="50" spans="5:6" hidden="1" x14ac:dyDescent="0.25">
      <c r="E50" s="270">
        <f t="shared" si="22"/>
        <v>104.46428253483376</v>
      </c>
      <c r="F50" s="270" t="e">
        <f t="shared" si="22"/>
        <v>#DIV/0!</v>
      </c>
    </row>
    <row r="51" spans="5:6" hidden="1" x14ac:dyDescent="0.25">
      <c r="E51" s="270">
        <f>E36/B36%-100</f>
        <v>93.320032914567207</v>
      </c>
      <c r="F51" s="270">
        <f>F36/C36%-100</f>
        <v>15.317350784593586</v>
      </c>
    </row>
    <row r="52" spans="5:6" hidden="1" x14ac:dyDescent="0.25"/>
    <row r="53" spans="5:6" hidden="1" x14ac:dyDescent="0.25"/>
    <row r="54" spans="5:6" ht="13.8" thickTop="1" x14ac:dyDescent="0.25"/>
  </sheetData>
  <autoFilter ref="A7:J39"/>
  <mergeCells count="13">
    <mergeCell ref="H5:H6"/>
    <mergeCell ref="J5:J6"/>
    <mergeCell ref="A2:J2"/>
    <mergeCell ref="H1:J1"/>
    <mergeCell ref="A4:A6"/>
    <mergeCell ref="B5:B6"/>
    <mergeCell ref="B4:D4"/>
    <mergeCell ref="D5:D6"/>
    <mergeCell ref="E4:G4"/>
    <mergeCell ref="E5:E6"/>
    <mergeCell ref="G5:G6"/>
    <mergeCell ref="H4:J4"/>
    <mergeCell ref="I3:J3"/>
  </mergeCells>
  <conditionalFormatting sqref="B8:J36">
    <cfRule type="cellIs" dxfId="4" priority="1" operator="equal">
      <formula>0</formula>
    </cfRule>
  </conditionalFormatting>
  <printOptions horizontalCentered="1"/>
  <pageMargins left="0" right="0" top="0.74803149606299213" bottom="0.35433070866141736" header="0.31496062992125984" footer="0.11811023622047245"/>
  <pageSetup paperSize="9"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R59"/>
  <sheetViews>
    <sheetView zoomScaleNormal="100" zoomScaleSheetLayoutView="85" workbookViewId="0">
      <pane xSplit="1" ySplit="8" topLeftCell="B9" activePane="bottomRight" state="frozen"/>
      <selection activeCell="A188" sqref="A188"/>
      <selection pane="topRight" activeCell="A188" sqref="A188"/>
      <selection pane="bottomLeft" activeCell="A188" sqref="A188"/>
      <selection pane="bottomRight" activeCell="C6" sqref="C6:C7"/>
    </sheetView>
  </sheetViews>
  <sheetFormatPr defaultColWidth="8.88671875" defaultRowHeight="13.2" x14ac:dyDescent="0.25"/>
  <cols>
    <col min="1" max="1" width="66.44140625" style="418" customWidth="1"/>
    <col min="2" max="4" width="11.6640625" style="418" bestFit="1" customWidth="1"/>
    <col min="5" max="5" width="8.88671875" style="418"/>
    <col min="6" max="6" width="10.44140625" style="418" customWidth="1"/>
    <col min="7" max="8" width="0" style="419" hidden="1" customWidth="1"/>
    <col min="9" max="9" width="8.88671875" style="420"/>
    <col min="10" max="16384" width="8.88671875" style="418"/>
  </cols>
  <sheetData>
    <row r="1" spans="1:8" x14ac:dyDescent="0.25">
      <c r="F1" s="441" t="s">
        <v>380</v>
      </c>
    </row>
    <row r="3" spans="1:8" ht="13.95" customHeight="1" x14ac:dyDescent="0.25">
      <c r="A3" s="529" t="s">
        <v>467</v>
      </c>
      <c r="B3" s="529"/>
      <c r="C3" s="529"/>
      <c r="D3" s="529"/>
      <c r="E3" s="529"/>
      <c r="F3" s="529"/>
    </row>
    <row r="4" spans="1:8" ht="13.95" customHeight="1" x14ac:dyDescent="0.25">
      <c r="A4" s="421"/>
      <c r="B4" s="421"/>
      <c r="C4" s="421"/>
      <c r="D4" s="421"/>
      <c r="E4" s="421"/>
      <c r="F4" s="421"/>
    </row>
    <row r="5" spans="1:8" x14ac:dyDescent="0.25">
      <c r="A5" s="422"/>
      <c r="F5" s="423" t="s">
        <v>386</v>
      </c>
    </row>
    <row r="6" spans="1:8" ht="27" customHeight="1" x14ac:dyDescent="0.25">
      <c r="A6" s="530" t="s">
        <v>323</v>
      </c>
      <c r="B6" s="532" t="s">
        <v>493</v>
      </c>
      <c r="C6" s="532" t="s">
        <v>494</v>
      </c>
      <c r="D6" s="532" t="s">
        <v>447</v>
      </c>
      <c r="E6" s="532" t="s">
        <v>495</v>
      </c>
      <c r="F6" s="534"/>
    </row>
    <row r="7" spans="1:8" ht="79.2" x14ac:dyDescent="0.25">
      <c r="A7" s="531"/>
      <c r="B7" s="533"/>
      <c r="C7" s="533"/>
      <c r="D7" s="533"/>
      <c r="E7" s="424" t="s">
        <v>496</v>
      </c>
      <c r="F7" s="425" t="s">
        <v>497</v>
      </c>
    </row>
    <row r="8" spans="1:8" x14ac:dyDescent="0.25">
      <c r="A8" s="426" t="s">
        <v>14</v>
      </c>
      <c r="B8" s="427">
        <v>1</v>
      </c>
      <c r="C8" s="427">
        <v>2</v>
      </c>
      <c r="D8" s="427">
        <v>3</v>
      </c>
      <c r="E8" s="427">
        <v>4</v>
      </c>
      <c r="F8" s="428">
        <v>5</v>
      </c>
    </row>
    <row r="9" spans="1:8" x14ac:dyDescent="0.25">
      <c r="A9" s="429" t="s">
        <v>498</v>
      </c>
      <c r="B9" s="430">
        <f>SUM(B11:B33)</f>
        <v>73026.617699999988</v>
      </c>
      <c r="C9" s="430">
        <f t="shared" ref="C9:D9" si="0">SUM(C11:C33)</f>
        <v>36245.6895</v>
      </c>
      <c r="D9" s="430">
        <f t="shared" si="0"/>
        <v>35421.022000000004</v>
      </c>
      <c r="E9" s="430">
        <f t="shared" ref="E9" si="1">D9/B9*100</f>
        <v>48.504262028830084</v>
      </c>
      <c r="F9" s="431">
        <f t="shared" ref="F9" si="2">D9/C9*100</f>
        <v>97.724784625769104</v>
      </c>
      <c r="G9" s="419" t="e">
        <f>B9-#REF!</f>
        <v>#REF!</v>
      </c>
      <c r="H9" s="419" t="e">
        <f>D9-#REF!</f>
        <v>#REF!</v>
      </c>
    </row>
    <row r="10" spans="1:8" x14ac:dyDescent="0.25">
      <c r="A10" s="432" t="s">
        <v>499</v>
      </c>
      <c r="B10" s="433"/>
      <c r="C10" s="433"/>
      <c r="D10" s="433"/>
      <c r="E10" s="433"/>
      <c r="F10" s="434"/>
    </row>
    <row r="11" spans="1:8" ht="26.4" x14ac:dyDescent="0.25">
      <c r="A11" s="432" t="s">
        <v>500</v>
      </c>
      <c r="B11" s="433">
        <v>14960.7878</v>
      </c>
      <c r="C11" s="433">
        <v>7139.7416000000003</v>
      </c>
      <c r="D11" s="433">
        <v>7074.2259999999997</v>
      </c>
      <c r="E11" s="433">
        <f>D11/B11*100</f>
        <v>47.285116897386914</v>
      </c>
      <c r="F11" s="434">
        <f>D11/C11*100</f>
        <v>99.082381356770668</v>
      </c>
      <c r="G11" s="419" t="e">
        <f>B11-#REF!</f>
        <v>#REF!</v>
      </c>
      <c r="H11" s="419" t="e">
        <f>D11-#REF!</f>
        <v>#REF!</v>
      </c>
    </row>
    <row r="12" spans="1:8" ht="26.4" x14ac:dyDescent="0.25">
      <c r="A12" s="432" t="s">
        <v>501</v>
      </c>
      <c r="B12" s="433">
        <v>20595.045999999998</v>
      </c>
      <c r="C12" s="433">
        <v>11514.2238</v>
      </c>
      <c r="D12" s="433">
        <v>11286.892099999999</v>
      </c>
      <c r="E12" s="433">
        <f t="shared" ref="E12:E43" si="3">D12/B12*100</f>
        <v>54.803917893652674</v>
      </c>
      <c r="F12" s="434">
        <f t="shared" ref="F12:F43" si="4">D12/C12*100</f>
        <v>98.025644594471046</v>
      </c>
      <c r="G12" s="419" t="e">
        <f>B12-#REF!</f>
        <v>#REF!</v>
      </c>
      <c r="H12" s="419" t="e">
        <f>D12-#REF!</f>
        <v>#REF!</v>
      </c>
    </row>
    <row r="13" spans="1:8" ht="26.4" x14ac:dyDescent="0.25">
      <c r="A13" s="432" t="s">
        <v>502</v>
      </c>
      <c r="B13" s="433">
        <v>11612.8038</v>
      </c>
      <c r="C13" s="433">
        <v>6033.4168</v>
      </c>
      <c r="D13" s="433">
        <v>5869.2696999999998</v>
      </c>
      <c r="E13" s="433">
        <f t="shared" si="3"/>
        <v>50.541366246108453</v>
      </c>
      <c r="F13" s="434">
        <f t="shared" si="4"/>
        <v>97.279367472175963</v>
      </c>
      <c r="G13" s="419" t="e">
        <f>B13-#REF!</f>
        <v>#REF!</v>
      </c>
      <c r="H13" s="419" t="e">
        <f>D13-#REF!</f>
        <v>#REF!</v>
      </c>
    </row>
    <row r="14" spans="1:8" ht="26.4" x14ac:dyDescent="0.25">
      <c r="A14" s="432" t="s">
        <v>503</v>
      </c>
      <c r="B14" s="433">
        <v>1841.9386</v>
      </c>
      <c r="C14" s="433">
        <v>1067.0112999999999</v>
      </c>
      <c r="D14" s="433">
        <v>1027.9027000000001</v>
      </c>
      <c r="E14" s="433">
        <f t="shared" si="3"/>
        <v>55.805481246769041</v>
      </c>
      <c r="F14" s="434">
        <f t="shared" si="4"/>
        <v>96.334752968408139</v>
      </c>
      <c r="G14" s="419" t="e">
        <f>B14-#REF!</f>
        <v>#REF!</v>
      </c>
      <c r="H14" s="419" t="e">
        <f>D14-#REF!</f>
        <v>#REF!</v>
      </c>
    </row>
    <row r="15" spans="1:8" ht="39.6" x14ac:dyDescent="0.25">
      <c r="A15" s="432" t="s">
        <v>504</v>
      </c>
      <c r="B15" s="433">
        <v>957.14269999999999</v>
      </c>
      <c r="C15" s="433">
        <v>391.9744</v>
      </c>
      <c r="D15" s="433">
        <v>387.8519</v>
      </c>
      <c r="E15" s="433">
        <f t="shared" si="3"/>
        <v>40.521846951348003</v>
      </c>
      <c r="F15" s="434">
        <f t="shared" si="4"/>
        <v>98.948273152532408</v>
      </c>
      <c r="G15" s="419" t="e">
        <f>B15-#REF!</f>
        <v>#REF!</v>
      </c>
      <c r="H15" s="419" t="e">
        <f>D15-#REF!</f>
        <v>#REF!</v>
      </c>
    </row>
    <row r="16" spans="1:8" ht="39.6" x14ac:dyDescent="0.25">
      <c r="A16" s="432" t="s">
        <v>505</v>
      </c>
      <c r="B16" s="433">
        <v>573.30079999999998</v>
      </c>
      <c r="C16" s="433">
        <v>74.308599999999998</v>
      </c>
      <c r="D16" s="433">
        <v>62.104399999999998</v>
      </c>
      <c r="E16" s="433">
        <f t="shared" si="3"/>
        <v>10.832777487838845</v>
      </c>
      <c r="F16" s="434">
        <f t="shared" si="4"/>
        <v>83.576328984801222</v>
      </c>
      <c r="G16" s="419" t="e">
        <f>B16-#REF!</f>
        <v>#REF!</v>
      </c>
      <c r="H16" s="419" t="e">
        <f>D16-#REF!</f>
        <v>#REF!</v>
      </c>
    </row>
    <row r="17" spans="1:8" ht="39.6" x14ac:dyDescent="0.25">
      <c r="A17" s="432" t="s">
        <v>506</v>
      </c>
      <c r="B17" s="433">
        <v>862.43539999999996</v>
      </c>
      <c r="C17" s="433">
        <v>380.29660000000001</v>
      </c>
      <c r="D17" s="433">
        <v>346.08120000000002</v>
      </c>
      <c r="E17" s="433">
        <f t="shared" si="3"/>
        <v>40.128362077901727</v>
      </c>
      <c r="F17" s="434">
        <f t="shared" si="4"/>
        <v>91.002969787266053</v>
      </c>
      <c r="G17" s="419" t="e">
        <f>B17-#REF!</f>
        <v>#REF!</v>
      </c>
      <c r="H17" s="419" t="e">
        <f>D17-#REF!</f>
        <v>#REF!</v>
      </c>
    </row>
    <row r="18" spans="1:8" ht="66" x14ac:dyDescent="0.25">
      <c r="A18" s="432" t="s">
        <v>507</v>
      </c>
      <c r="B18" s="433">
        <v>12.5426</v>
      </c>
      <c r="C18" s="433">
        <v>4.2607999999999997</v>
      </c>
      <c r="D18" s="433">
        <v>3.9108000000000001</v>
      </c>
      <c r="E18" s="433">
        <f t="shared" si="3"/>
        <v>31.180138089391352</v>
      </c>
      <c r="F18" s="434">
        <f t="shared" si="4"/>
        <v>91.785580172737525</v>
      </c>
      <c r="G18" s="419" t="e">
        <f>B18-#REF!</f>
        <v>#REF!</v>
      </c>
      <c r="H18" s="419" t="e">
        <f>D18-#REF!</f>
        <v>#REF!</v>
      </c>
    </row>
    <row r="19" spans="1:8" ht="52.8" x14ac:dyDescent="0.25">
      <c r="A19" s="432" t="s">
        <v>508</v>
      </c>
      <c r="B19" s="433">
        <v>1369.3090999999999</v>
      </c>
      <c r="C19" s="433">
        <v>768.4674</v>
      </c>
      <c r="D19" s="433">
        <v>730.63750000000005</v>
      </c>
      <c r="E19" s="433">
        <f t="shared" si="3"/>
        <v>53.358113226589964</v>
      </c>
      <c r="F19" s="434">
        <f t="shared" si="4"/>
        <v>95.07722773926389</v>
      </c>
      <c r="G19" s="419" t="e">
        <f>B19-#REF!</f>
        <v>#REF!</v>
      </c>
      <c r="H19" s="419" t="e">
        <f>D19-#REF!</f>
        <v>#REF!</v>
      </c>
    </row>
    <row r="20" spans="1:8" ht="39.6" x14ac:dyDescent="0.25">
      <c r="A20" s="432" t="s">
        <v>509</v>
      </c>
      <c r="B20" s="433">
        <v>203.45490000000001</v>
      </c>
      <c r="C20" s="433">
        <v>33.420400000000001</v>
      </c>
      <c r="D20" s="433">
        <v>33.414700000000003</v>
      </c>
      <c r="E20" s="433">
        <f t="shared" si="3"/>
        <v>16.423639833692874</v>
      </c>
      <c r="F20" s="434">
        <f t="shared" si="4"/>
        <v>99.982944548838432</v>
      </c>
      <c r="G20" s="419" t="e">
        <f>B20-#REF!</f>
        <v>#REF!</v>
      </c>
      <c r="H20" s="419" t="e">
        <f>D20-#REF!</f>
        <v>#REF!</v>
      </c>
    </row>
    <row r="21" spans="1:8" ht="52.8" x14ac:dyDescent="0.25">
      <c r="A21" s="432" t="s">
        <v>510</v>
      </c>
      <c r="B21" s="433">
        <v>750.72519999999997</v>
      </c>
      <c r="C21" s="433">
        <v>348.64499999999998</v>
      </c>
      <c r="D21" s="433">
        <v>334.26429999999999</v>
      </c>
      <c r="E21" s="433">
        <f t="shared" si="3"/>
        <v>44.525520123741686</v>
      </c>
      <c r="F21" s="434">
        <f t="shared" si="4"/>
        <v>95.875259934890792</v>
      </c>
      <c r="G21" s="419" t="e">
        <f>B21-#REF!</f>
        <v>#REF!</v>
      </c>
      <c r="H21" s="419" t="e">
        <f>D21-#REF!</f>
        <v>#REF!</v>
      </c>
    </row>
    <row r="22" spans="1:8" ht="39.6" x14ac:dyDescent="0.25">
      <c r="A22" s="432" t="s">
        <v>511</v>
      </c>
      <c r="B22" s="433">
        <v>369.95310000000001</v>
      </c>
      <c r="C22" s="433">
        <v>156.8227</v>
      </c>
      <c r="D22" s="433">
        <v>149.90719999999999</v>
      </c>
      <c r="E22" s="433">
        <f t="shared" si="3"/>
        <v>40.520595718754613</v>
      </c>
      <c r="F22" s="434">
        <f t="shared" si="4"/>
        <v>95.590242994158373</v>
      </c>
      <c r="G22" s="419" t="e">
        <f>B22-#REF!</f>
        <v>#REF!</v>
      </c>
      <c r="H22" s="419" t="e">
        <f>D22-#REF!</f>
        <v>#REF!</v>
      </c>
    </row>
    <row r="23" spans="1:8" ht="39.6" x14ac:dyDescent="0.25">
      <c r="A23" s="432" t="s">
        <v>512</v>
      </c>
      <c r="B23" s="433">
        <v>302.10969999999998</v>
      </c>
      <c r="C23" s="433">
        <v>4.3112000000000004</v>
      </c>
      <c r="D23" s="433">
        <v>3.3643000000000001</v>
      </c>
      <c r="E23" s="433">
        <f t="shared" si="3"/>
        <v>1.1136021120804795</v>
      </c>
      <c r="F23" s="434">
        <f t="shared" si="4"/>
        <v>78.036277602523654</v>
      </c>
      <c r="G23" s="419" t="e">
        <f>B23-#REF!</f>
        <v>#REF!</v>
      </c>
      <c r="H23" s="419" t="e">
        <f>D23-#REF!</f>
        <v>#REF!</v>
      </c>
    </row>
    <row r="24" spans="1:8" ht="26.4" x14ac:dyDescent="0.25">
      <c r="A24" s="432" t="s">
        <v>513</v>
      </c>
      <c r="B24" s="433">
        <v>1.494</v>
      </c>
      <c r="C24" s="433">
        <v>0.88380000000000003</v>
      </c>
      <c r="D24" s="433">
        <v>0.51119999999999999</v>
      </c>
      <c r="E24" s="433">
        <f t="shared" si="3"/>
        <v>34.216867469879517</v>
      </c>
      <c r="F24" s="434">
        <f t="shared" si="4"/>
        <v>57.841140529531565</v>
      </c>
      <c r="G24" s="419" t="e">
        <f>B24-#REF!</f>
        <v>#REF!</v>
      </c>
      <c r="H24" s="419" t="e">
        <f>D24-#REF!</f>
        <v>#REF!</v>
      </c>
    </row>
    <row r="25" spans="1:8" ht="26.4" x14ac:dyDescent="0.25">
      <c r="A25" s="432" t="s">
        <v>514</v>
      </c>
      <c r="B25" s="433">
        <v>1062.0246999999999</v>
      </c>
      <c r="C25" s="433">
        <v>461.00720000000001</v>
      </c>
      <c r="D25" s="433">
        <v>451.78820000000002</v>
      </c>
      <c r="E25" s="433">
        <f t="shared" si="3"/>
        <v>42.540272368429854</v>
      </c>
      <c r="F25" s="434">
        <f t="shared" si="4"/>
        <v>98.000248152306511</v>
      </c>
      <c r="G25" s="419" t="e">
        <f>B25-#REF!</f>
        <v>#REF!</v>
      </c>
      <c r="H25" s="419" t="e">
        <f>D25-#REF!</f>
        <v>#REF!</v>
      </c>
    </row>
    <row r="26" spans="1:8" ht="39.6" x14ac:dyDescent="0.25">
      <c r="A26" s="432" t="s">
        <v>515</v>
      </c>
      <c r="B26" s="433">
        <v>3615.5779000000002</v>
      </c>
      <c r="C26" s="433">
        <v>2412.4256</v>
      </c>
      <c r="D26" s="433">
        <v>2405.3744000000002</v>
      </c>
      <c r="E26" s="433">
        <f t="shared" si="3"/>
        <v>66.528075636262741</v>
      </c>
      <c r="F26" s="434">
        <f t="shared" si="4"/>
        <v>99.707713265851609</v>
      </c>
      <c r="G26" s="419" t="e">
        <f>B26-#REF!</f>
        <v>#REF!</v>
      </c>
      <c r="H26" s="419" t="e">
        <f>D26-#REF!</f>
        <v>#REF!</v>
      </c>
    </row>
    <row r="27" spans="1:8" ht="52.8" x14ac:dyDescent="0.25">
      <c r="A27" s="432" t="s">
        <v>516</v>
      </c>
      <c r="B27" s="433">
        <v>55.474200000000003</v>
      </c>
      <c r="C27" s="433">
        <v>40.267200000000003</v>
      </c>
      <c r="D27" s="433">
        <v>13.582100000000001</v>
      </c>
      <c r="E27" s="433">
        <f t="shared" si="3"/>
        <v>24.483633833385611</v>
      </c>
      <c r="F27" s="434">
        <f t="shared" si="4"/>
        <v>33.729934040608732</v>
      </c>
      <c r="G27" s="419" t="e">
        <f>B27-#REF!</f>
        <v>#REF!</v>
      </c>
      <c r="H27" s="419" t="e">
        <f>D27-#REF!</f>
        <v>#REF!</v>
      </c>
    </row>
    <row r="28" spans="1:8" ht="26.4" x14ac:dyDescent="0.25">
      <c r="A28" s="432" t="s">
        <v>517</v>
      </c>
      <c r="B28" s="433">
        <v>5157.3208999999997</v>
      </c>
      <c r="C28" s="433">
        <v>1604.6882000000001</v>
      </c>
      <c r="D28" s="433">
        <v>1600.9266</v>
      </c>
      <c r="E28" s="433">
        <f t="shared" si="3"/>
        <v>31.041826387029747</v>
      </c>
      <c r="F28" s="434">
        <f t="shared" si="4"/>
        <v>99.765586859802411</v>
      </c>
      <c r="G28" s="419" t="e">
        <f>B28-#REF!</f>
        <v>#REF!</v>
      </c>
      <c r="H28" s="419" t="e">
        <f>D28-#REF!</f>
        <v>#REF!</v>
      </c>
    </row>
    <row r="29" spans="1:8" ht="26.4" x14ac:dyDescent="0.25">
      <c r="A29" s="432" t="s">
        <v>518</v>
      </c>
      <c r="B29" s="433">
        <v>644.53589999999997</v>
      </c>
      <c r="C29" s="433">
        <v>11.2342</v>
      </c>
      <c r="D29" s="433">
        <v>8.9011999999999993</v>
      </c>
      <c r="E29" s="433">
        <f t="shared" si="3"/>
        <v>1.3810247032011715</v>
      </c>
      <c r="F29" s="434">
        <f t="shared" si="4"/>
        <v>79.233056203378965</v>
      </c>
      <c r="G29" s="419" t="e">
        <f>B29-#REF!</f>
        <v>#REF!</v>
      </c>
      <c r="H29" s="419" t="e">
        <f>D29-#REF!</f>
        <v>#REF!</v>
      </c>
    </row>
    <row r="30" spans="1:8" ht="39.6" x14ac:dyDescent="0.25">
      <c r="A30" s="432" t="s">
        <v>519</v>
      </c>
      <c r="B30" s="433">
        <v>82.733199999999997</v>
      </c>
      <c r="C30" s="433">
        <v>39.448900000000002</v>
      </c>
      <c r="D30" s="433">
        <v>36.888300000000001</v>
      </c>
      <c r="E30" s="433">
        <f t="shared" si="3"/>
        <v>44.587058158030878</v>
      </c>
      <c r="F30" s="434">
        <f t="shared" si="4"/>
        <v>93.509071228855561</v>
      </c>
      <c r="G30" s="419" t="e">
        <f>B30-#REF!</f>
        <v>#REF!</v>
      </c>
      <c r="H30" s="419" t="e">
        <f>D30-#REF!</f>
        <v>#REF!</v>
      </c>
    </row>
    <row r="31" spans="1:8" ht="39.6" x14ac:dyDescent="0.25">
      <c r="A31" s="432" t="s">
        <v>520</v>
      </c>
      <c r="B31" s="433">
        <v>6130.3977999999997</v>
      </c>
      <c r="C31" s="433">
        <v>3024.4241000000002</v>
      </c>
      <c r="D31" s="433">
        <v>2902.6905000000002</v>
      </c>
      <c r="E31" s="433">
        <f t="shared" si="3"/>
        <v>47.349137767209825</v>
      </c>
      <c r="F31" s="434">
        <f t="shared" si="4"/>
        <v>95.974982476829226</v>
      </c>
      <c r="G31" s="419" t="e">
        <f>B31-#REF!</f>
        <v>#REF!</v>
      </c>
      <c r="H31" s="419" t="e">
        <f>D31-#REF!</f>
        <v>#REF!</v>
      </c>
    </row>
    <row r="32" spans="1:8" ht="39.6" x14ac:dyDescent="0.25">
      <c r="A32" s="432" t="s">
        <v>521</v>
      </c>
      <c r="B32" s="433">
        <v>1720.3302000000001</v>
      </c>
      <c r="C32" s="433">
        <v>690.87519999999995</v>
      </c>
      <c r="D32" s="433">
        <v>652.14660000000003</v>
      </c>
      <c r="E32" s="433">
        <f t="shared" si="3"/>
        <v>37.908222502866018</v>
      </c>
      <c r="F32" s="434">
        <f t="shared" si="4"/>
        <v>94.394269761021974</v>
      </c>
      <c r="G32" s="419" t="e">
        <f>B32-#REF!</f>
        <v>#REF!</v>
      </c>
      <c r="H32" s="419" t="e">
        <f>D32-#REF!</f>
        <v>#REF!</v>
      </c>
    </row>
    <row r="33" spans="1:18" ht="39.6" x14ac:dyDescent="0.25">
      <c r="A33" s="432" t="s">
        <v>522</v>
      </c>
      <c r="B33" s="433">
        <v>145.17920000000001</v>
      </c>
      <c r="C33" s="433">
        <v>43.534500000000001</v>
      </c>
      <c r="D33" s="433">
        <v>38.386099999999999</v>
      </c>
      <c r="E33" s="433">
        <f t="shared" si="3"/>
        <v>26.440495608186293</v>
      </c>
      <c r="F33" s="434">
        <f t="shared" si="4"/>
        <v>88.173976960801198</v>
      </c>
      <c r="G33" s="419" t="e">
        <f>B33-#REF!</f>
        <v>#REF!</v>
      </c>
      <c r="H33" s="419" t="e">
        <f>D33-#REF!</f>
        <v>#REF!</v>
      </c>
    </row>
    <row r="34" spans="1:18" x14ac:dyDescent="0.25">
      <c r="A34" s="432"/>
      <c r="B34" s="433"/>
      <c r="C34" s="433"/>
      <c r="D34" s="433"/>
      <c r="E34" s="433"/>
      <c r="F34" s="434"/>
    </row>
    <row r="35" spans="1:18" x14ac:dyDescent="0.25">
      <c r="A35" s="429" t="s">
        <v>523</v>
      </c>
      <c r="B35" s="430">
        <f>B37</f>
        <v>546.846</v>
      </c>
      <c r="C35" s="430">
        <f t="shared" ref="C35:D35" si="5">C37</f>
        <v>124.3382</v>
      </c>
      <c r="D35" s="430">
        <f t="shared" si="5"/>
        <v>120.3182</v>
      </c>
      <c r="E35" s="433">
        <f t="shared" si="3"/>
        <v>22.002209031427498</v>
      </c>
      <c r="F35" s="434">
        <f t="shared" si="4"/>
        <v>96.766882583148231</v>
      </c>
    </row>
    <row r="36" spans="1:18" x14ac:dyDescent="0.25">
      <c r="A36" s="432" t="s">
        <v>499</v>
      </c>
      <c r="B36" s="430"/>
      <c r="C36" s="430"/>
      <c r="D36" s="430"/>
      <c r="E36" s="433"/>
      <c r="F36" s="434"/>
    </row>
    <row r="37" spans="1:18" ht="52.8" x14ac:dyDescent="0.25">
      <c r="A37" s="432" t="s">
        <v>524</v>
      </c>
      <c r="B37" s="433">
        <v>546.846</v>
      </c>
      <c r="C37" s="433">
        <v>124.3382</v>
      </c>
      <c r="D37" s="433">
        <v>120.3182</v>
      </c>
      <c r="E37" s="433">
        <f t="shared" si="3"/>
        <v>22.002209031427498</v>
      </c>
      <c r="F37" s="434">
        <f t="shared" si="4"/>
        <v>96.766882583148231</v>
      </c>
    </row>
    <row r="38" spans="1:18" x14ac:dyDescent="0.25">
      <c r="A38" s="435" t="s">
        <v>31</v>
      </c>
      <c r="B38" s="436"/>
      <c r="C38" s="436"/>
      <c r="D38" s="436"/>
      <c r="E38" s="433"/>
      <c r="F38" s="434"/>
    </row>
    <row r="39" spans="1:18" x14ac:dyDescent="0.25">
      <c r="A39" s="429" t="s">
        <v>525</v>
      </c>
      <c r="B39" s="430">
        <f>B41+B42++B43</f>
        <v>29.153599999999997</v>
      </c>
      <c r="C39" s="430">
        <f t="shared" ref="C39:D39" si="6">C41+C42++C43</f>
        <v>15.5626</v>
      </c>
      <c r="D39" s="430">
        <f t="shared" si="6"/>
        <v>15.5626</v>
      </c>
      <c r="E39" s="430">
        <f t="shared" ref="E39" si="7">D39/B39*100</f>
        <v>53.381400581746341</v>
      </c>
      <c r="F39" s="431">
        <f t="shared" ref="F39" si="8">D39/C39*100</f>
        <v>100</v>
      </c>
    </row>
    <row r="40" spans="1:18" x14ac:dyDescent="0.25">
      <c r="A40" s="432" t="s">
        <v>499</v>
      </c>
      <c r="B40" s="430"/>
      <c r="C40" s="430"/>
      <c r="D40" s="430"/>
      <c r="E40" s="433"/>
      <c r="F40" s="434"/>
    </row>
    <row r="41" spans="1:18" ht="39.6" x14ac:dyDescent="0.25">
      <c r="A41" s="432" t="s">
        <v>526</v>
      </c>
      <c r="B41" s="433">
        <v>5.23</v>
      </c>
      <c r="C41" s="433">
        <v>2.93</v>
      </c>
      <c r="D41" s="433">
        <v>2.93</v>
      </c>
      <c r="E41" s="433">
        <f t="shared" si="3"/>
        <v>56.022944550669216</v>
      </c>
      <c r="F41" s="434">
        <f t="shared" si="4"/>
        <v>100</v>
      </c>
      <c r="G41" s="419" t="e">
        <f>B41-#REF!</f>
        <v>#REF!</v>
      </c>
      <c r="H41" s="419" t="e">
        <f>D41-#REF!</f>
        <v>#REF!</v>
      </c>
    </row>
    <row r="42" spans="1:18" s="420" customFormat="1" ht="66" x14ac:dyDescent="0.25">
      <c r="A42" s="432" t="s">
        <v>527</v>
      </c>
      <c r="B42" s="433">
        <v>3.3439999999999999</v>
      </c>
      <c r="C42" s="433">
        <v>0.9</v>
      </c>
      <c r="D42" s="433">
        <v>0.9</v>
      </c>
      <c r="E42" s="433">
        <f t="shared" si="3"/>
        <v>26.913875598086129</v>
      </c>
      <c r="F42" s="434">
        <f t="shared" si="4"/>
        <v>100</v>
      </c>
      <c r="G42" s="419" t="e">
        <f>B42-#REF!</f>
        <v>#REF!</v>
      </c>
      <c r="H42" s="419" t="e">
        <f>D42-#REF!</f>
        <v>#REF!</v>
      </c>
      <c r="J42" s="418"/>
      <c r="K42" s="418"/>
      <c r="L42" s="418"/>
      <c r="M42" s="418"/>
      <c r="N42" s="418"/>
      <c r="O42" s="418"/>
      <c r="P42" s="418"/>
      <c r="Q42" s="418"/>
      <c r="R42" s="418"/>
    </row>
    <row r="43" spans="1:18" s="420" customFormat="1" ht="52.8" x14ac:dyDescent="0.25">
      <c r="A43" s="432" t="s">
        <v>528</v>
      </c>
      <c r="B43" s="433">
        <v>20.579599999999999</v>
      </c>
      <c r="C43" s="433">
        <v>11.7326</v>
      </c>
      <c r="D43" s="433">
        <v>11.7326</v>
      </c>
      <c r="E43" s="433">
        <f t="shared" si="3"/>
        <v>57.010826255126432</v>
      </c>
      <c r="F43" s="434">
        <f t="shared" si="4"/>
        <v>100</v>
      </c>
      <c r="G43" s="419"/>
      <c r="H43" s="419"/>
      <c r="J43" s="418"/>
      <c r="K43" s="418"/>
      <c r="L43" s="418"/>
      <c r="M43" s="418"/>
      <c r="N43" s="418"/>
      <c r="O43" s="418"/>
      <c r="P43" s="418"/>
      <c r="Q43" s="418"/>
      <c r="R43" s="418"/>
    </row>
    <row r="44" spans="1:18" s="419" customFormat="1" ht="13.8" thickBot="1" x14ac:dyDescent="0.3">
      <c r="A44" s="437" t="s">
        <v>192</v>
      </c>
      <c r="B44" s="438">
        <f>B9+B35+B39</f>
        <v>73602.617299999998</v>
      </c>
      <c r="C44" s="438">
        <f t="shared" ref="C44:D44" si="9">C9+C35+C39</f>
        <v>36385.590299999996</v>
      </c>
      <c r="D44" s="438">
        <f t="shared" si="9"/>
        <v>35556.902800000003</v>
      </c>
      <c r="E44" s="438">
        <f t="shared" ref="E44" si="10">D44/B44*100</f>
        <v>48.309291305596005</v>
      </c>
      <c r="F44" s="439">
        <f t="shared" ref="F44" si="11">D44/C44*100</f>
        <v>97.722484386903048</v>
      </c>
      <c r="I44" s="420"/>
      <c r="J44" s="418"/>
      <c r="K44" s="418"/>
      <c r="L44" s="418"/>
      <c r="M44" s="418"/>
      <c r="N44" s="418"/>
      <c r="O44" s="418"/>
      <c r="P44" s="418"/>
      <c r="Q44" s="418"/>
      <c r="R44" s="418"/>
    </row>
    <row r="45" spans="1:18" s="419" customFormat="1" ht="13.8" thickTop="1" x14ac:dyDescent="0.25">
      <c r="A45" s="418"/>
      <c r="B45" s="440"/>
      <c r="C45" s="440"/>
      <c r="D45" s="440"/>
      <c r="E45" s="418"/>
      <c r="F45" s="418"/>
      <c r="I45" s="420"/>
      <c r="J45" s="418"/>
      <c r="K45" s="418"/>
      <c r="L45" s="418"/>
      <c r="M45" s="418"/>
      <c r="N45" s="418"/>
      <c r="O45" s="418"/>
      <c r="P45" s="418"/>
      <c r="Q45" s="418"/>
      <c r="R45" s="418"/>
    </row>
    <row r="46" spans="1:18" s="419" customFormat="1" x14ac:dyDescent="0.25">
      <c r="A46" s="418"/>
      <c r="B46" s="440"/>
      <c r="C46" s="440"/>
      <c r="D46" s="440"/>
      <c r="E46" s="418"/>
      <c r="F46" s="418"/>
      <c r="I46" s="420"/>
      <c r="J46" s="418"/>
      <c r="K46" s="418"/>
      <c r="L46" s="418"/>
      <c r="M46" s="418"/>
      <c r="N46" s="418"/>
      <c r="O46" s="418"/>
      <c r="P46" s="418"/>
      <c r="Q46" s="418"/>
      <c r="R46" s="418"/>
    </row>
    <row r="47" spans="1:18" s="419" customFormat="1" x14ac:dyDescent="0.25">
      <c r="A47" s="418"/>
      <c r="B47" s="440"/>
      <c r="C47" s="440"/>
      <c r="D47" s="440"/>
      <c r="E47" s="418"/>
      <c r="F47" s="418"/>
      <c r="I47" s="420"/>
      <c r="J47" s="418"/>
      <c r="K47" s="418"/>
      <c r="L47" s="418"/>
      <c r="M47" s="418"/>
      <c r="N47" s="418"/>
      <c r="O47" s="418"/>
      <c r="P47" s="418"/>
      <c r="Q47" s="418"/>
      <c r="R47" s="418"/>
    </row>
    <row r="48" spans="1:18" s="419" customFormat="1" x14ac:dyDescent="0.25">
      <c r="A48" s="418"/>
      <c r="B48" s="440"/>
      <c r="C48" s="440"/>
      <c r="D48" s="440"/>
      <c r="E48" s="418"/>
      <c r="F48" s="418"/>
      <c r="I48" s="420"/>
      <c r="J48" s="418"/>
      <c r="K48" s="418"/>
      <c r="L48" s="418"/>
      <c r="M48" s="418"/>
      <c r="N48" s="418"/>
      <c r="O48" s="418"/>
      <c r="P48" s="418"/>
      <c r="Q48" s="418"/>
      <c r="R48" s="418"/>
    </row>
    <row r="49" spans="2:4" x14ac:dyDescent="0.25">
      <c r="B49" s="440"/>
      <c r="C49" s="440"/>
      <c r="D49" s="440"/>
    </row>
    <row r="50" spans="2:4" x14ac:dyDescent="0.25">
      <c r="B50" s="440"/>
      <c r="C50" s="440"/>
      <c r="D50" s="440"/>
    </row>
    <row r="57" spans="2:4" ht="41.25" customHeight="1" x14ac:dyDescent="0.25"/>
    <row r="58" spans="2:4" ht="41.25" customHeight="1" x14ac:dyDescent="0.25"/>
    <row r="59" spans="2:4" ht="41.25" customHeight="1" x14ac:dyDescent="0.25"/>
  </sheetData>
  <mergeCells count="6">
    <mergeCell ref="A3:F3"/>
    <mergeCell ref="A6:A7"/>
    <mergeCell ref="B6:B7"/>
    <mergeCell ref="C6:C7"/>
    <mergeCell ref="D6:D7"/>
    <mergeCell ref="E6:F6"/>
  </mergeCells>
  <pageMargins left="0.59055118110236227" right="0" top="0.35433070866141736" bottom="0.35433070866141736" header="0.11811023622047245" footer="0.11811023622047245"/>
  <pageSetup paperSize="9" scale="80" fitToHeight="1000" orientation="portrait" r:id="rId1"/>
  <headerFooter>
    <oddFooter>&amp;C&amp;9&amp;P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Z207"/>
  <sheetViews>
    <sheetView zoomScale="70" zoomScaleNormal="70" workbookViewId="0">
      <selection activeCell="Y1" sqref="Y1"/>
    </sheetView>
  </sheetViews>
  <sheetFormatPr defaultColWidth="9.109375" defaultRowHeight="13.2" x14ac:dyDescent="0.25"/>
  <cols>
    <col min="1" max="1" width="6.6640625" style="443" customWidth="1"/>
    <col min="2" max="2" width="59.109375" style="444" customWidth="1"/>
    <col min="3" max="3" width="20.5546875" style="445" hidden="1" customWidth="1"/>
    <col min="4" max="4" width="16.33203125" style="444" hidden="1" customWidth="1"/>
    <col min="5" max="5" width="13.88671875" style="444" hidden="1" customWidth="1"/>
    <col min="6" max="6" width="9.33203125" style="444" hidden="1" customWidth="1"/>
    <col min="7" max="7" width="10.5546875" style="444" hidden="1" customWidth="1"/>
    <col min="8" max="8" width="9.5546875" style="444" hidden="1" customWidth="1"/>
    <col min="9" max="9" width="13" style="444" hidden="1" customWidth="1"/>
    <col min="10" max="10" width="13.109375" style="444" hidden="1" customWidth="1"/>
    <col min="11" max="14" width="9.33203125" style="444" hidden="1" customWidth="1"/>
    <col min="15" max="15" width="12.44140625" style="444" hidden="1" customWidth="1"/>
    <col min="16" max="16" width="40.109375" style="445" customWidth="1"/>
    <col min="17" max="18" width="9.109375" style="444" hidden="1" customWidth="1"/>
    <col min="19" max="19" width="10" style="444" customWidth="1"/>
    <col min="20" max="20" width="10.33203125" style="444" customWidth="1"/>
    <col min="21" max="21" width="12.109375" style="444" hidden="1" customWidth="1"/>
    <col min="22" max="22" width="12.5546875" style="444" hidden="1" customWidth="1"/>
    <col min="23" max="24" width="0" style="444" hidden="1" customWidth="1"/>
    <col min="25" max="25" width="59.33203125" style="445" customWidth="1"/>
    <col min="26" max="26" width="26.44140625" style="444" customWidth="1"/>
    <col min="27" max="16384" width="9.109375" style="444"/>
  </cols>
  <sheetData>
    <row r="1" spans="1:26" x14ac:dyDescent="0.25">
      <c r="Y1" s="473" t="s">
        <v>382</v>
      </c>
      <c r="Z1" s="442"/>
    </row>
    <row r="2" spans="1:26" x14ac:dyDescent="0.25">
      <c r="A2" s="536" t="s">
        <v>1171</v>
      </c>
      <c r="B2" s="536"/>
      <c r="C2" s="536"/>
      <c r="D2" s="536"/>
      <c r="E2" s="536"/>
      <c r="F2" s="536"/>
      <c r="G2" s="536"/>
      <c r="H2" s="536"/>
      <c r="I2" s="536"/>
      <c r="J2" s="536"/>
      <c r="K2" s="536"/>
      <c r="L2" s="536"/>
      <c r="M2" s="536"/>
      <c r="N2" s="536"/>
      <c r="O2" s="536"/>
      <c r="P2" s="536"/>
      <c r="Q2" s="536"/>
      <c r="R2" s="536"/>
      <c r="S2" s="536"/>
      <c r="T2" s="536"/>
      <c r="U2" s="536"/>
      <c r="V2" s="536"/>
      <c r="W2" s="536"/>
      <c r="X2" s="536"/>
      <c r="Y2" s="536"/>
    </row>
    <row r="3" spans="1:26" x14ac:dyDescent="0.25">
      <c r="A3" s="536"/>
      <c r="B3" s="536"/>
      <c r="C3" s="536"/>
      <c r="D3" s="536"/>
      <c r="E3" s="536"/>
      <c r="F3" s="536"/>
      <c r="G3" s="536"/>
      <c r="H3" s="536"/>
      <c r="I3" s="536"/>
      <c r="J3" s="536"/>
      <c r="K3" s="536"/>
      <c r="L3" s="536"/>
      <c r="M3" s="536"/>
      <c r="N3" s="536"/>
      <c r="O3" s="536"/>
      <c r="P3" s="536"/>
      <c r="Q3" s="536"/>
      <c r="R3" s="536"/>
      <c r="S3" s="536"/>
      <c r="T3" s="536"/>
      <c r="U3" s="536"/>
      <c r="V3" s="536"/>
      <c r="W3" s="536"/>
      <c r="X3" s="536"/>
      <c r="Y3" s="536"/>
    </row>
    <row r="5" spans="1:26" ht="15" customHeight="1" x14ac:dyDescent="0.25">
      <c r="A5" s="537" t="s">
        <v>529</v>
      </c>
      <c r="B5" s="538" t="s">
        <v>530</v>
      </c>
      <c r="C5" s="539" t="s">
        <v>531</v>
      </c>
      <c r="D5" s="540" t="s">
        <v>532</v>
      </c>
      <c r="E5" s="540"/>
      <c r="F5" s="540"/>
      <c r="G5" s="540"/>
      <c r="H5" s="540"/>
      <c r="I5" s="540"/>
      <c r="J5" s="540"/>
      <c r="K5" s="540"/>
      <c r="L5" s="540"/>
      <c r="M5" s="540"/>
      <c r="N5" s="540"/>
      <c r="O5" s="540"/>
      <c r="P5" s="540" t="s">
        <v>533</v>
      </c>
      <c r="Q5" s="540"/>
      <c r="R5" s="540"/>
      <c r="S5" s="540"/>
      <c r="T5" s="540"/>
      <c r="U5" s="540"/>
      <c r="V5" s="540"/>
      <c r="W5" s="540"/>
      <c r="X5" s="540"/>
      <c r="Y5" s="541" t="s">
        <v>534</v>
      </c>
    </row>
    <row r="6" spans="1:26" ht="24.6" customHeight="1" x14ac:dyDescent="0.25">
      <c r="A6" s="537"/>
      <c r="B6" s="538"/>
      <c r="C6" s="539"/>
      <c r="D6" s="540" t="s">
        <v>337</v>
      </c>
      <c r="E6" s="540"/>
      <c r="F6" s="540"/>
      <c r="G6" s="540" t="s">
        <v>535</v>
      </c>
      <c r="H6" s="540"/>
      <c r="I6" s="540" t="s">
        <v>536</v>
      </c>
      <c r="J6" s="540"/>
      <c r="K6" s="540" t="s">
        <v>537</v>
      </c>
      <c r="L6" s="540"/>
      <c r="M6" s="540" t="s">
        <v>538</v>
      </c>
      <c r="N6" s="540"/>
      <c r="O6" s="540" t="s">
        <v>539</v>
      </c>
      <c r="P6" s="540"/>
      <c r="Q6" s="540"/>
      <c r="R6" s="540"/>
      <c r="S6" s="540"/>
      <c r="T6" s="540"/>
      <c r="U6" s="540"/>
      <c r="V6" s="540"/>
      <c r="W6" s="540"/>
      <c r="X6" s="540"/>
      <c r="Y6" s="542"/>
    </row>
    <row r="7" spans="1:26" ht="43.2" customHeight="1" x14ac:dyDescent="0.25">
      <c r="A7" s="537"/>
      <c r="B7" s="538"/>
      <c r="C7" s="539"/>
      <c r="D7" s="446" t="s">
        <v>540</v>
      </c>
      <c r="E7" s="446" t="s">
        <v>541</v>
      </c>
      <c r="F7" s="446" t="s">
        <v>146</v>
      </c>
      <c r="G7" s="446" t="s">
        <v>540</v>
      </c>
      <c r="H7" s="446" t="s">
        <v>541</v>
      </c>
      <c r="I7" s="446" t="s">
        <v>540</v>
      </c>
      <c r="J7" s="446" t="s">
        <v>541</v>
      </c>
      <c r="K7" s="446" t="s">
        <v>540</v>
      </c>
      <c r="L7" s="446" t="s">
        <v>541</v>
      </c>
      <c r="M7" s="446" t="s">
        <v>540</v>
      </c>
      <c r="N7" s="446" t="s">
        <v>541</v>
      </c>
      <c r="O7" s="540"/>
      <c r="P7" s="446" t="s">
        <v>542</v>
      </c>
      <c r="Q7" s="446" t="s">
        <v>543</v>
      </c>
      <c r="R7" s="446" t="s">
        <v>544</v>
      </c>
      <c r="S7" s="446" t="s">
        <v>545</v>
      </c>
      <c r="T7" s="446" t="s">
        <v>546</v>
      </c>
      <c r="U7" s="446" t="s">
        <v>547</v>
      </c>
      <c r="V7" s="446" t="s">
        <v>548</v>
      </c>
      <c r="W7" s="446" t="s">
        <v>549</v>
      </c>
      <c r="X7" s="446" t="s">
        <v>550</v>
      </c>
      <c r="Y7" s="543"/>
    </row>
    <row r="8" spans="1:26" s="451" customFormat="1" ht="11.25" customHeight="1" x14ac:dyDescent="0.25">
      <c r="A8" s="447"/>
      <c r="B8" s="448"/>
      <c r="C8" s="449"/>
      <c r="D8" s="446"/>
      <c r="E8" s="446"/>
      <c r="F8" s="446"/>
      <c r="G8" s="446"/>
      <c r="H8" s="446"/>
      <c r="I8" s="446"/>
      <c r="J8" s="446"/>
      <c r="K8" s="446"/>
      <c r="L8" s="446"/>
      <c r="M8" s="446"/>
      <c r="N8" s="446"/>
      <c r="O8" s="446"/>
      <c r="P8" s="446"/>
      <c r="Q8" s="446"/>
      <c r="R8" s="446"/>
      <c r="S8" s="446"/>
      <c r="T8" s="446"/>
      <c r="U8" s="446"/>
      <c r="V8" s="446"/>
      <c r="W8" s="446"/>
      <c r="X8" s="446"/>
      <c r="Y8" s="450"/>
    </row>
    <row r="9" spans="1:26" s="452" customFormat="1" x14ac:dyDescent="0.25">
      <c r="A9" s="544" t="s">
        <v>551</v>
      </c>
      <c r="B9" s="544"/>
      <c r="C9" s="544"/>
      <c r="D9" s="544"/>
      <c r="E9" s="544"/>
      <c r="F9" s="544"/>
      <c r="G9" s="544"/>
      <c r="H9" s="544"/>
      <c r="I9" s="544"/>
      <c r="J9" s="544"/>
      <c r="K9" s="544"/>
      <c r="L9" s="544"/>
      <c r="M9" s="544"/>
      <c r="N9" s="544"/>
      <c r="O9" s="544"/>
      <c r="P9" s="544"/>
      <c r="Q9" s="544"/>
      <c r="R9" s="544"/>
      <c r="S9" s="544"/>
      <c r="T9" s="544"/>
      <c r="U9" s="544"/>
      <c r="V9" s="544"/>
      <c r="W9" s="544"/>
      <c r="X9" s="544"/>
      <c r="Y9" s="544"/>
    </row>
    <row r="10" spans="1:26" s="453" customFormat="1" ht="26.4" customHeight="1" x14ac:dyDescent="0.25">
      <c r="A10" s="535" t="s">
        <v>552</v>
      </c>
      <c r="B10" s="535"/>
      <c r="C10" s="535"/>
      <c r="D10" s="535"/>
      <c r="E10" s="535"/>
      <c r="F10" s="535"/>
      <c r="G10" s="535"/>
      <c r="H10" s="535"/>
      <c r="I10" s="535"/>
      <c r="J10" s="535"/>
      <c r="K10" s="535"/>
      <c r="L10" s="535"/>
      <c r="M10" s="535"/>
      <c r="N10" s="535"/>
      <c r="O10" s="535"/>
      <c r="P10" s="535"/>
      <c r="Q10" s="535"/>
      <c r="R10" s="535"/>
      <c r="S10" s="535"/>
      <c r="T10" s="535"/>
      <c r="U10" s="535"/>
      <c r="V10" s="535"/>
      <c r="W10" s="535"/>
      <c r="X10" s="535"/>
      <c r="Y10" s="535"/>
    </row>
    <row r="11" spans="1:26" s="451" customFormat="1" ht="105.6" x14ac:dyDescent="0.25">
      <c r="A11" s="454" t="s">
        <v>553</v>
      </c>
      <c r="B11" s="470" t="s">
        <v>554</v>
      </c>
      <c r="C11" s="470" t="s">
        <v>555</v>
      </c>
      <c r="D11" s="474">
        <v>91382.3</v>
      </c>
      <c r="E11" s="474">
        <v>9516.9</v>
      </c>
      <c r="F11" s="474">
        <v>10.4</v>
      </c>
      <c r="G11" s="474">
        <v>81492.600000000006</v>
      </c>
      <c r="H11" s="474">
        <v>8149.2</v>
      </c>
      <c r="I11" s="474">
        <v>9889.7000000000007</v>
      </c>
      <c r="J11" s="474">
        <v>1367.7</v>
      </c>
      <c r="K11" s="474">
        <v>0</v>
      </c>
      <c r="L11" s="474">
        <v>0</v>
      </c>
      <c r="M11" s="474">
        <v>0</v>
      </c>
      <c r="N11" s="474">
        <v>0</v>
      </c>
      <c r="O11" s="474">
        <v>9516.9</v>
      </c>
      <c r="P11" s="470" t="s">
        <v>556</v>
      </c>
      <c r="Q11" s="475" t="s">
        <v>557</v>
      </c>
      <c r="R11" s="475" t="s">
        <v>557</v>
      </c>
      <c r="S11" s="475" t="s">
        <v>558</v>
      </c>
      <c r="T11" s="475" t="s">
        <v>559</v>
      </c>
      <c r="U11" s="457"/>
      <c r="V11" s="457"/>
      <c r="W11" s="457"/>
      <c r="X11" s="457"/>
      <c r="Y11" s="470" t="s">
        <v>560</v>
      </c>
    </row>
    <row r="12" spans="1:26" s="451" customFormat="1" ht="79.2" x14ac:dyDescent="0.25">
      <c r="A12" s="454" t="s">
        <v>561</v>
      </c>
      <c r="B12" s="470" t="s">
        <v>562</v>
      </c>
      <c r="C12" s="470"/>
      <c r="D12" s="474"/>
      <c r="E12" s="474"/>
      <c r="F12" s="474"/>
      <c r="G12" s="474"/>
      <c r="H12" s="474"/>
      <c r="I12" s="474"/>
      <c r="J12" s="474"/>
      <c r="K12" s="474"/>
      <c r="L12" s="474"/>
      <c r="M12" s="474"/>
      <c r="N12" s="474"/>
      <c r="O12" s="474"/>
      <c r="P12" s="470" t="s">
        <v>556</v>
      </c>
      <c r="Q12" s="475" t="s">
        <v>563</v>
      </c>
      <c r="R12" s="475" t="s">
        <v>564</v>
      </c>
      <c r="S12" s="475" t="s">
        <v>565</v>
      </c>
      <c r="T12" s="475" t="s">
        <v>566</v>
      </c>
      <c r="U12" s="457"/>
      <c r="V12" s="457"/>
      <c r="W12" s="457"/>
      <c r="X12" s="457"/>
      <c r="Y12" s="470" t="s">
        <v>567</v>
      </c>
    </row>
    <row r="13" spans="1:26" s="451" customFormat="1" ht="145.80000000000001" customHeight="1" x14ac:dyDescent="0.25">
      <c r="A13" s="454" t="s">
        <v>207</v>
      </c>
      <c r="B13" s="470" t="s">
        <v>568</v>
      </c>
      <c r="C13" s="470"/>
      <c r="D13" s="474"/>
      <c r="E13" s="474"/>
      <c r="F13" s="474"/>
      <c r="G13" s="474"/>
      <c r="H13" s="474"/>
      <c r="I13" s="474"/>
      <c r="J13" s="474"/>
      <c r="K13" s="474"/>
      <c r="L13" s="474"/>
      <c r="M13" s="474"/>
      <c r="N13" s="474"/>
      <c r="O13" s="474"/>
      <c r="P13" s="470" t="s">
        <v>569</v>
      </c>
      <c r="Q13" s="475" t="s">
        <v>570</v>
      </c>
      <c r="R13" s="475" t="s">
        <v>571</v>
      </c>
      <c r="S13" s="475" t="s">
        <v>572</v>
      </c>
      <c r="T13" s="475" t="s">
        <v>573</v>
      </c>
      <c r="U13" s="457"/>
      <c r="V13" s="457"/>
      <c r="W13" s="457"/>
      <c r="X13" s="457"/>
      <c r="Y13" s="470" t="s">
        <v>574</v>
      </c>
    </row>
    <row r="14" spans="1:26" s="453" customFormat="1" ht="15" customHeight="1" x14ac:dyDescent="0.25">
      <c r="A14" s="535" t="s">
        <v>575</v>
      </c>
      <c r="B14" s="535"/>
      <c r="C14" s="535"/>
      <c r="D14" s="535"/>
      <c r="E14" s="535"/>
      <c r="F14" s="535"/>
      <c r="G14" s="535"/>
      <c r="H14" s="535"/>
      <c r="I14" s="535"/>
      <c r="J14" s="535"/>
      <c r="K14" s="535"/>
      <c r="L14" s="535"/>
      <c r="M14" s="535"/>
      <c r="N14" s="535"/>
      <c r="O14" s="535"/>
      <c r="P14" s="535"/>
      <c r="Q14" s="535"/>
      <c r="R14" s="535"/>
      <c r="S14" s="535"/>
      <c r="T14" s="535"/>
      <c r="U14" s="535"/>
      <c r="V14" s="535"/>
      <c r="W14" s="535"/>
      <c r="X14" s="535"/>
      <c r="Y14" s="535"/>
    </row>
    <row r="15" spans="1:26" s="451" customFormat="1" ht="145.19999999999999" x14ac:dyDescent="0.25">
      <c r="A15" s="454" t="s">
        <v>576</v>
      </c>
      <c r="B15" s="470" t="s">
        <v>577</v>
      </c>
      <c r="C15" s="470" t="s">
        <v>555</v>
      </c>
      <c r="D15" s="474">
        <v>54045</v>
      </c>
      <c r="E15" s="474">
        <v>29434.9</v>
      </c>
      <c r="F15" s="474">
        <v>54.5</v>
      </c>
      <c r="G15" s="474">
        <v>0</v>
      </c>
      <c r="H15" s="474">
        <v>0</v>
      </c>
      <c r="I15" s="474">
        <v>54045</v>
      </c>
      <c r="J15" s="474">
        <v>29434.9</v>
      </c>
      <c r="K15" s="474">
        <v>0</v>
      </c>
      <c r="L15" s="474">
        <v>0</v>
      </c>
      <c r="M15" s="474">
        <v>0</v>
      </c>
      <c r="N15" s="474">
        <v>0</v>
      </c>
      <c r="O15" s="474">
        <v>29434.9</v>
      </c>
      <c r="P15" s="470" t="s">
        <v>578</v>
      </c>
      <c r="Q15" s="475"/>
      <c r="R15" s="475"/>
      <c r="S15" s="475" t="s">
        <v>17</v>
      </c>
      <c r="T15" s="475" t="s">
        <v>15</v>
      </c>
      <c r="U15" s="457"/>
      <c r="V15" s="457"/>
      <c r="W15" s="457"/>
      <c r="X15" s="457"/>
      <c r="Y15" s="470" t="s">
        <v>579</v>
      </c>
    </row>
    <row r="16" spans="1:26" ht="291" customHeight="1" x14ac:dyDescent="0.25">
      <c r="A16" s="458" t="s">
        <v>588</v>
      </c>
      <c r="B16" s="476" t="s">
        <v>589</v>
      </c>
      <c r="C16" s="476"/>
      <c r="D16" s="477"/>
      <c r="E16" s="477"/>
      <c r="F16" s="477"/>
      <c r="G16" s="477"/>
      <c r="H16" s="477"/>
      <c r="I16" s="477"/>
      <c r="J16" s="477"/>
      <c r="K16" s="477"/>
      <c r="L16" s="477"/>
      <c r="M16" s="477"/>
      <c r="N16" s="477"/>
      <c r="O16" s="477"/>
      <c r="P16" s="476" t="s">
        <v>590</v>
      </c>
      <c r="Q16" s="479" t="s">
        <v>591</v>
      </c>
      <c r="R16" s="479" t="s">
        <v>592</v>
      </c>
      <c r="S16" s="479" t="s">
        <v>591</v>
      </c>
      <c r="T16" s="479" t="s">
        <v>593</v>
      </c>
      <c r="U16" s="459"/>
      <c r="V16" s="459"/>
      <c r="W16" s="459"/>
      <c r="X16" s="459"/>
      <c r="Y16" s="476" t="s">
        <v>594</v>
      </c>
    </row>
    <row r="17" spans="1:25" x14ac:dyDescent="0.25">
      <c r="A17" s="546" t="s">
        <v>580</v>
      </c>
      <c r="B17" s="547"/>
      <c r="C17" s="547"/>
      <c r="D17" s="547"/>
      <c r="E17" s="547"/>
      <c r="F17" s="547"/>
      <c r="G17" s="547"/>
      <c r="H17" s="547"/>
      <c r="I17" s="547"/>
      <c r="J17" s="547"/>
      <c r="K17" s="547"/>
      <c r="L17" s="547"/>
      <c r="M17" s="547"/>
      <c r="N17" s="547"/>
      <c r="O17" s="547"/>
      <c r="P17" s="547"/>
      <c r="Q17" s="547"/>
      <c r="R17" s="547"/>
      <c r="S17" s="547"/>
      <c r="T17" s="547"/>
      <c r="U17" s="547"/>
      <c r="V17" s="547"/>
      <c r="W17" s="547"/>
      <c r="X17" s="547"/>
      <c r="Y17" s="548"/>
    </row>
    <row r="18" spans="1:25" ht="79.2" x14ac:dyDescent="0.25">
      <c r="A18" s="460" t="s">
        <v>595</v>
      </c>
      <c r="B18" s="480" t="s">
        <v>596</v>
      </c>
      <c r="C18" s="460"/>
      <c r="D18" s="460"/>
      <c r="E18" s="460"/>
      <c r="F18" s="460"/>
      <c r="G18" s="460"/>
      <c r="H18" s="460"/>
      <c r="I18" s="460"/>
      <c r="J18" s="460"/>
      <c r="K18" s="460"/>
      <c r="L18" s="460"/>
      <c r="M18" s="460"/>
      <c r="N18" s="460"/>
      <c r="O18" s="460"/>
      <c r="P18" s="480" t="s">
        <v>597</v>
      </c>
      <c r="Q18" s="481"/>
      <c r="R18" s="481"/>
      <c r="S18" s="481" t="s">
        <v>598</v>
      </c>
      <c r="T18" s="481" t="s">
        <v>108</v>
      </c>
      <c r="U18" s="460"/>
      <c r="V18" s="460"/>
      <c r="W18" s="460"/>
      <c r="X18" s="460"/>
      <c r="Y18" s="480" t="s">
        <v>599</v>
      </c>
    </row>
    <row r="19" spans="1:25" ht="51.6" customHeight="1" x14ac:dyDescent="0.25">
      <c r="A19" s="460" t="s">
        <v>600</v>
      </c>
      <c r="B19" s="480" t="s">
        <v>601</v>
      </c>
      <c r="C19" s="460"/>
      <c r="D19" s="460"/>
      <c r="E19" s="460"/>
      <c r="F19" s="460"/>
      <c r="G19" s="460"/>
      <c r="H19" s="460"/>
      <c r="I19" s="460"/>
      <c r="J19" s="460"/>
      <c r="K19" s="460"/>
      <c r="L19" s="460"/>
      <c r="M19" s="460"/>
      <c r="N19" s="460"/>
      <c r="O19" s="460"/>
      <c r="P19" s="480" t="s">
        <v>597</v>
      </c>
      <c r="Q19" s="481"/>
      <c r="R19" s="481"/>
      <c r="S19" s="481" t="s">
        <v>598</v>
      </c>
      <c r="T19" s="481" t="s">
        <v>108</v>
      </c>
      <c r="U19" s="460"/>
      <c r="V19" s="460"/>
      <c r="W19" s="460"/>
      <c r="X19" s="460"/>
      <c r="Y19" s="480" t="s">
        <v>602</v>
      </c>
    </row>
    <row r="20" spans="1:25" ht="409.2" x14ac:dyDescent="0.25">
      <c r="A20" s="460" t="s">
        <v>603</v>
      </c>
      <c r="B20" s="480" t="s">
        <v>604</v>
      </c>
      <c r="C20" s="460"/>
      <c r="D20" s="460"/>
      <c r="E20" s="460"/>
      <c r="F20" s="460"/>
      <c r="G20" s="460"/>
      <c r="H20" s="460"/>
      <c r="I20" s="460"/>
      <c r="J20" s="460"/>
      <c r="K20" s="460"/>
      <c r="L20" s="460"/>
      <c r="M20" s="460"/>
      <c r="N20" s="460"/>
      <c r="O20" s="460"/>
      <c r="P20" s="480" t="s">
        <v>605</v>
      </c>
      <c r="Q20" s="481"/>
      <c r="R20" s="481"/>
      <c r="S20" s="481" t="s">
        <v>606</v>
      </c>
      <c r="T20" s="481" t="s">
        <v>607</v>
      </c>
      <c r="U20" s="460"/>
      <c r="V20" s="460"/>
      <c r="W20" s="460"/>
      <c r="X20" s="460"/>
      <c r="Y20" s="480" t="s">
        <v>608</v>
      </c>
    </row>
    <row r="21" spans="1:25" s="445" customFormat="1" ht="92.4" x14ac:dyDescent="0.25">
      <c r="A21" s="460" t="s">
        <v>581</v>
      </c>
      <c r="B21" s="480" t="s">
        <v>582</v>
      </c>
      <c r="C21" s="460"/>
      <c r="D21" s="460"/>
      <c r="E21" s="460"/>
      <c r="F21" s="460"/>
      <c r="G21" s="460"/>
      <c r="H21" s="460"/>
      <c r="I21" s="460"/>
      <c r="J21" s="460"/>
      <c r="K21" s="460"/>
      <c r="L21" s="460"/>
      <c r="M21" s="460"/>
      <c r="N21" s="460"/>
      <c r="O21" s="460"/>
      <c r="P21" s="480" t="s">
        <v>583</v>
      </c>
      <c r="Q21" s="481" t="s">
        <v>584</v>
      </c>
      <c r="R21" s="481" t="s">
        <v>210</v>
      </c>
      <c r="S21" s="481" t="s">
        <v>586</v>
      </c>
      <c r="T21" s="481" t="s">
        <v>609</v>
      </c>
      <c r="U21" s="460"/>
      <c r="V21" s="460"/>
      <c r="W21" s="460"/>
      <c r="X21" s="460"/>
      <c r="Y21" s="480" t="s">
        <v>610</v>
      </c>
    </row>
    <row r="22" spans="1:25" s="445" customFormat="1" ht="105.6" x14ac:dyDescent="0.25">
      <c r="A22" s="460" t="s">
        <v>611</v>
      </c>
      <c r="B22" s="480" t="s">
        <v>612</v>
      </c>
      <c r="C22" s="460"/>
      <c r="D22" s="460"/>
      <c r="E22" s="460"/>
      <c r="F22" s="460"/>
      <c r="G22" s="460"/>
      <c r="H22" s="460"/>
      <c r="I22" s="460"/>
      <c r="J22" s="460"/>
      <c r="K22" s="460"/>
      <c r="L22" s="460"/>
      <c r="M22" s="460"/>
      <c r="N22" s="460"/>
      <c r="O22" s="460"/>
      <c r="P22" s="480" t="s">
        <v>613</v>
      </c>
      <c r="Q22" s="481"/>
      <c r="R22" s="481"/>
      <c r="S22" s="481" t="s">
        <v>614</v>
      </c>
      <c r="T22" s="481" t="s">
        <v>108</v>
      </c>
      <c r="U22" s="460"/>
      <c r="V22" s="460"/>
      <c r="W22" s="460"/>
      <c r="X22" s="460"/>
      <c r="Y22" s="480" t="s">
        <v>615</v>
      </c>
    </row>
    <row r="23" spans="1:25" x14ac:dyDescent="0.25">
      <c r="A23" s="549" t="s">
        <v>616</v>
      </c>
      <c r="B23" s="549"/>
      <c r="C23" s="549"/>
      <c r="D23" s="549"/>
      <c r="E23" s="549"/>
      <c r="F23" s="549"/>
      <c r="G23" s="549"/>
      <c r="H23" s="549"/>
      <c r="I23" s="549"/>
      <c r="J23" s="549"/>
      <c r="K23" s="549"/>
      <c r="L23" s="549"/>
      <c r="M23" s="549"/>
      <c r="N23" s="549"/>
      <c r="O23" s="549"/>
      <c r="P23" s="549"/>
      <c r="Q23" s="549"/>
      <c r="R23" s="549"/>
      <c r="S23" s="549"/>
      <c r="T23" s="549"/>
      <c r="U23" s="549"/>
      <c r="V23" s="549"/>
      <c r="W23" s="549"/>
      <c r="X23" s="549"/>
      <c r="Y23" s="549"/>
    </row>
    <row r="24" spans="1:25" x14ac:dyDescent="0.25">
      <c r="A24" s="550" t="s">
        <v>617</v>
      </c>
      <c r="B24" s="551"/>
      <c r="C24" s="551"/>
      <c r="D24" s="551"/>
      <c r="E24" s="551"/>
      <c r="F24" s="551"/>
      <c r="G24" s="551"/>
      <c r="H24" s="551"/>
      <c r="I24" s="551"/>
      <c r="J24" s="551"/>
      <c r="K24" s="551"/>
      <c r="L24" s="551"/>
      <c r="M24" s="551"/>
      <c r="N24" s="551"/>
      <c r="O24" s="551"/>
      <c r="P24" s="551"/>
      <c r="Q24" s="551"/>
      <c r="R24" s="551"/>
      <c r="S24" s="551"/>
      <c r="T24" s="551"/>
      <c r="U24" s="551"/>
      <c r="V24" s="551"/>
      <c r="W24" s="551"/>
      <c r="X24" s="551"/>
      <c r="Y24" s="552"/>
    </row>
    <row r="25" spans="1:25" ht="105.6" x14ac:dyDescent="0.25">
      <c r="A25" s="455" t="s">
        <v>576</v>
      </c>
      <c r="B25" s="470" t="s">
        <v>618</v>
      </c>
      <c r="C25" s="470"/>
      <c r="D25" s="470"/>
      <c r="E25" s="470"/>
      <c r="F25" s="470"/>
      <c r="G25" s="470"/>
      <c r="H25" s="470"/>
      <c r="I25" s="470"/>
      <c r="J25" s="470"/>
      <c r="K25" s="470"/>
      <c r="L25" s="470"/>
      <c r="M25" s="470"/>
      <c r="N25" s="470"/>
      <c r="O25" s="470"/>
      <c r="P25" s="470" t="s">
        <v>619</v>
      </c>
      <c r="Q25" s="482" t="s">
        <v>620</v>
      </c>
      <c r="R25" s="482" t="s">
        <v>620</v>
      </c>
      <c r="S25" s="482" t="s">
        <v>621</v>
      </c>
      <c r="T25" s="482" t="s">
        <v>622</v>
      </c>
      <c r="U25" s="455"/>
      <c r="V25" s="455"/>
      <c r="W25" s="455"/>
      <c r="X25" s="455"/>
      <c r="Y25" s="470" t="s">
        <v>623</v>
      </c>
    </row>
    <row r="26" spans="1:25" x14ac:dyDescent="0.25">
      <c r="A26" s="535" t="s">
        <v>624</v>
      </c>
      <c r="B26" s="545"/>
      <c r="C26" s="545"/>
      <c r="D26" s="545"/>
      <c r="E26" s="545"/>
      <c r="F26" s="545"/>
      <c r="G26" s="545"/>
      <c r="H26" s="545"/>
      <c r="I26" s="545"/>
      <c r="J26" s="545"/>
      <c r="K26" s="545"/>
      <c r="L26" s="545"/>
      <c r="M26" s="545"/>
      <c r="N26" s="545"/>
      <c r="O26" s="545"/>
      <c r="P26" s="545"/>
      <c r="Q26" s="545"/>
      <c r="R26" s="545"/>
      <c r="S26" s="545"/>
      <c r="T26" s="545"/>
      <c r="U26" s="545"/>
      <c r="V26" s="545"/>
      <c r="W26" s="545"/>
      <c r="X26" s="545"/>
      <c r="Y26" s="545"/>
    </row>
    <row r="27" spans="1:25" ht="40.799999999999997" customHeight="1" x14ac:dyDescent="0.25">
      <c r="A27" s="454" t="s">
        <v>625</v>
      </c>
      <c r="B27" s="470" t="s">
        <v>626</v>
      </c>
      <c r="C27" s="470" t="s">
        <v>627</v>
      </c>
      <c r="D27" s="474">
        <v>800</v>
      </c>
      <c r="E27" s="474">
        <v>317</v>
      </c>
      <c r="F27" s="474">
        <v>39.6</v>
      </c>
      <c r="G27" s="474">
        <v>0</v>
      </c>
      <c r="H27" s="474">
        <v>0</v>
      </c>
      <c r="I27" s="474">
        <v>800</v>
      </c>
      <c r="J27" s="474">
        <v>317</v>
      </c>
      <c r="K27" s="474">
        <v>0</v>
      </c>
      <c r="L27" s="474">
        <v>0</v>
      </c>
      <c r="M27" s="474">
        <v>0</v>
      </c>
      <c r="N27" s="474">
        <v>0</v>
      </c>
      <c r="O27" s="474">
        <v>317</v>
      </c>
      <c r="P27" s="470" t="s">
        <v>628</v>
      </c>
      <c r="Q27" s="483" t="s">
        <v>629</v>
      </c>
      <c r="R27" s="483" t="s">
        <v>630</v>
      </c>
      <c r="S27" s="483" t="s">
        <v>586</v>
      </c>
      <c r="T27" s="483" t="s">
        <v>631</v>
      </c>
      <c r="U27" s="461"/>
      <c r="V27" s="461"/>
      <c r="W27" s="461"/>
      <c r="X27" s="461"/>
      <c r="Y27" s="470" t="s">
        <v>632</v>
      </c>
    </row>
    <row r="28" spans="1:25" ht="180.75" hidden="1" customHeight="1" x14ac:dyDescent="0.25">
      <c r="A28" s="454"/>
      <c r="B28" s="455"/>
      <c r="C28" s="455"/>
      <c r="D28" s="456"/>
      <c r="E28" s="456"/>
      <c r="F28" s="456"/>
      <c r="G28" s="456"/>
      <c r="H28" s="456"/>
      <c r="I28" s="456"/>
      <c r="J28" s="456"/>
      <c r="K28" s="456"/>
      <c r="L28" s="456"/>
      <c r="M28" s="456"/>
      <c r="N28" s="456"/>
      <c r="O28" s="456"/>
      <c r="P28" s="455"/>
      <c r="Q28" s="461"/>
      <c r="R28" s="461"/>
      <c r="S28" s="461"/>
      <c r="T28" s="461"/>
      <c r="U28" s="461"/>
      <c r="V28" s="461"/>
      <c r="W28" s="461"/>
      <c r="X28" s="461"/>
      <c r="Y28" s="450"/>
    </row>
    <row r="29" spans="1:25" hidden="1" x14ac:dyDescent="0.25">
      <c r="A29" s="553" t="s">
        <v>633</v>
      </c>
      <c r="B29" s="553"/>
      <c r="C29" s="553"/>
      <c r="D29" s="553"/>
      <c r="E29" s="553"/>
      <c r="F29" s="553"/>
      <c r="G29" s="553"/>
      <c r="H29" s="553"/>
      <c r="I29" s="553"/>
      <c r="J29" s="553"/>
      <c r="K29" s="553"/>
      <c r="L29" s="553"/>
      <c r="M29" s="553"/>
      <c r="N29" s="553"/>
      <c r="O29" s="553"/>
      <c r="P29" s="553"/>
      <c r="Q29" s="553"/>
      <c r="R29" s="553"/>
      <c r="S29" s="553"/>
      <c r="T29" s="553"/>
      <c r="U29" s="553"/>
      <c r="V29" s="553"/>
      <c r="W29" s="553"/>
      <c r="X29" s="553"/>
      <c r="Y29" s="553"/>
    </row>
    <row r="30" spans="1:25" ht="52.8" hidden="1" x14ac:dyDescent="0.25">
      <c r="A30" s="454" t="s">
        <v>625</v>
      </c>
      <c r="B30" s="455" t="s">
        <v>626</v>
      </c>
      <c r="C30" s="455" t="s">
        <v>627</v>
      </c>
      <c r="D30" s="456">
        <v>58074.400000000001</v>
      </c>
      <c r="E30" s="456">
        <v>39597.5</v>
      </c>
      <c r="F30" s="456">
        <v>68.2</v>
      </c>
      <c r="G30" s="456">
        <v>8669.7999999999993</v>
      </c>
      <c r="H30" s="456">
        <v>4721.3</v>
      </c>
      <c r="I30" s="456">
        <v>49404.6</v>
      </c>
      <c r="J30" s="456">
        <v>34876.199999999997</v>
      </c>
      <c r="K30" s="456">
        <v>0</v>
      </c>
      <c r="L30" s="456">
        <v>0</v>
      </c>
      <c r="M30" s="456">
        <v>0</v>
      </c>
      <c r="N30" s="456">
        <v>0</v>
      </c>
      <c r="O30" s="456">
        <v>39597.4</v>
      </c>
      <c r="P30" s="455" t="s">
        <v>628</v>
      </c>
      <c r="Q30" s="461" t="s">
        <v>629</v>
      </c>
      <c r="R30" s="461" t="s">
        <v>634</v>
      </c>
      <c r="S30" s="461" t="s">
        <v>586</v>
      </c>
      <c r="T30" s="461" t="s">
        <v>635</v>
      </c>
      <c r="U30" s="461" t="s">
        <v>587</v>
      </c>
      <c r="V30" s="461" t="s">
        <v>636</v>
      </c>
      <c r="W30" s="461"/>
      <c r="X30" s="461"/>
      <c r="Y30" s="455" t="s">
        <v>637</v>
      </c>
    </row>
    <row r="31" spans="1:25" hidden="1" x14ac:dyDescent="0.25">
      <c r="A31" s="545" t="s">
        <v>638</v>
      </c>
      <c r="B31" s="545"/>
      <c r="C31" s="545"/>
      <c r="D31" s="545"/>
      <c r="E31" s="545"/>
      <c r="F31" s="545"/>
      <c r="G31" s="545"/>
      <c r="H31" s="545"/>
      <c r="I31" s="545"/>
      <c r="J31" s="545"/>
      <c r="K31" s="545"/>
      <c r="L31" s="545"/>
      <c r="M31" s="545"/>
      <c r="N31" s="545"/>
      <c r="O31" s="545"/>
      <c r="P31" s="545"/>
      <c r="Q31" s="545"/>
      <c r="R31" s="545"/>
      <c r="S31" s="545"/>
      <c r="T31" s="545"/>
      <c r="U31" s="545"/>
      <c r="V31" s="545"/>
      <c r="W31" s="545"/>
      <c r="X31" s="545"/>
      <c r="Y31" s="545"/>
    </row>
    <row r="32" spans="1:25" ht="46.5" hidden="1" customHeight="1" x14ac:dyDescent="0.25">
      <c r="A32" s="454" t="s">
        <v>639</v>
      </c>
      <c r="B32" s="455" t="s">
        <v>640</v>
      </c>
      <c r="C32" s="455" t="s">
        <v>641</v>
      </c>
      <c r="D32" s="456">
        <v>153659.79999999999</v>
      </c>
      <c r="E32" s="456">
        <v>146737.60000000001</v>
      </c>
      <c r="F32" s="456">
        <v>95.5</v>
      </c>
      <c r="G32" s="456">
        <v>0</v>
      </c>
      <c r="H32" s="456">
        <v>0</v>
      </c>
      <c r="I32" s="456">
        <v>152159.79999999999</v>
      </c>
      <c r="J32" s="456">
        <v>145237.6</v>
      </c>
      <c r="K32" s="456">
        <v>1500</v>
      </c>
      <c r="L32" s="456">
        <v>1500</v>
      </c>
      <c r="M32" s="456">
        <v>0</v>
      </c>
      <c r="N32" s="456">
        <v>0</v>
      </c>
      <c r="O32" s="456">
        <v>146737.60000000001</v>
      </c>
      <c r="P32" s="455" t="s">
        <v>642</v>
      </c>
      <c r="Q32" s="461"/>
      <c r="R32" s="461"/>
      <c r="S32" s="461"/>
      <c r="T32" s="461"/>
      <c r="U32" s="455"/>
      <c r="V32" s="461"/>
      <c r="W32" s="461"/>
      <c r="X32" s="461"/>
      <c r="Y32" s="455"/>
    </row>
    <row r="33" spans="1:25" x14ac:dyDescent="0.25">
      <c r="A33" s="549" t="s">
        <v>643</v>
      </c>
      <c r="B33" s="549"/>
      <c r="C33" s="549"/>
      <c r="D33" s="549"/>
      <c r="E33" s="549"/>
      <c r="F33" s="549"/>
      <c r="G33" s="549"/>
      <c r="H33" s="549"/>
      <c r="I33" s="549"/>
      <c r="J33" s="549"/>
      <c r="K33" s="549"/>
      <c r="L33" s="549"/>
      <c r="M33" s="549"/>
      <c r="N33" s="549"/>
      <c r="O33" s="549"/>
      <c r="P33" s="549"/>
      <c r="Q33" s="549"/>
      <c r="R33" s="549"/>
      <c r="S33" s="549"/>
      <c r="T33" s="549"/>
      <c r="U33" s="549"/>
      <c r="V33" s="549"/>
      <c r="W33" s="549"/>
      <c r="X33" s="549"/>
      <c r="Y33" s="549"/>
    </row>
    <row r="34" spans="1:25" x14ac:dyDescent="0.25">
      <c r="A34" s="545" t="s">
        <v>644</v>
      </c>
      <c r="B34" s="545"/>
      <c r="C34" s="545"/>
      <c r="D34" s="545"/>
      <c r="E34" s="545"/>
      <c r="F34" s="545"/>
      <c r="G34" s="545"/>
      <c r="H34" s="545"/>
      <c r="I34" s="545"/>
      <c r="J34" s="545"/>
      <c r="K34" s="545"/>
      <c r="L34" s="545"/>
      <c r="M34" s="545"/>
      <c r="N34" s="545"/>
      <c r="O34" s="545"/>
      <c r="P34" s="545"/>
      <c r="Q34" s="545"/>
      <c r="R34" s="545"/>
      <c r="S34" s="545"/>
      <c r="T34" s="545"/>
      <c r="U34" s="545"/>
      <c r="V34" s="545"/>
      <c r="W34" s="545"/>
      <c r="X34" s="545"/>
      <c r="Y34" s="545"/>
    </row>
    <row r="35" spans="1:25" ht="105.6" customHeight="1" x14ac:dyDescent="0.25">
      <c r="A35" s="454" t="s">
        <v>645</v>
      </c>
      <c r="B35" s="470" t="s">
        <v>646</v>
      </c>
      <c r="C35" s="470" t="s">
        <v>647</v>
      </c>
      <c r="D35" s="474">
        <v>232.5</v>
      </c>
      <c r="E35" s="474">
        <v>0</v>
      </c>
      <c r="F35" s="474">
        <v>0</v>
      </c>
      <c r="G35" s="474">
        <v>207.5</v>
      </c>
      <c r="H35" s="474">
        <v>0</v>
      </c>
      <c r="I35" s="474">
        <v>25</v>
      </c>
      <c r="J35" s="474">
        <v>0</v>
      </c>
      <c r="K35" s="474">
        <v>0</v>
      </c>
      <c r="L35" s="474">
        <v>0</v>
      </c>
      <c r="M35" s="474">
        <v>0</v>
      </c>
      <c r="N35" s="474">
        <v>0</v>
      </c>
      <c r="O35" s="474">
        <v>0</v>
      </c>
      <c r="P35" s="470" t="s">
        <v>648</v>
      </c>
      <c r="Q35" s="483" t="s">
        <v>16</v>
      </c>
      <c r="R35" s="483" t="s">
        <v>649</v>
      </c>
      <c r="S35" s="483" t="s">
        <v>195</v>
      </c>
      <c r="T35" s="483" t="s">
        <v>15</v>
      </c>
      <c r="U35" s="461"/>
      <c r="V35" s="461"/>
      <c r="W35" s="461"/>
      <c r="X35" s="461"/>
      <c r="Y35" s="470" t="s">
        <v>650</v>
      </c>
    </row>
    <row r="36" spans="1:25" x14ac:dyDescent="0.25">
      <c r="A36" s="545" t="s">
        <v>651</v>
      </c>
      <c r="B36" s="545"/>
      <c r="C36" s="545"/>
      <c r="D36" s="545"/>
      <c r="E36" s="545"/>
      <c r="F36" s="545"/>
      <c r="G36" s="545"/>
      <c r="H36" s="545"/>
      <c r="I36" s="545"/>
      <c r="J36" s="545"/>
      <c r="K36" s="545"/>
      <c r="L36" s="545"/>
      <c r="M36" s="545"/>
      <c r="N36" s="545"/>
      <c r="O36" s="545"/>
      <c r="P36" s="545"/>
      <c r="Q36" s="545"/>
      <c r="R36" s="545"/>
      <c r="S36" s="545"/>
      <c r="T36" s="545"/>
      <c r="U36" s="545"/>
      <c r="V36" s="545"/>
      <c r="W36" s="545"/>
      <c r="X36" s="545"/>
      <c r="Y36" s="545"/>
    </row>
    <row r="37" spans="1:25" ht="92.4" x14ac:dyDescent="0.25">
      <c r="A37" s="454" t="s">
        <v>652</v>
      </c>
      <c r="B37" s="470" t="s">
        <v>653</v>
      </c>
      <c r="C37" s="470" t="s">
        <v>647</v>
      </c>
      <c r="D37" s="474">
        <v>11825</v>
      </c>
      <c r="E37" s="474">
        <v>7089.5140000000001</v>
      </c>
      <c r="F37" s="474">
        <v>60</v>
      </c>
      <c r="G37" s="474">
        <v>0</v>
      </c>
      <c r="H37" s="474">
        <v>0</v>
      </c>
      <c r="I37" s="474">
        <v>11825</v>
      </c>
      <c r="J37" s="474">
        <v>7089.5140000000001</v>
      </c>
      <c r="K37" s="474">
        <v>0</v>
      </c>
      <c r="L37" s="474">
        <v>0</v>
      </c>
      <c r="M37" s="474">
        <v>0</v>
      </c>
      <c r="N37" s="474">
        <v>0</v>
      </c>
      <c r="O37" s="474">
        <v>7089.5140000000001</v>
      </c>
      <c r="P37" s="470" t="s">
        <v>654</v>
      </c>
      <c r="Q37" s="483" t="s">
        <v>655</v>
      </c>
      <c r="R37" s="483" t="s">
        <v>656</v>
      </c>
      <c r="S37" s="483" t="s">
        <v>655</v>
      </c>
      <c r="T37" s="483" t="s">
        <v>657</v>
      </c>
      <c r="U37" s="461"/>
      <c r="V37" s="461"/>
      <c r="W37" s="461"/>
      <c r="X37" s="461"/>
      <c r="Y37" s="554" t="s">
        <v>650</v>
      </c>
    </row>
    <row r="38" spans="1:25" ht="52.8" x14ac:dyDescent="0.25">
      <c r="A38" s="454" t="s">
        <v>658</v>
      </c>
      <c r="B38" s="470" t="s">
        <v>659</v>
      </c>
      <c r="C38" s="470"/>
      <c r="D38" s="474"/>
      <c r="E38" s="474"/>
      <c r="F38" s="474"/>
      <c r="G38" s="474"/>
      <c r="H38" s="474"/>
      <c r="I38" s="474"/>
      <c r="J38" s="474"/>
      <c r="K38" s="474"/>
      <c r="L38" s="474"/>
      <c r="M38" s="474"/>
      <c r="N38" s="474"/>
      <c r="O38" s="474"/>
      <c r="P38" s="470" t="s">
        <v>654</v>
      </c>
      <c r="Q38" s="483"/>
      <c r="R38" s="483"/>
      <c r="S38" s="483" t="s">
        <v>207</v>
      </c>
      <c r="T38" s="483" t="s">
        <v>16</v>
      </c>
      <c r="U38" s="461"/>
      <c r="V38" s="461"/>
      <c r="W38" s="461"/>
      <c r="X38" s="461"/>
      <c r="Y38" s="555"/>
    </row>
    <row r="39" spans="1:25" ht="79.2" x14ac:dyDescent="0.25">
      <c r="A39" s="454" t="s">
        <v>660</v>
      </c>
      <c r="B39" s="470" t="s">
        <v>661</v>
      </c>
      <c r="C39" s="470"/>
      <c r="D39" s="474"/>
      <c r="E39" s="474"/>
      <c r="F39" s="474"/>
      <c r="G39" s="474"/>
      <c r="H39" s="474"/>
      <c r="I39" s="474"/>
      <c r="J39" s="474"/>
      <c r="K39" s="474"/>
      <c r="L39" s="474"/>
      <c r="M39" s="474"/>
      <c r="N39" s="474"/>
      <c r="O39" s="474"/>
      <c r="P39" s="470" t="s">
        <v>654</v>
      </c>
      <c r="Q39" s="483" t="s">
        <v>662</v>
      </c>
      <c r="R39" s="483" t="s">
        <v>663</v>
      </c>
      <c r="S39" s="483" t="s">
        <v>586</v>
      </c>
      <c r="T39" s="483" t="s">
        <v>664</v>
      </c>
      <c r="U39" s="461"/>
      <c r="V39" s="461"/>
      <c r="W39" s="461"/>
      <c r="X39" s="461"/>
      <c r="Y39" s="555"/>
    </row>
    <row r="40" spans="1:25" ht="79.2" x14ac:dyDescent="0.25">
      <c r="A40" s="454" t="s">
        <v>665</v>
      </c>
      <c r="B40" s="470" t="s">
        <v>666</v>
      </c>
      <c r="C40" s="470" t="s">
        <v>647</v>
      </c>
      <c r="D40" s="474">
        <v>36226.1</v>
      </c>
      <c r="E40" s="474">
        <v>13153.103999999999</v>
      </c>
      <c r="F40" s="474">
        <v>36.299999999999997</v>
      </c>
      <c r="G40" s="474">
        <v>36226.1</v>
      </c>
      <c r="H40" s="474">
        <v>13153.103999999999</v>
      </c>
      <c r="I40" s="474">
        <v>0</v>
      </c>
      <c r="J40" s="474">
        <v>0</v>
      </c>
      <c r="K40" s="474">
        <v>0</v>
      </c>
      <c r="L40" s="474">
        <v>0</v>
      </c>
      <c r="M40" s="474">
        <v>0</v>
      </c>
      <c r="N40" s="474">
        <v>0</v>
      </c>
      <c r="O40" s="474">
        <v>13153.103999999999</v>
      </c>
      <c r="P40" s="470" t="s">
        <v>654</v>
      </c>
      <c r="Q40" s="483"/>
      <c r="R40" s="483"/>
      <c r="S40" s="483" t="s">
        <v>199</v>
      </c>
      <c r="T40" s="483" t="s">
        <v>649</v>
      </c>
      <c r="U40" s="461"/>
      <c r="V40" s="461"/>
      <c r="W40" s="461"/>
      <c r="X40" s="461"/>
      <c r="Y40" s="555"/>
    </row>
    <row r="41" spans="1:25" ht="198" x14ac:dyDescent="0.25">
      <c r="A41" s="454" t="s">
        <v>667</v>
      </c>
      <c r="B41" s="470" t="s">
        <v>668</v>
      </c>
      <c r="C41" s="470" t="s">
        <v>647</v>
      </c>
      <c r="D41" s="474">
        <v>36226.1</v>
      </c>
      <c r="E41" s="474">
        <v>13153.103999999999</v>
      </c>
      <c r="F41" s="474">
        <v>36.299999999999997</v>
      </c>
      <c r="G41" s="474">
        <v>36226.1</v>
      </c>
      <c r="H41" s="474">
        <v>13153.103999999999</v>
      </c>
      <c r="I41" s="474">
        <v>0</v>
      </c>
      <c r="J41" s="474">
        <v>0</v>
      </c>
      <c r="K41" s="474">
        <v>0</v>
      </c>
      <c r="L41" s="474">
        <v>0</v>
      </c>
      <c r="M41" s="474">
        <v>0</v>
      </c>
      <c r="N41" s="474">
        <v>0</v>
      </c>
      <c r="O41" s="474">
        <v>13153.103999999999</v>
      </c>
      <c r="P41" s="470" t="s">
        <v>654</v>
      </c>
      <c r="Q41" s="483" t="s">
        <v>669</v>
      </c>
      <c r="R41" s="483" t="s">
        <v>670</v>
      </c>
      <c r="S41" s="483" t="s">
        <v>669</v>
      </c>
      <c r="T41" s="483" t="s">
        <v>671</v>
      </c>
      <c r="U41" s="461"/>
      <c r="V41" s="461"/>
      <c r="W41" s="461"/>
      <c r="X41" s="461"/>
      <c r="Y41" s="556"/>
    </row>
    <row r="42" spans="1:25" x14ac:dyDescent="0.25">
      <c r="A42" s="545" t="s">
        <v>672</v>
      </c>
      <c r="B42" s="545"/>
      <c r="C42" s="545"/>
      <c r="D42" s="545"/>
      <c r="E42" s="545"/>
      <c r="F42" s="545"/>
      <c r="G42" s="545"/>
      <c r="H42" s="545"/>
      <c r="I42" s="545"/>
      <c r="J42" s="545"/>
      <c r="K42" s="545"/>
      <c r="L42" s="545"/>
      <c r="M42" s="545"/>
      <c r="N42" s="545"/>
      <c r="O42" s="545"/>
      <c r="P42" s="545"/>
      <c r="Q42" s="545"/>
      <c r="R42" s="545"/>
      <c r="S42" s="545"/>
      <c r="T42" s="545"/>
      <c r="U42" s="545"/>
      <c r="V42" s="545"/>
      <c r="W42" s="545"/>
      <c r="X42" s="545"/>
      <c r="Y42" s="545"/>
    </row>
    <row r="43" spans="1:25" ht="40.200000000000003" customHeight="1" x14ac:dyDescent="0.25">
      <c r="A43" s="454" t="s">
        <v>673</v>
      </c>
      <c r="B43" s="470" t="s">
        <v>674</v>
      </c>
      <c r="C43" s="470" t="s">
        <v>675</v>
      </c>
      <c r="D43" s="474">
        <v>0</v>
      </c>
      <c r="E43" s="474">
        <v>0</v>
      </c>
      <c r="F43" s="474">
        <v>0</v>
      </c>
      <c r="G43" s="474">
        <v>0</v>
      </c>
      <c r="H43" s="474">
        <v>0</v>
      </c>
      <c r="I43" s="474">
        <v>0</v>
      </c>
      <c r="J43" s="474">
        <v>0</v>
      </c>
      <c r="K43" s="474">
        <v>0</v>
      </c>
      <c r="L43" s="474">
        <v>0</v>
      </c>
      <c r="M43" s="474">
        <v>0</v>
      </c>
      <c r="N43" s="474">
        <v>0</v>
      </c>
      <c r="O43" s="474">
        <v>0</v>
      </c>
      <c r="P43" s="470" t="s">
        <v>676</v>
      </c>
      <c r="Q43" s="483"/>
      <c r="R43" s="483" t="s">
        <v>649</v>
      </c>
      <c r="S43" s="483" t="s">
        <v>677</v>
      </c>
      <c r="T43" s="483" t="s">
        <v>678</v>
      </c>
      <c r="U43" s="461"/>
      <c r="V43" s="461"/>
      <c r="W43" s="461"/>
      <c r="X43" s="461"/>
      <c r="Y43" s="554" t="s">
        <v>679</v>
      </c>
    </row>
    <row r="44" spans="1:25" ht="39.6" x14ac:dyDescent="0.25">
      <c r="A44" s="454" t="s">
        <v>680</v>
      </c>
      <c r="B44" s="470" t="s">
        <v>681</v>
      </c>
      <c r="C44" s="470"/>
      <c r="D44" s="474"/>
      <c r="E44" s="474"/>
      <c r="F44" s="474"/>
      <c r="G44" s="474"/>
      <c r="H44" s="474"/>
      <c r="I44" s="474"/>
      <c r="J44" s="474"/>
      <c r="K44" s="474"/>
      <c r="L44" s="474"/>
      <c r="M44" s="474"/>
      <c r="N44" s="474"/>
      <c r="O44" s="474"/>
      <c r="P44" s="470" t="s">
        <v>682</v>
      </c>
      <c r="Q44" s="483"/>
      <c r="R44" s="483" t="s">
        <v>649</v>
      </c>
      <c r="S44" s="483" t="s">
        <v>683</v>
      </c>
      <c r="T44" s="483" t="s">
        <v>684</v>
      </c>
      <c r="U44" s="461"/>
      <c r="V44" s="461"/>
      <c r="W44" s="461"/>
      <c r="X44" s="461"/>
      <c r="Y44" s="555"/>
    </row>
    <row r="45" spans="1:25" ht="52.8" x14ac:dyDescent="0.25">
      <c r="A45" s="454" t="s">
        <v>685</v>
      </c>
      <c r="B45" s="470" t="s">
        <v>686</v>
      </c>
      <c r="C45" s="470"/>
      <c r="D45" s="474"/>
      <c r="E45" s="474"/>
      <c r="F45" s="474"/>
      <c r="G45" s="474"/>
      <c r="H45" s="474"/>
      <c r="I45" s="474"/>
      <c r="J45" s="474"/>
      <c r="K45" s="474"/>
      <c r="L45" s="474"/>
      <c r="M45" s="474"/>
      <c r="N45" s="474"/>
      <c r="O45" s="474"/>
      <c r="P45" s="470" t="s">
        <v>682</v>
      </c>
      <c r="Q45" s="483"/>
      <c r="R45" s="483" t="s">
        <v>649</v>
      </c>
      <c r="S45" s="483" t="s">
        <v>687</v>
      </c>
      <c r="T45" s="483" t="s">
        <v>688</v>
      </c>
      <c r="U45" s="461"/>
      <c r="V45" s="461"/>
      <c r="W45" s="461"/>
      <c r="X45" s="461"/>
      <c r="Y45" s="555"/>
    </row>
    <row r="46" spans="1:25" ht="65.25" customHeight="1" x14ac:dyDescent="0.25">
      <c r="A46" s="454" t="s">
        <v>689</v>
      </c>
      <c r="B46" s="470" t="s">
        <v>690</v>
      </c>
      <c r="C46" s="470"/>
      <c r="D46" s="474"/>
      <c r="E46" s="474"/>
      <c r="F46" s="474"/>
      <c r="G46" s="474"/>
      <c r="H46" s="474"/>
      <c r="I46" s="474"/>
      <c r="J46" s="474"/>
      <c r="K46" s="474"/>
      <c r="L46" s="474"/>
      <c r="M46" s="474"/>
      <c r="N46" s="474"/>
      <c r="O46" s="474"/>
      <c r="P46" s="470" t="s">
        <v>691</v>
      </c>
      <c r="Q46" s="483"/>
      <c r="R46" s="483" t="s">
        <v>649</v>
      </c>
      <c r="S46" s="483" t="s">
        <v>692</v>
      </c>
      <c r="T46" s="483" t="s">
        <v>693</v>
      </c>
      <c r="U46" s="461"/>
      <c r="V46" s="461"/>
      <c r="W46" s="461"/>
      <c r="X46" s="461"/>
      <c r="Y46" s="556"/>
    </row>
    <row r="47" spans="1:25" x14ac:dyDescent="0.25">
      <c r="A47" s="558" t="s">
        <v>694</v>
      </c>
      <c r="B47" s="559"/>
      <c r="C47" s="559"/>
      <c r="D47" s="559"/>
      <c r="E47" s="559"/>
      <c r="F47" s="559"/>
      <c r="G47" s="559"/>
      <c r="H47" s="559"/>
      <c r="I47" s="559"/>
      <c r="J47" s="559"/>
      <c r="K47" s="559"/>
      <c r="L47" s="559"/>
      <c r="M47" s="559"/>
      <c r="N47" s="559"/>
      <c r="O47" s="559"/>
      <c r="P47" s="559"/>
      <c r="Q47" s="559"/>
      <c r="R47" s="559"/>
      <c r="S47" s="559"/>
      <c r="T47" s="559"/>
      <c r="U47" s="559"/>
      <c r="V47" s="559"/>
      <c r="W47" s="559"/>
      <c r="X47" s="559"/>
      <c r="Y47" s="560"/>
    </row>
    <row r="48" spans="1:25" ht="79.2" x14ac:dyDescent="0.25">
      <c r="A48" s="454" t="s">
        <v>639</v>
      </c>
      <c r="B48" s="470" t="s">
        <v>695</v>
      </c>
      <c r="C48" s="470"/>
      <c r="D48" s="474"/>
      <c r="E48" s="474"/>
      <c r="F48" s="474"/>
      <c r="G48" s="474"/>
      <c r="H48" s="474"/>
      <c r="I48" s="474"/>
      <c r="J48" s="474"/>
      <c r="K48" s="474"/>
      <c r="L48" s="474"/>
      <c r="M48" s="474"/>
      <c r="N48" s="474"/>
      <c r="O48" s="474"/>
      <c r="P48" s="470" t="s">
        <v>696</v>
      </c>
      <c r="Q48" s="483"/>
      <c r="R48" s="483"/>
      <c r="S48" s="483" t="s">
        <v>614</v>
      </c>
      <c r="T48" s="483"/>
      <c r="U48" s="461"/>
      <c r="V48" s="461"/>
      <c r="W48" s="461"/>
      <c r="X48" s="461"/>
      <c r="Y48" s="476" t="s">
        <v>697</v>
      </c>
    </row>
    <row r="49" spans="1:25" x14ac:dyDescent="0.25">
      <c r="A49" s="545" t="s">
        <v>698</v>
      </c>
      <c r="B49" s="545"/>
      <c r="C49" s="545"/>
      <c r="D49" s="545"/>
      <c r="E49" s="545"/>
      <c r="F49" s="545"/>
      <c r="G49" s="545"/>
      <c r="H49" s="545"/>
      <c r="I49" s="545"/>
      <c r="J49" s="545"/>
      <c r="K49" s="545"/>
      <c r="L49" s="545"/>
      <c r="M49" s="545"/>
      <c r="N49" s="545"/>
      <c r="O49" s="545"/>
      <c r="P49" s="545"/>
      <c r="Q49" s="545"/>
      <c r="R49" s="545"/>
      <c r="S49" s="545"/>
      <c r="T49" s="545"/>
      <c r="U49" s="545"/>
      <c r="V49" s="545"/>
      <c r="W49" s="545"/>
      <c r="X49" s="545"/>
      <c r="Y49" s="545"/>
    </row>
    <row r="50" spans="1:25" ht="64.2" customHeight="1" x14ac:dyDescent="0.25">
      <c r="A50" s="454" t="s">
        <v>699</v>
      </c>
      <c r="B50" s="470" t="s">
        <v>700</v>
      </c>
      <c r="C50" s="470" t="s">
        <v>647</v>
      </c>
      <c r="D50" s="474">
        <v>6661</v>
      </c>
      <c r="E50" s="474">
        <v>4995</v>
      </c>
      <c r="F50" s="474">
        <v>75</v>
      </c>
      <c r="G50" s="474">
        <v>0</v>
      </c>
      <c r="H50" s="474">
        <v>0</v>
      </c>
      <c r="I50" s="474">
        <v>6661</v>
      </c>
      <c r="J50" s="474">
        <v>4995</v>
      </c>
      <c r="K50" s="474">
        <v>0</v>
      </c>
      <c r="L50" s="474">
        <v>0</v>
      </c>
      <c r="M50" s="474">
        <v>0</v>
      </c>
      <c r="N50" s="474">
        <v>0</v>
      </c>
      <c r="O50" s="474">
        <v>3833.5</v>
      </c>
      <c r="P50" s="470" t="s">
        <v>701</v>
      </c>
      <c r="Q50" s="483" t="s">
        <v>687</v>
      </c>
      <c r="R50" s="483" t="s">
        <v>702</v>
      </c>
      <c r="S50" s="483" t="s">
        <v>687</v>
      </c>
      <c r="T50" s="483" t="s">
        <v>703</v>
      </c>
      <c r="U50" s="461"/>
      <c r="V50" s="461"/>
      <c r="W50" s="461"/>
      <c r="X50" s="461"/>
      <c r="Y50" s="541" t="s">
        <v>704</v>
      </c>
    </row>
    <row r="51" spans="1:25" ht="92.4" x14ac:dyDescent="0.25">
      <c r="A51" s="561" t="s">
        <v>705</v>
      </c>
      <c r="B51" s="554" t="s">
        <v>706</v>
      </c>
      <c r="C51" s="470" t="s">
        <v>647</v>
      </c>
      <c r="D51" s="474">
        <v>8000</v>
      </c>
      <c r="E51" s="474">
        <v>2382.4</v>
      </c>
      <c r="F51" s="474">
        <v>29.8</v>
      </c>
      <c r="G51" s="474">
        <v>0</v>
      </c>
      <c r="H51" s="474">
        <v>0</v>
      </c>
      <c r="I51" s="474">
        <v>8000</v>
      </c>
      <c r="J51" s="474">
        <v>2382.4</v>
      </c>
      <c r="K51" s="474">
        <v>0</v>
      </c>
      <c r="L51" s="474">
        <v>0</v>
      </c>
      <c r="M51" s="474">
        <v>0</v>
      </c>
      <c r="N51" s="474">
        <v>0</v>
      </c>
      <c r="O51" s="474">
        <v>2382.4</v>
      </c>
      <c r="P51" s="470" t="s">
        <v>707</v>
      </c>
      <c r="Q51" s="483" t="s">
        <v>708</v>
      </c>
      <c r="R51" s="483" t="s">
        <v>709</v>
      </c>
      <c r="S51" s="483" t="s">
        <v>710</v>
      </c>
      <c r="T51" s="483" t="s">
        <v>711</v>
      </c>
      <c r="U51" s="461"/>
      <c r="V51" s="461"/>
      <c r="W51" s="461"/>
      <c r="X51" s="461"/>
      <c r="Y51" s="542"/>
    </row>
    <row r="52" spans="1:25" ht="39.6" x14ac:dyDescent="0.25">
      <c r="A52" s="562"/>
      <c r="B52" s="556"/>
      <c r="C52" s="470"/>
      <c r="D52" s="474">
        <v>0</v>
      </c>
      <c r="E52" s="474">
        <v>0</v>
      </c>
      <c r="F52" s="474">
        <v>0</v>
      </c>
      <c r="G52" s="474">
        <v>0</v>
      </c>
      <c r="H52" s="474">
        <v>0</v>
      </c>
      <c r="I52" s="474">
        <v>0</v>
      </c>
      <c r="J52" s="474">
        <v>0</v>
      </c>
      <c r="K52" s="474">
        <v>0</v>
      </c>
      <c r="L52" s="474">
        <v>0</v>
      </c>
      <c r="M52" s="474">
        <v>0</v>
      </c>
      <c r="N52" s="474">
        <v>0</v>
      </c>
      <c r="O52" s="474">
        <v>0</v>
      </c>
      <c r="P52" s="470" t="s">
        <v>712</v>
      </c>
      <c r="Q52" s="483" t="s">
        <v>200</v>
      </c>
      <c r="R52" s="483" t="s">
        <v>195</v>
      </c>
      <c r="S52" s="483" t="s">
        <v>713</v>
      </c>
      <c r="T52" s="483" t="s">
        <v>206</v>
      </c>
      <c r="U52" s="461"/>
      <c r="V52" s="461"/>
      <c r="W52" s="461"/>
      <c r="X52" s="461"/>
      <c r="Y52" s="542"/>
    </row>
    <row r="53" spans="1:25" ht="121.5" hidden="1" customHeight="1" x14ac:dyDescent="0.25">
      <c r="A53" s="454" t="s">
        <v>705</v>
      </c>
      <c r="B53" s="455" t="s">
        <v>714</v>
      </c>
      <c r="C53" s="455"/>
      <c r="D53" s="456">
        <v>0</v>
      </c>
      <c r="E53" s="456">
        <v>0</v>
      </c>
      <c r="F53" s="456">
        <v>0</v>
      </c>
      <c r="G53" s="456">
        <v>0</v>
      </c>
      <c r="H53" s="456">
        <v>0</v>
      </c>
      <c r="I53" s="456">
        <v>0</v>
      </c>
      <c r="J53" s="456">
        <v>0</v>
      </c>
      <c r="K53" s="456">
        <v>0</v>
      </c>
      <c r="L53" s="456">
        <v>0</v>
      </c>
      <c r="M53" s="456">
        <v>0</v>
      </c>
      <c r="N53" s="456">
        <v>0</v>
      </c>
      <c r="O53" s="456">
        <v>0</v>
      </c>
      <c r="P53" s="455" t="s">
        <v>712</v>
      </c>
      <c r="Q53" s="461" t="s">
        <v>715</v>
      </c>
      <c r="R53" s="461" t="s">
        <v>716</v>
      </c>
      <c r="S53" s="461"/>
      <c r="T53" s="461"/>
      <c r="U53" s="461"/>
      <c r="V53" s="461"/>
      <c r="W53" s="461"/>
      <c r="X53" s="461"/>
      <c r="Y53" s="543"/>
    </row>
    <row r="54" spans="1:25" x14ac:dyDescent="0.25">
      <c r="A54" s="545" t="s">
        <v>717</v>
      </c>
      <c r="B54" s="545"/>
      <c r="C54" s="545"/>
      <c r="D54" s="545"/>
      <c r="E54" s="545"/>
      <c r="F54" s="545"/>
      <c r="G54" s="545"/>
      <c r="H54" s="545"/>
      <c r="I54" s="545"/>
      <c r="J54" s="545"/>
      <c r="K54" s="545"/>
      <c r="L54" s="545"/>
      <c r="M54" s="545"/>
      <c r="N54" s="545"/>
      <c r="O54" s="545"/>
      <c r="P54" s="545"/>
      <c r="Q54" s="545"/>
      <c r="R54" s="545"/>
      <c r="S54" s="545"/>
      <c r="T54" s="545"/>
      <c r="U54" s="545"/>
      <c r="V54" s="545"/>
      <c r="W54" s="545"/>
      <c r="X54" s="545"/>
      <c r="Y54" s="545"/>
    </row>
    <row r="55" spans="1:25" ht="66" x14ac:dyDescent="0.25">
      <c r="A55" s="454" t="s">
        <v>718</v>
      </c>
      <c r="B55" s="470" t="s">
        <v>719</v>
      </c>
      <c r="C55" s="470" t="s">
        <v>647</v>
      </c>
      <c r="D55" s="474">
        <v>250</v>
      </c>
      <c r="E55" s="474">
        <v>50</v>
      </c>
      <c r="F55" s="474">
        <v>20</v>
      </c>
      <c r="G55" s="474">
        <v>93.3</v>
      </c>
      <c r="H55" s="474">
        <v>18.66</v>
      </c>
      <c r="I55" s="474">
        <v>156.69999999999999</v>
      </c>
      <c r="J55" s="474">
        <v>31.34</v>
      </c>
      <c r="K55" s="474">
        <v>0</v>
      </c>
      <c r="L55" s="474">
        <v>0</v>
      </c>
      <c r="M55" s="474">
        <v>0</v>
      </c>
      <c r="N55" s="474">
        <v>0</v>
      </c>
      <c r="O55" s="474">
        <v>50</v>
      </c>
      <c r="P55" s="470" t="s">
        <v>720</v>
      </c>
      <c r="Q55" s="461" t="s">
        <v>15</v>
      </c>
      <c r="R55" s="461" t="s">
        <v>15</v>
      </c>
      <c r="S55" s="461" t="s">
        <v>16</v>
      </c>
      <c r="T55" s="461" t="s">
        <v>15</v>
      </c>
      <c r="U55" s="461"/>
      <c r="V55" s="461"/>
      <c r="W55" s="461"/>
      <c r="X55" s="461"/>
      <c r="Y55" s="470" t="s">
        <v>721</v>
      </c>
    </row>
    <row r="56" spans="1:25" x14ac:dyDescent="0.25">
      <c r="A56" s="549" t="s">
        <v>722</v>
      </c>
      <c r="B56" s="549"/>
      <c r="C56" s="549"/>
      <c r="D56" s="549"/>
      <c r="E56" s="549"/>
      <c r="F56" s="549"/>
      <c r="G56" s="549"/>
      <c r="H56" s="549"/>
      <c r="I56" s="549"/>
      <c r="J56" s="549"/>
      <c r="K56" s="549"/>
      <c r="L56" s="549"/>
      <c r="M56" s="549"/>
      <c r="N56" s="549"/>
      <c r="O56" s="549"/>
      <c r="P56" s="549"/>
      <c r="Q56" s="549"/>
      <c r="R56" s="549"/>
      <c r="S56" s="549"/>
      <c r="T56" s="549"/>
      <c r="U56" s="549"/>
      <c r="V56" s="549"/>
      <c r="W56" s="549"/>
      <c r="X56" s="549"/>
      <c r="Y56" s="549"/>
    </row>
    <row r="57" spans="1:25" ht="53.4" customHeight="1" x14ac:dyDescent="0.25">
      <c r="A57" s="462" t="s">
        <v>723</v>
      </c>
      <c r="B57" s="470" t="s">
        <v>724</v>
      </c>
      <c r="C57" s="470" t="s">
        <v>725</v>
      </c>
      <c r="D57" s="474">
        <v>24668.7</v>
      </c>
      <c r="E57" s="474">
        <v>21695.5</v>
      </c>
      <c r="F57" s="474">
        <v>87.9</v>
      </c>
      <c r="G57" s="474">
        <v>1050</v>
      </c>
      <c r="H57" s="474">
        <v>1050</v>
      </c>
      <c r="I57" s="474">
        <v>23554.6</v>
      </c>
      <c r="J57" s="474">
        <v>20592</v>
      </c>
      <c r="K57" s="474">
        <v>64.099999999999994</v>
      </c>
      <c r="L57" s="474">
        <v>53.5</v>
      </c>
      <c r="M57" s="474">
        <v>0</v>
      </c>
      <c r="N57" s="474">
        <v>0</v>
      </c>
      <c r="O57" s="474">
        <v>21695.5</v>
      </c>
      <c r="P57" s="470" t="s">
        <v>726</v>
      </c>
      <c r="Q57" s="464"/>
      <c r="R57" s="464"/>
      <c r="S57" s="461" t="s">
        <v>727</v>
      </c>
      <c r="T57" s="461" t="s">
        <v>728</v>
      </c>
      <c r="U57" s="461"/>
      <c r="V57" s="461"/>
      <c r="W57" s="464"/>
      <c r="X57" s="464"/>
      <c r="Y57" s="470" t="s">
        <v>729</v>
      </c>
    </row>
    <row r="58" spans="1:25" ht="79.2" hidden="1" x14ac:dyDescent="0.25">
      <c r="A58" s="454" t="s">
        <v>723</v>
      </c>
      <c r="B58" s="455" t="s">
        <v>724</v>
      </c>
      <c r="C58" s="455"/>
      <c r="D58" s="456">
        <v>0</v>
      </c>
      <c r="E58" s="456">
        <v>0</v>
      </c>
      <c r="F58" s="456">
        <v>0</v>
      </c>
      <c r="G58" s="456">
        <v>0</v>
      </c>
      <c r="H58" s="456">
        <v>0</v>
      </c>
      <c r="I58" s="456">
        <v>0</v>
      </c>
      <c r="J58" s="456">
        <v>0</v>
      </c>
      <c r="K58" s="456">
        <v>0</v>
      </c>
      <c r="L58" s="456">
        <v>0</v>
      </c>
      <c r="M58" s="456">
        <v>0</v>
      </c>
      <c r="N58" s="456">
        <v>0</v>
      </c>
      <c r="O58" s="456">
        <v>0</v>
      </c>
      <c r="P58" s="455" t="s">
        <v>730</v>
      </c>
      <c r="Q58" s="461"/>
      <c r="R58" s="461"/>
      <c r="S58" s="461"/>
      <c r="T58" s="461"/>
      <c r="U58" s="461" t="s">
        <v>731</v>
      </c>
      <c r="V58" s="461" t="s">
        <v>732</v>
      </c>
      <c r="W58" s="461"/>
      <c r="X58" s="461"/>
      <c r="Y58" s="465" t="s">
        <v>31</v>
      </c>
    </row>
    <row r="59" spans="1:25" ht="132" hidden="1" x14ac:dyDescent="0.25">
      <c r="A59" s="454" t="s">
        <v>639</v>
      </c>
      <c r="B59" s="455" t="s">
        <v>733</v>
      </c>
      <c r="C59" s="455"/>
      <c r="D59" s="456">
        <v>0</v>
      </c>
      <c r="E59" s="456">
        <v>0</v>
      </c>
      <c r="F59" s="456">
        <v>0</v>
      </c>
      <c r="G59" s="456">
        <v>0</v>
      </c>
      <c r="H59" s="456">
        <v>0</v>
      </c>
      <c r="I59" s="456">
        <v>0</v>
      </c>
      <c r="J59" s="456">
        <v>0</v>
      </c>
      <c r="K59" s="456">
        <v>0</v>
      </c>
      <c r="L59" s="456">
        <v>0</v>
      </c>
      <c r="M59" s="456">
        <v>0</v>
      </c>
      <c r="N59" s="456">
        <v>0</v>
      </c>
      <c r="O59" s="456">
        <v>0</v>
      </c>
      <c r="P59" s="455" t="s">
        <v>734</v>
      </c>
      <c r="Q59" s="461"/>
      <c r="R59" s="461"/>
      <c r="S59" s="461"/>
      <c r="T59" s="461"/>
      <c r="U59" s="461" t="s">
        <v>735</v>
      </c>
      <c r="V59" s="461" t="s">
        <v>736</v>
      </c>
      <c r="W59" s="461"/>
      <c r="X59" s="461"/>
      <c r="Y59" s="465" t="s">
        <v>31</v>
      </c>
    </row>
    <row r="60" spans="1:25" hidden="1" x14ac:dyDescent="0.25">
      <c r="A60" s="454"/>
      <c r="B60" s="455"/>
      <c r="C60" s="455"/>
      <c r="D60" s="456"/>
      <c r="E60" s="456"/>
      <c r="F60" s="456"/>
      <c r="G60" s="456"/>
      <c r="H60" s="456"/>
      <c r="I60" s="456"/>
      <c r="J60" s="456"/>
      <c r="K60" s="456"/>
      <c r="L60" s="456"/>
      <c r="M60" s="456"/>
      <c r="N60" s="456"/>
      <c r="O60" s="456"/>
      <c r="P60" s="455"/>
      <c r="Q60" s="461"/>
      <c r="R60" s="461"/>
      <c r="S60" s="461"/>
      <c r="T60" s="461"/>
      <c r="U60" s="461"/>
      <c r="V60" s="461"/>
      <c r="W60" s="461"/>
      <c r="X60" s="461"/>
      <c r="Y60" s="450"/>
    </row>
    <row r="61" spans="1:25" x14ac:dyDescent="0.25">
      <c r="A61" s="549" t="s">
        <v>737</v>
      </c>
      <c r="B61" s="549"/>
      <c r="C61" s="549"/>
      <c r="D61" s="549"/>
      <c r="E61" s="549"/>
      <c r="F61" s="549"/>
      <c r="G61" s="549"/>
      <c r="H61" s="549"/>
      <c r="I61" s="549"/>
      <c r="J61" s="549"/>
      <c r="K61" s="549"/>
      <c r="L61" s="549"/>
      <c r="M61" s="549"/>
      <c r="N61" s="549"/>
      <c r="O61" s="549"/>
      <c r="P61" s="549"/>
      <c r="Q61" s="549"/>
      <c r="R61" s="549"/>
      <c r="S61" s="549"/>
      <c r="T61" s="549"/>
      <c r="U61" s="549"/>
      <c r="V61" s="549"/>
      <c r="W61" s="549"/>
      <c r="X61" s="549"/>
      <c r="Y61" s="549"/>
    </row>
    <row r="62" spans="1:25" x14ac:dyDescent="0.25">
      <c r="A62" s="535" t="s">
        <v>738</v>
      </c>
      <c r="B62" s="535"/>
      <c r="C62" s="535"/>
      <c r="D62" s="535"/>
      <c r="E62" s="535"/>
      <c r="F62" s="535"/>
      <c r="G62" s="535"/>
      <c r="H62" s="535"/>
      <c r="I62" s="535"/>
      <c r="J62" s="535"/>
      <c r="K62" s="535"/>
      <c r="L62" s="535"/>
      <c r="M62" s="535"/>
      <c r="N62" s="535"/>
      <c r="O62" s="535"/>
      <c r="P62" s="535"/>
      <c r="Q62" s="535"/>
      <c r="R62" s="535"/>
      <c r="S62" s="535"/>
      <c r="T62" s="535"/>
      <c r="U62" s="535"/>
      <c r="V62" s="535"/>
      <c r="W62" s="535"/>
      <c r="X62" s="535"/>
      <c r="Y62" s="535"/>
    </row>
    <row r="63" spans="1:25" ht="92.4" customHeight="1" x14ac:dyDescent="0.25">
      <c r="A63" s="455" t="s">
        <v>673</v>
      </c>
      <c r="B63" s="470" t="s">
        <v>739</v>
      </c>
      <c r="C63" s="470"/>
      <c r="D63" s="470"/>
      <c r="E63" s="470"/>
      <c r="F63" s="470"/>
      <c r="G63" s="470"/>
      <c r="H63" s="470"/>
      <c r="I63" s="470"/>
      <c r="J63" s="470"/>
      <c r="K63" s="470"/>
      <c r="L63" s="470"/>
      <c r="M63" s="470"/>
      <c r="N63" s="470"/>
      <c r="O63" s="470"/>
      <c r="P63" s="470" t="s">
        <v>740</v>
      </c>
      <c r="Q63" s="482" t="s">
        <v>741</v>
      </c>
      <c r="R63" s="482" t="s">
        <v>741</v>
      </c>
      <c r="S63" s="482" t="s">
        <v>742</v>
      </c>
      <c r="T63" s="482" t="s">
        <v>743</v>
      </c>
      <c r="U63" s="455"/>
      <c r="V63" s="455"/>
      <c r="W63" s="455"/>
      <c r="X63" s="455"/>
      <c r="Y63" s="470" t="s">
        <v>1163</v>
      </c>
    </row>
    <row r="64" spans="1:25" ht="39.6" x14ac:dyDescent="0.25">
      <c r="A64" s="454" t="s">
        <v>744</v>
      </c>
      <c r="B64" s="466" t="s">
        <v>745</v>
      </c>
      <c r="C64" s="470"/>
      <c r="D64" s="474">
        <v>0</v>
      </c>
      <c r="E64" s="474">
        <v>0</v>
      </c>
      <c r="F64" s="474">
        <v>0</v>
      </c>
      <c r="G64" s="474">
        <v>0</v>
      </c>
      <c r="H64" s="474">
        <v>0</v>
      </c>
      <c r="I64" s="474">
        <v>0</v>
      </c>
      <c r="J64" s="474">
        <v>0</v>
      </c>
      <c r="K64" s="474">
        <v>0</v>
      </c>
      <c r="L64" s="474">
        <v>0</v>
      </c>
      <c r="M64" s="474">
        <v>0</v>
      </c>
      <c r="N64" s="474">
        <v>0</v>
      </c>
      <c r="O64" s="474">
        <v>0</v>
      </c>
      <c r="P64" s="470" t="s">
        <v>746</v>
      </c>
      <c r="Q64" s="483"/>
      <c r="R64" s="483"/>
      <c r="S64" s="483" t="s">
        <v>747</v>
      </c>
      <c r="T64" s="483" t="s">
        <v>748</v>
      </c>
      <c r="U64" s="461"/>
      <c r="V64" s="461"/>
      <c r="W64" s="461"/>
      <c r="X64" s="461"/>
      <c r="Y64" s="470" t="s">
        <v>749</v>
      </c>
    </row>
    <row r="65" spans="1:25" ht="52.8" x14ac:dyDescent="0.25">
      <c r="A65" s="454" t="s">
        <v>625</v>
      </c>
      <c r="B65" s="466" t="s">
        <v>750</v>
      </c>
      <c r="C65" s="470"/>
      <c r="D65" s="474">
        <v>0</v>
      </c>
      <c r="E65" s="474">
        <v>0</v>
      </c>
      <c r="F65" s="474">
        <v>0</v>
      </c>
      <c r="G65" s="474">
        <v>0</v>
      </c>
      <c r="H65" s="474">
        <v>0</v>
      </c>
      <c r="I65" s="474">
        <v>0</v>
      </c>
      <c r="J65" s="474">
        <v>0</v>
      </c>
      <c r="K65" s="474">
        <v>0</v>
      </c>
      <c r="L65" s="474">
        <v>0</v>
      </c>
      <c r="M65" s="474">
        <v>0</v>
      </c>
      <c r="N65" s="474">
        <v>0</v>
      </c>
      <c r="O65" s="474">
        <v>0</v>
      </c>
      <c r="P65" s="470" t="s">
        <v>751</v>
      </c>
      <c r="Q65" s="483"/>
      <c r="R65" s="483" t="s">
        <v>629</v>
      </c>
      <c r="S65" s="483" t="s">
        <v>752</v>
      </c>
      <c r="T65" s="483">
        <v>60</v>
      </c>
      <c r="U65" s="461"/>
      <c r="V65" s="461"/>
      <c r="W65" s="461"/>
      <c r="X65" s="461"/>
      <c r="Y65" s="470" t="s">
        <v>753</v>
      </c>
    </row>
    <row r="66" spans="1:25" ht="39.6" x14ac:dyDescent="0.25">
      <c r="A66" s="454" t="s">
        <v>754</v>
      </c>
      <c r="B66" s="470" t="s">
        <v>755</v>
      </c>
      <c r="C66" s="470"/>
      <c r="D66" s="474">
        <v>0</v>
      </c>
      <c r="E66" s="474">
        <v>0</v>
      </c>
      <c r="F66" s="474">
        <v>0</v>
      </c>
      <c r="G66" s="474">
        <v>0</v>
      </c>
      <c r="H66" s="474">
        <v>0</v>
      </c>
      <c r="I66" s="474">
        <v>0</v>
      </c>
      <c r="J66" s="474">
        <v>0</v>
      </c>
      <c r="K66" s="474">
        <v>0</v>
      </c>
      <c r="L66" s="474">
        <v>0</v>
      </c>
      <c r="M66" s="474">
        <v>0</v>
      </c>
      <c r="N66" s="474">
        <v>0</v>
      </c>
      <c r="O66" s="474">
        <v>0</v>
      </c>
      <c r="P66" s="470" t="s">
        <v>756</v>
      </c>
      <c r="Q66" s="483"/>
      <c r="R66" s="483"/>
      <c r="S66" s="483" t="s">
        <v>15</v>
      </c>
      <c r="T66" s="483" t="s">
        <v>649</v>
      </c>
      <c r="U66" s="461"/>
      <c r="V66" s="461"/>
      <c r="W66" s="461"/>
      <c r="X66" s="461"/>
      <c r="Y66" s="470" t="s">
        <v>757</v>
      </c>
    </row>
    <row r="67" spans="1:25" x14ac:dyDescent="0.25">
      <c r="A67" s="557" t="s">
        <v>758</v>
      </c>
      <c r="B67" s="547"/>
      <c r="C67" s="547"/>
      <c r="D67" s="547"/>
      <c r="E67" s="547"/>
      <c r="F67" s="547"/>
      <c r="G67" s="547"/>
      <c r="H67" s="547"/>
      <c r="I67" s="547"/>
      <c r="J67" s="547"/>
      <c r="K67" s="547"/>
      <c r="L67" s="547"/>
      <c r="M67" s="547"/>
      <c r="N67" s="547"/>
      <c r="O67" s="547"/>
      <c r="P67" s="547"/>
      <c r="Q67" s="547"/>
      <c r="R67" s="547"/>
      <c r="S67" s="547"/>
      <c r="T67" s="547"/>
      <c r="U67" s="547"/>
      <c r="V67" s="547"/>
      <c r="W67" s="547"/>
      <c r="X67" s="547"/>
      <c r="Y67" s="548"/>
    </row>
    <row r="68" spans="1:25" ht="54" customHeight="1" x14ac:dyDescent="0.25">
      <c r="A68" s="454" t="s">
        <v>759</v>
      </c>
      <c r="B68" s="470" t="s">
        <v>760</v>
      </c>
      <c r="C68" s="470" t="s">
        <v>761</v>
      </c>
      <c r="D68" s="474">
        <v>360</v>
      </c>
      <c r="E68" s="474">
        <v>0</v>
      </c>
      <c r="F68" s="474">
        <v>0</v>
      </c>
      <c r="G68" s="474">
        <v>0</v>
      </c>
      <c r="H68" s="474">
        <v>0</v>
      </c>
      <c r="I68" s="474">
        <v>360</v>
      </c>
      <c r="J68" s="474">
        <v>0</v>
      </c>
      <c r="K68" s="474">
        <v>0</v>
      </c>
      <c r="L68" s="474">
        <v>0</v>
      </c>
      <c r="M68" s="474">
        <v>0</v>
      </c>
      <c r="N68" s="474">
        <v>0</v>
      </c>
      <c r="O68" s="474">
        <v>0</v>
      </c>
      <c r="P68" s="470" t="s">
        <v>762</v>
      </c>
      <c r="Q68" s="483"/>
      <c r="R68" s="483"/>
      <c r="S68" s="483" t="s">
        <v>17</v>
      </c>
      <c r="T68" s="483" t="s">
        <v>649</v>
      </c>
      <c r="U68" s="461"/>
      <c r="V68" s="461"/>
      <c r="W68" s="461"/>
      <c r="X68" s="461"/>
      <c r="Y68" s="470" t="s">
        <v>763</v>
      </c>
    </row>
    <row r="69" spans="1:25" ht="52.8" x14ac:dyDescent="0.25">
      <c r="A69" s="454" t="s">
        <v>680</v>
      </c>
      <c r="B69" s="470" t="s">
        <v>764</v>
      </c>
      <c r="C69" s="470"/>
      <c r="D69" s="474"/>
      <c r="E69" s="474"/>
      <c r="F69" s="474"/>
      <c r="G69" s="474"/>
      <c r="H69" s="474"/>
      <c r="I69" s="474"/>
      <c r="J69" s="474"/>
      <c r="K69" s="474"/>
      <c r="L69" s="474"/>
      <c r="M69" s="474"/>
      <c r="N69" s="474"/>
      <c r="O69" s="474"/>
      <c r="P69" s="470" t="s">
        <v>765</v>
      </c>
      <c r="Q69" s="483"/>
      <c r="R69" s="483"/>
      <c r="S69" s="483" t="s">
        <v>17</v>
      </c>
      <c r="T69" s="483" t="s">
        <v>16</v>
      </c>
      <c r="U69" s="461"/>
      <c r="V69" s="461"/>
      <c r="W69" s="461"/>
      <c r="X69" s="461"/>
      <c r="Y69" s="470" t="s">
        <v>766</v>
      </c>
    </row>
    <row r="70" spans="1:25" ht="26.4" x14ac:dyDescent="0.25">
      <c r="A70" s="454" t="s">
        <v>767</v>
      </c>
      <c r="B70" s="470" t="s">
        <v>768</v>
      </c>
      <c r="C70" s="470"/>
      <c r="D70" s="474"/>
      <c r="E70" s="474"/>
      <c r="F70" s="474"/>
      <c r="G70" s="474"/>
      <c r="H70" s="474"/>
      <c r="I70" s="474"/>
      <c r="J70" s="474"/>
      <c r="K70" s="474"/>
      <c r="L70" s="474"/>
      <c r="M70" s="474"/>
      <c r="N70" s="474"/>
      <c r="O70" s="474"/>
      <c r="P70" s="470" t="s">
        <v>769</v>
      </c>
      <c r="Q70" s="483"/>
      <c r="R70" s="483"/>
      <c r="S70" s="483" t="s">
        <v>15</v>
      </c>
      <c r="T70" s="483" t="s">
        <v>649</v>
      </c>
      <c r="U70" s="461"/>
      <c r="V70" s="461"/>
      <c r="W70" s="461"/>
      <c r="X70" s="461"/>
      <c r="Y70" s="470" t="s">
        <v>770</v>
      </c>
    </row>
    <row r="71" spans="1:25" x14ac:dyDescent="0.25">
      <c r="A71" s="557" t="s">
        <v>771</v>
      </c>
      <c r="B71" s="547"/>
      <c r="C71" s="547"/>
      <c r="D71" s="547"/>
      <c r="E71" s="547"/>
      <c r="F71" s="547"/>
      <c r="G71" s="547"/>
      <c r="H71" s="547"/>
      <c r="I71" s="547"/>
      <c r="J71" s="547"/>
      <c r="K71" s="547"/>
      <c r="L71" s="547"/>
      <c r="M71" s="547"/>
      <c r="N71" s="547"/>
      <c r="O71" s="547"/>
      <c r="P71" s="547"/>
      <c r="Q71" s="547"/>
      <c r="R71" s="547"/>
      <c r="S71" s="547"/>
      <c r="T71" s="547"/>
      <c r="U71" s="547"/>
      <c r="V71" s="547"/>
      <c r="W71" s="547"/>
      <c r="X71" s="547"/>
      <c r="Y71" s="548"/>
    </row>
    <row r="72" spans="1:25" ht="92.4" x14ac:dyDescent="0.25">
      <c r="A72" s="454" t="s">
        <v>673</v>
      </c>
      <c r="B72" s="470" t="s">
        <v>772</v>
      </c>
      <c r="C72" s="455" t="s">
        <v>761</v>
      </c>
      <c r="D72" s="456"/>
      <c r="E72" s="456"/>
      <c r="F72" s="456"/>
      <c r="G72" s="456"/>
      <c r="H72" s="456"/>
      <c r="I72" s="456"/>
      <c r="J72" s="456"/>
      <c r="K72" s="456"/>
      <c r="L72" s="456"/>
      <c r="M72" s="456"/>
      <c r="N72" s="456"/>
      <c r="O72" s="456"/>
      <c r="P72" s="470" t="s">
        <v>773</v>
      </c>
      <c r="Q72" s="483" t="s">
        <v>584</v>
      </c>
      <c r="R72" s="483" t="s">
        <v>584</v>
      </c>
      <c r="S72" s="483" t="s">
        <v>586</v>
      </c>
      <c r="T72" s="483" t="s">
        <v>774</v>
      </c>
      <c r="U72" s="461"/>
      <c r="V72" s="461"/>
      <c r="W72" s="461"/>
      <c r="X72" s="461"/>
      <c r="Y72" s="470" t="s">
        <v>775</v>
      </c>
    </row>
    <row r="73" spans="1:25" ht="79.2" x14ac:dyDescent="0.25">
      <c r="A73" s="454" t="s">
        <v>576</v>
      </c>
      <c r="B73" s="470" t="s">
        <v>776</v>
      </c>
      <c r="C73" s="455" t="s">
        <v>777</v>
      </c>
      <c r="D73" s="456"/>
      <c r="E73" s="456"/>
      <c r="F73" s="456"/>
      <c r="G73" s="456"/>
      <c r="H73" s="456"/>
      <c r="I73" s="456"/>
      <c r="J73" s="456"/>
      <c r="K73" s="456"/>
      <c r="L73" s="456"/>
      <c r="M73" s="456"/>
      <c r="N73" s="456"/>
      <c r="O73" s="456"/>
      <c r="P73" s="470" t="s">
        <v>778</v>
      </c>
      <c r="Q73" s="483" t="s">
        <v>584</v>
      </c>
      <c r="R73" s="483" t="s">
        <v>584</v>
      </c>
      <c r="S73" s="483" t="s">
        <v>586</v>
      </c>
      <c r="T73" s="483" t="s">
        <v>779</v>
      </c>
      <c r="U73" s="461"/>
      <c r="V73" s="461"/>
      <c r="W73" s="461"/>
      <c r="X73" s="461"/>
      <c r="Y73" s="470" t="s">
        <v>775</v>
      </c>
    </row>
    <row r="74" spans="1:25" hidden="1" x14ac:dyDescent="0.25">
      <c r="A74" s="545" t="s">
        <v>771</v>
      </c>
      <c r="B74" s="545"/>
      <c r="C74" s="545"/>
      <c r="D74" s="545"/>
      <c r="E74" s="545"/>
      <c r="F74" s="545"/>
      <c r="G74" s="545"/>
      <c r="H74" s="545"/>
      <c r="I74" s="545"/>
      <c r="J74" s="545"/>
      <c r="K74" s="545"/>
      <c r="L74" s="545"/>
      <c r="M74" s="545"/>
      <c r="N74" s="545"/>
      <c r="O74" s="545"/>
      <c r="P74" s="545"/>
      <c r="Q74" s="545"/>
      <c r="R74" s="545"/>
      <c r="S74" s="545"/>
      <c r="T74" s="545"/>
      <c r="U74" s="545"/>
      <c r="V74" s="545"/>
      <c r="W74" s="545"/>
      <c r="X74" s="545"/>
      <c r="Y74" s="545"/>
    </row>
    <row r="75" spans="1:25" ht="105.6" hidden="1" x14ac:dyDescent="0.25">
      <c r="A75" s="454" t="s">
        <v>780</v>
      </c>
      <c r="B75" s="455" t="s">
        <v>781</v>
      </c>
      <c r="C75" s="455" t="s">
        <v>761</v>
      </c>
      <c r="D75" s="456">
        <v>614.6</v>
      </c>
      <c r="E75" s="456">
        <v>307.3</v>
      </c>
      <c r="F75" s="456">
        <v>50</v>
      </c>
      <c r="G75" s="456">
        <v>0</v>
      </c>
      <c r="H75" s="456">
        <v>0</v>
      </c>
      <c r="I75" s="456">
        <v>614.6</v>
      </c>
      <c r="J75" s="456">
        <v>307.3</v>
      </c>
      <c r="K75" s="456">
        <v>0</v>
      </c>
      <c r="L75" s="456">
        <v>0</v>
      </c>
      <c r="M75" s="456">
        <v>0</v>
      </c>
      <c r="N75" s="456">
        <v>0</v>
      </c>
      <c r="O75" s="456">
        <v>307.3</v>
      </c>
      <c r="P75" s="455" t="s">
        <v>782</v>
      </c>
      <c r="Q75" s="461" t="s">
        <v>584</v>
      </c>
      <c r="R75" s="461" t="s">
        <v>584</v>
      </c>
      <c r="S75" s="461" t="s">
        <v>586</v>
      </c>
      <c r="T75" s="461" t="s">
        <v>586</v>
      </c>
      <c r="U75" s="461" t="s">
        <v>587</v>
      </c>
      <c r="V75" s="461" t="s">
        <v>586</v>
      </c>
      <c r="W75" s="461"/>
      <c r="X75" s="461"/>
      <c r="Y75" s="455" t="s">
        <v>783</v>
      </c>
    </row>
    <row r="76" spans="1:25" ht="118.8" hidden="1" x14ac:dyDescent="0.25">
      <c r="A76" s="454" t="s">
        <v>576</v>
      </c>
      <c r="B76" s="455" t="s">
        <v>776</v>
      </c>
      <c r="C76" s="455" t="s">
        <v>777</v>
      </c>
      <c r="D76" s="456">
        <v>10708.1</v>
      </c>
      <c r="E76" s="456">
        <v>7379.8</v>
      </c>
      <c r="F76" s="456">
        <v>68.900000000000006</v>
      </c>
      <c r="G76" s="456">
        <v>0</v>
      </c>
      <c r="H76" s="456">
        <v>0</v>
      </c>
      <c r="I76" s="456">
        <v>10708.1</v>
      </c>
      <c r="J76" s="456">
        <v>7379.8</v>
      </c>
      <c r="K76" s="456">
        <v>0</v>
      </c>
      <c r="L76" s="456">
        <v>0</v>
      </c>
      <c r="M76" s="456">
        <v>0</v>
      </c>
      <c r="N76" s="456">
        <v>0</v>
      </c>
      <c r="O76" s="456">
        <v>7379.8</v>
      </c>
      <c r="P76" s="455" t="s">
        <v>778</v>
      </c>
      <c r="Q76" s="461" t="s">
        <v>584</v>
      </c>
      <c r="R76" s="461" t="s">
        <v>584</v>
      </c>
      <c r="S76" s="461" t="s">
        <v>586</v>
      </c>
      <c r="T76" s="461" t="s">
        <v>586</v>
      </c>
      <c r="U76" s="461" t="s">
        <v>587</v>
      </c>
      <c r="V76" s="461" t="s">
        <v>784</v>
      </c>
      <c r="W76" s="461"/>
      <c r="X76" s="461"/>
      <c r="Y76" s="455" t="s">
        <v>785</v>
      </c>
    </row>
    <row r="77" spans="1:25" x14ac:dyDescent="0.25">
      <c r="A77" s="549" t="s">
        <v>786</v>
      </c>
      <c r="B77" s="549"/>
      <c r="C77" s="549"/>
      <c r="D77" s="549"/>
      <c r="E77" s="549"/>
      <c r="F77" s="549"/>
      <c r="G77" s="549"/>
      <c r="H77" s="549"/>
      <c r="I77" s="549"/>
      <c r="J77" s="549"/>
      <c r="K77" s="549"/>
      <c r="L77" s="549"/>
      <c r="M77" s="549"/>
      <c r="N77" s="549"/>
      <c r="O77" s="549"/>
      <c r="P77" s="549"/>
      <c r="Q77" s="549"/>
      <c r="R77" s="549"/>
      <c r="S77" s="549"/>
      <c r="T77" s="549"/>
      <c r="U77" s="549"/>
      <c r="V77" s="549"/>
      <c r="W77" s="549"/>
      <c r="X77" s="549"/>
      <c r="Y77" s="549"/>
    </row>
    <row r="78" spans="1:25" x14ac:dyDescent="0.25">
      <c r="A78" s="545" t="s">
        <v>787</v>
      </c>
      <c r="B78" s="545"/>
      <c r="C78" s="545"/>
      <c r="D78" s="545"/>
      <c r="E78" s="545"/>
      <c r="F78" s="545"/>
      <c r="G78" s="545"/>
      <c r="H78" s="545"/>
      <c r="I78" s="545"/>
      <c r="J78" s="545"/>
      <c r="K78" s="545"/>
      <c r="L78" s="545"/>
      <c r="M78" s="545"/>
      <c r="N78" s="545"/>
      <c r="O78" s="545"/>
      <c r="P78" s="545"/>
      <c r="Q78" s="545"/>
      <c r="R78" s="545"/>
      <c r="S78" s="545"/>
      <c r="T78" s="545"/>
      <c r="U78" s="545"/>
      <c r="V78" s="545"/>
      <c r="W78" s="545"/>
      <c r="X78" s="545"/>
      <c r="Y78" s="545"/>
    </row>
    <row r="79" spans="1:25" ht="92.4" hidden="1" x14ac:dyDescent="0.25">
      <c r="A79" s="454" t="s">
        <v>603</v>
      </c>
      <c r="B79" s="455" t="s">
        <v>788</v>
      </c>
      <c r="C79" s="455"/>
      <c r="D79" s="456">
        <v>0</v>
      </c>
      <c r="E79" s="456">
        <v>0</v>
      </c>
      <c r="F79" s="456">
        <v>0</v>
      </c>
      <c r="G79" s="456">
        <v>0</v>
      </c>
      <c r="H79" s="456">
        <v>0</v>
      </c>
      <c r="I79" s="456">
        <v>0</v>
      </c>
      <c r="J79" s="456">
        <v>0</v>
      </c>
      <c r="K79" s="456">
        <v>0</v>
      </c>
      <c r="L79" s="456">
        <v>0</v>
      </c>
      <c r="M79" s="456">
        <v>0</v>
      </c>
      <c r="N79" s="456">
        <v>0</v>
      </c>
      <c r="O79" s="456">
        <v>0</v>
      </c>
      <c r="P79" s="455" t="s">
        <v>789</v>
      </c>
      <c r="Q79" s="461"/>
      <c r="R79" s="461"/>
      <c r="S79" s="461"/>
      <c r="T79" s="461"/>
      <c r="U79" s="461" t="s">
        <v>731</v>
      </c>
      <c r="V79" s="461" t="s">
        <v>790</v>
      </c>
      <c r="W79" s="461"/>
      <c r="X79" s="461"/>
      <c r="Y79" s="465" t="s">
        <v>31</v>
      </c>
    </row>
    <row r="80" spans="1:25" ht="198" x14ac:dyDescent="0.25">
      <c r="A80" s="454" t="s">
        <v>791</v>
      </c>
      <c r="B80" s="470" t="s">
        <v>792</v>
      </c>
      <c r="C80" s="470" t="s">
        <v>647</v>
      </c>
      <c r="D80" s="474">
        <v>4000</v>
      </c>
      <c r="E80" s="474">
        <v>0</v>
      </c>
      <c r="F80" s="474">
        <v>0</v>
      </c>
      <c r="G80" s="474">
        <v>0</v>
      </c>
      <c r="H80" s="474">
        <v>0</v>
      </c>
      <c r="I80" s="474">
        <v>4000</v>
      </c>
      <c r="J80" s="474">
        <v>0</v>
      </c>
      <c r="K80" s="474">
        <v>0</v>
      </c>
      <c r="L80" s="474">
        <v>0</v>
      </c>
      <c r="M80" s="474">
        <v>0</v>
      </c>
      <c r="N80" s="474">
        <v>0</v>
      </c>
      <c r="O80" s="474">
        <v>0</v>
      </c>
      <c r="P80" s="470" t="s">
        <v>793</v>
      </c>
      <c r="Q80" s="483"/>
      <c r="R80" s="483"/>
      <c r="S80" s="483" t="s">
        <v>614</v>
      </c>
      <c r="T80" s="483" t="s">
        <v>108</v>
      </c>
      <c r="U80" s="461"/>
      <c r="V80" s="461"/>
      <c r="W80" s="461"/>
      <c r="X80" s="461"/>
      <c r="Y80" s="470" t="s">
        <v>794</v>
      </c>
    </row>
    <row r="81" spans="1:25" hidden="1" x14ac:dyDescent="0.25">
      <c r="A81" s="545" t="s">
        <v>795</v>
      </c>
      <c r="B81" s="545"/>
      <c r="C81" s="545"/>
      <c r="D81" s="545"/>
      <c r="E81" s="545"/>
      <c r="F81" s="545"/>
      <c r="G81" s="545"/>
      <c r="H81" s="545"/>
      <c r="I81" s="545"/>
      <c r="J81" s="545"/>
      <c r="K81" s="545"/>
      <c r="L81" s="545"/>
      <c r="M81" s="545"/>
      <c r="N81" s="545"/>
      <c r="O81" s="545"/>
      <c r="P81" s="545"/>
      <c r="Q81" s="545"/>
      <c r="R81" s="545"/>
      <c r="S81" s="545"/>
      <c r="T81" s="545"/>
      <c r="U81" s="545"/>
      <c r="V81" s="545"/>
      <c r="W81" s="545"/>
      <c r="X81" s="545"/>
      <c r="Y81" s="545"/>
    </row>
    <row r="82" spans="1:25" ht="92.4" hidden="1" x14ac:dyDescent="0.25">
      <c r="A82" s="454" t="s">
        <v>796</v>
      </c>
      <c r="B82" s="455" t="s">
        <v>797</v>
      </c>
      <c r="C82" s="455" t="s">
        <v>798</v>
      </c>
      <c r="D82" s="456">
        <v>215882.5</v>
      </c>
      <c r="E82" s="456">
        <v>82267.5</v>
      </c>
      <c r="F82" s="456">
        <v>38.1</v>
      </c>
      <c r="G82" s="456">
        <v>71100</v>
      </c>
      <c r="H82" s="456">
        <v>8130.2</v>
      </c>
      <c r="I82" s="456">
        <v>94862.5</v>
      </c>
      <c r="J82" s="456">
        <v>50313.3</v>
      </c>
      <c r="K82" s="456">
        <v>49920</v>
      </c>
      <c r="L82" s="456">
        <v>23824</v>
      </c>
      <c r="M82" s="456">
        <v>0</v>
      </c>
      <c r="N82" s="456">
        <v>0</v>
      </c>
      <c r="O82" s="456">
        <v>82267.5</v>
      </c>
      <c r="P82" s="455" t="s">
        <v>799</v>
      </c>
      <c r="Q82" s="461"/>
      <c r="R82" s="461"/>
      <c r="S82" s="461"/>
      <c r="T82" s="461"/>
      <c r="U82" s="461"/>
      <c r="V82" s="461"/>
      <c r="W82" s="461"/>
      <c r="X82" s="461"/>
      <c r="Y82" s="455" t="s">
        <v>800</v>
      </c>
    </row>
    <row r="83" spans="1:25" ht="25.2" customHeight="1" x14ac:dyDescent="0.25">
      <c r="A83" s="563" t="s">
        <v>801</v>
      </c>
      <c r="B83" s="564"/>
      <c r="C83" s="564"/>
      <c r="D83" s="564"/>
      <c r="E83" s="564"/>
      <c r="F83" s="564"/>
      <c r="G83" s="564"/>
      <c r="H83" s="564"/>
      <c r="I83" s="564"/>
      <c r="J83" s="564"/>
      <c r="K83" s="564"/>
      <c r="L83" s="564"/>
      <c r="M83" s="564"/>
      <c r="N83" s="564"/>
      <c r="O83" s="564"/>
      <c r="P83" s="564"/>
      <c r="Q83" s="564"/>
      <c r="R83" s="564"/>
      <c r="S83" s="564"/>
      <c r="T83" s="564"/>
      <c r="U83" s="564"/>
      <c r="V83" s="564"/>
      <c r="W83" s="564"/>
      <c r="X83" s="564"/>
      <c r="Y83" s="565"/>
    </row>
    <row r="84" spans="1:25" ht="25.8" customHeight="1" x14ac:dyDescent="0.25">
      <c r="A84" s="546" t="s">
        <v>802</v>
      </c>
      <c r="B84" s="566"/>
      <c r="C84" s="566"/>
      <c r="D84" s="566"/>
      <c r="E84" s="566"/>
      <c r="F84" s="566"/>
      <c r="G84" s="566"/>
      <c r="H84" s="566"/>
      <c r="I84" s="566"/>
      <c r="J84" s="566"/>
      <c r="K84" s="566"/>
      <c r="L84" s="566"/>
      <c r="M84" s="566"/>
      <c r="N84" s="566"/>
      <c r="O84" s="566"/>
      <c r="P84" s="566"/>
      <c r="Q84" s="566"/>
      <c r="R84" s="566"/>
      <c r="S84" s="566"/>
      <c r="T84" s="566"/>
      <c r="U84" s="566"/>
      <c r="V84" s="566"/>
      <c r="W84" s="566"/>
      <c r="X84" s="566"/>
      <c r="Y84" s="567"/>
    </row>
    <row r="85" spans="1:25" ht="52.8" x14ac:dyDescent="0.25">
      <c r="A85" s="454" t="s">
        <v>780</v>
      </c>
      <c r="B85" s="470" t="s">
        <v>803</v>
      </c>
      <c r="C85" s="470"/>
      <c r="D85" s="474"/>
      <c r="E85" s="474"/>
      <c r="F85" s="474"/>
      <c r="G85" s="474"/>
      <c r="H85" s="474"/>
      <c r="I85" s="474"/>
      <c r="J85" s="474"/>
      <c r="K85" s="474"/>
      <c r="L85" s="474"/>
      <c r="M85" s="474"/>
      <c r="N85" s="474"/>
      <c r="O85" s="474"/>
      <c r="P85" s="470" t="s">
        <v>804</v>
      </c>
      <c r="Q85" s="483"/>
      <c r="R85" s="483"/>
      <c r="S85" s="483" t="s">
        <v>18</v>
      </c>
      <c r="T85" s="483" t="s">
        <v>206</v>
      </c>
      <c r="U85" s="461"/>
      <c r="V85" s="461"/>
      <c r="W85" s="461"/>
      <c r="X85" s="461"/>
      <c r="Y85" s="470" t="s">
        <v>805</v>
      </c>
    </row>
    <row r="86" spans="1:25" x14ac:dyDescent="0.25">
      <c r="A86" s="557" t="s">
        <v>806</v>
      </c>
      <c r="B86" s="547"/>
      <c r="C86" s="547"/>
      <c r="D86" s="547"/>
      <c r="E86" s="547"/>
      <c r="F86" s="547"/>
      <c r="G86" s="547"/>
      <c r="H86" s="547"/>
      <c r="I86" s="547"/>
      <c r="J86" s="547"/>
      <c r="K86" s="547"/>
      <c r="L86" s="547"/>
      <c r="M86" s="547"/>
      <c r="N86" s="547"/>
      <c r="O86" s="547"/>
      <c r="P86" s="547"/>
      <c r="Q86" s="547"/>
      <c r="R86" s="547"/>
      <c r="S86" s="547"/>
      <c r="T86" s="547"/>
      <c r="U86" s="547"/>
      <c r="V86" s="547"/>
      <c r="W86" s="547"/>
      <c r="X86" s="547"/>
      <c r="Y86" s="548"/>
    </row>
    <row r="87" spans="1:25" ht="52.8" x14ac:dyDescent="0.25">
      <c r="A87" s="454" t="s">
        <v>807</v>
      </c>
      <c r="B87" s="470" t="s">
        <v>808</v>
      </c>
      <c r="C87" s="470"/>
      <c r="D87" s="474"/>
      <c r="E87" s="474"/>
      <c r="F87" s="474"/>
      <c r="G87" s="474"/>
      <c r="H87" s="474"/>
      <c r="I87" s="474"/>
      <c r="J87" s="474"/>
      <c r="K87" s="474"/>
      <c r="L87" s="474"/>
      <c r="M87" s="474"/>
      <c r="N87" s="474"/>
      <c r="O87" s="474"/>
      <c r="P87" s="470" t="s">
        <v>809</v>
      </c>
      <c r="Q87" s="483"/>
      <c r="R87" s="483"/>
      <c r="S87" s="483" t="s">
        <v>614</v>
      </c>
      <c r="T87" s="483"/>
      <c r="U87" s="461"/>
      <c r="V87" s="461"/>
      <c r="W87" s="461"/>
      <c r="X87" s="461"/>
      <c r="Y87" s="470" t="s">
        <v>810</v>
      </c>
    </row>
    <row r="88" spans="1:25" x14ac:dyDescent="0.25">
      <c r="A88" s="549" t="s">
        <v>811</v>
      </c>
      <c r="B88" s="549"/>
      <c r="C88" s="549"/>
      <c r="D88" s="549"/>
      <c r="E88" s="549"/>
      <c r="F88" s="549"/>
      <c r="G88" s="549"/>
      <c r="H88" s="549"/>
      <c r="I88" s="549"/>
      <c r="J88" s="549"/>
      <c r="K88" s="549"/>
      <c r="L88" s="549"/>
      <c r="M88" s="549"/>
      <c r="N88" s="549"/>
      <c r="O88" s="549"/>
      <c r="P88" s="549"/>
      <c r="Q88" s="549"/>
      <c r="R88" s="549"/>
      <c r="S88" s="549"/>
      <c r="T88" s="549"/>
      <c r="U88" s="549"/>
      <c r="V88" s="549"/>
      <c r="W88" s="549"/>
      <c r="X88" s="549"/>
      <c r="Y88" s="549"/>
    </row>
    <row r="89" spans="1:25" x14ac:dyDescent="0.25">
      <c r="A89" s="545" t="s">
        <v>812</v>
      </c>
      <c r="B89" s="545"/>
      <c r="C89" s="545"/>
      <c r="D89" s="545"/>
      <c r="E89" s="545"/>
      <c r="F89" s="545"/>
      <c r="G89" s="545"/>
      <c r="H89" s="545"/>
      <c r="I89" s="545"/>
      <c r="J89" s="545"/>
      <c r="K89" s="545"/>
      <c r="L89" s="545"/>
      <c r="M89" s="545"/>
      <c r="N89" s="545"/>
      <c r="O89" s="545"/>
      <c r="P89" s="545"/>
      <c r="Q89" s="545"/>
      <c r="R89" s="545"/>
      <c r="S89" s="545"/>
      <c r="T89" s="545"/>
      <c r="U89" s="545"/>
      <c r="V89" s="545"/>
      <c r="W89" s="545"/>
      <c r="X89" s="545"/>
      <c r="Y89" s="545"/>
    </row>
    <row r="90" spans="1:25" ht="53.4" customHeight="1" x14ac:dyDescent="0.25">
      <c r="A90" s="454" t="s">
        <v>813</v>
      </c>
      <c r="B90" s="470" t="s">
        <v>814</v>
      </c>
      <c r="C90" s="470" t="s">
        <v>647</v>
      </c>
      <c r="D90" s="474">
        <v>0</v>
      </c>
      <c r="E90" s="474">
        <v>0</v>
      </c>
      <c r="F90" s="474">
        <v>0</v>
      </c>
      <c r="G90" s="474">
        <v>0</v>
      </c>
      <c r="H90" s="474">
        <v>0</v>
      </c>
      <c r="I90" s="474">
        <v>0</v>
      </c>
      <c r="J90" s="474">
        <v>0</v>
      </c>
      <c r="K90" s="474">
        <v>0</v>
      </c>
      <c r="L90" s="474">
        <v>0</v>
      </c>
      <c r="M90" s="474">
        <v>0</v>
      </c>
      <c r="N90" s="474">
        <v>0</v>
      </c>
      <c r="O90" s="474">
        <v>0</v>
      </c>
      <c r="P90" s="470" t="s">
        <v>815</v>
      </c>
      <c r="Q90" s="483" t="s">
        <v>816</v>
      </c>
      <c r="R90" s="483" t="s">
        <v>817</v>
      </c>
      <c r="S90" s="483" t="s">
        <v>818</v>
      </c>
      <c r="T90" s="483" t="s">
        <v>819</v>
      </c>
      <c r="U90" s="461"/>
      <c r="V90" s="461"/>
      <c r="W90" s="461"/>
      <c r="X90" s="461"/>
      <c r="Y90" s="470" t="s">
        <v>820</v>
      </c>
    </row>
    <row r="91" spans="1:25" ht="118.8" x14ac:dyDescent="0.25">
      <c r="A91" s="454" t="s">
        <v>821</v>
      </c>
      <c r="B91" s="470" t="s">
        <v>822</v>
      </c>
      <c r="C91" s="470" t="s">
        <v>647</v>
      </c>
      <c r="D91" s="474">
        <v>4043.9</v>
      </c>
      <c r="E91" s="474">
        <v>2447.5</v>
      </c>
      <c r="F91" s="474">
        <v>60.5</v>
      </c>
      <c r="G91" s="474">
        <v>0</v>
      </c>
      <c r="H91" s="474">
        <v>0</v>
      </c>
      <c r="I91" s="474">
        <v>4043.9</v>
      </c>
      <c r="J91" s="474">
        <v>2447.5</v>
      </c>
      <c r="K91" s="474">
        <v>0</v>
      </c>
      <c r="L91" s="474">
        <v>0</v>
      </c>
      <c r="M91" s="474">
        <v>0</v>
      </c>
      <c r="N91" s="474">
        <v>0</v>
      </c>
      <c r="O91" s="474">
        <v>2447.5</v>
      </c>
      <c r="P91" s="470" t="s">
        <v>823</v>
      </c>
      <c r="Q91" s="483" t="s">
        <v>209</v>
      </c>
      <c r="R91" s="483" t="s">
        <v>210</v>
      </c>
      <c r="S91" s="483" t="s">
        <v>824</v>
      </c>
      <c r="T91" s="483" t="s">
        <v>825</v>
      </c>
      <c r="U91" s="461"/>
      <c r="V91" s="461"/>
      <c r="W91" s="461"/>
      <c r="X91" s="461"/>
      <c r="Y91" s="470" t="s">
        <v>826</v>
      </c>
    </row>
    <row r="92" spans="1:25" ht="66" x14ac:dyDescent="0.25">
      <c r="A92" s="454" t="s">
        <v>827</v>
      </c>
      <c r="B92" s="470" t="s">
        <v>828</v>
      </c>
      <c r="C92" s="470"/>
      <c r="D92" s="474"/>
      <c r="E92" s="474"/>
      <c r="F92" s="474"/>
      <c r="G92" s="474"/>
      <c r="H92" s="474"/>
      <c r="I92" s="474"/>
      <c r="J92" s="474"/>
      <c r="K92" s="474"/>
      <c r="L92" s="474"/>
      <c r="M92" s="474"/>
      <c r="N92" s="474"/>
      <c r="O92" s="474"/>
      <c r="P92" s="470" t="s">
        <v>829</v>
      </c>
      <c r="Q92" s="483" t="s">
        <v>197</v>
      </c>
      <c r="R92" s="483" t="s">
        <v>17</v>
      </c>
      <c r="S92" s="483" t="s">
        <v>209</v>
      </c>
      <c r="T92" s="483" t="s">
        <v>20</v>
      </c>
      <c r="U92" s="461"/>
      <c r="V92" s="461"/>
      <c r="W92" s="461"/>
      <c r="X92" s="461"/>
      <c r="Y92" s="470" t="s">
        <v>830</v>
      </c>
    </row>
    <row r="93" spans="1:25" ht="118.8" x14ac:dyDescent="0.25">
      <c r="A93" s="454" t="s">
        <v>831</v>
      </c>
      <c r="B93" s="470" t="s">
        <v>832</v>
      </c>
      <c r="C93" s="470"/>
      <c r="D93" s="474"/>
      <c r="E93" s="474"/>
      <c r="F93" s="474"/>
      <c r="G93" s="474"/>
      <c r="H93" s="474"/>
      <c r="I93" s="474"/>
      <c r="J93" s="474"/>
      <c r="K93" s="474"/>
      <c r="L93" s="474"/>
      <c r="M93" s="474"/>
      <c r="N93" s="474"/>
      <c r="O93" s="474"/>
      <c r="P93" s="470" t="s">
        <v>833</v>
      </c>
      <c r="Q93" s="483" t="s">
        <v>834</v>
      </c>
      <c r="R93" s="483" t="s">
        <v>835</v>
      </c>
      <c r="S93" s="483" t="s">
        <v>688</v>
      </c>
      <c r="T93" s="483" t="s">
        <v>836</v>
      </c>
      <c r="U93" s="461"/>
      <c r="V93" s="461"/>
      <c r="W93" s="461"/>
      <c r="X93" s="461"/>
      <c r="Y93" s="470" t="s">
        <v>837</v>
      </c>
    </row>
    <row r="94" spans="1:25" ht="39.6" x14ac:dyDescent="0.25">
      <c r="A94" s="454" t="s">
        <v>838</v>
      </c>
      <c r="B94" s="470" t="s">
        <v>839</v>
      </c>
      <c r="C94" s="470"/>
      <c r="D94" s="474"/>
      <c r="E94" s="474"/>
      <c r="F94" s="474"/>
      <c r="G94" s="474"/>
      <c r="H94" s="474"/>
      <c r="I94" s="474"/>
      <c r="J94" s="474"/>
      <c r="K94" s="474"/>
      <c r="L94" s="474"/>
      <c r="M94" s="474"/>
      <c r="N94" s="474"/>
      <c r="O94" s="474"/>
      <c r="P94" s="470" t="s">
        <v>840</v>
      </c>
      <c r="Q94" s="483" t="s">
        <v>210</v>
      </c>
      <c r="R94" s="483" t="s">
        <v>841</v>
      </c>
      <c r="S94" s="483" t="s">
        <v>824</v>
      </c>
      <c r="T94" s="483" t="s">
        <v>842</v>
      </c>
      <c r="U94" s="461"/>
      <c r="V94" s="461"/>
      <c r="W94" s="461"/>
      <c r="X94" s="461"/>
      <c r="Y94" s="470" t="s">
        <v>843</v>
      </c>
    </row>
    <row r="95" spans="1:25" hidden="1" x14ac:dyDescent="0.25">
      <c r="A95" s="545"/>
      <c r="B95" s="545"/>
      <c r="C95" s="545"/>
      <c r="D95" s="545"/>
      <c r="E95" s="545"/>
      <c r="F95" s="545"/>
      <c r="G95" s="545"/>
      <c r="H95" s="545"/>
      <c r="I95" s="545"/>
      <c r="J95" s="545"/>
      <c r="K95" s="545"/>
      <c r="L95" s="545"/>
      <c r="M95" s="545"/>
      <c r="N95" s="545"/>
      <c r="O95" s="545"/>
      <c r="P95" s="545"/>
      <c r="Q95" s="545"/>
      <c r="R95" s="545"/>
      <c r="S95" s="545"/>
      <c r="T95" s="545"/>
      <c r="U95" s="545"/>
      <c r="V95" s="545"/>
      <c r="W95" s="545"/>
      <c r="X95" s="545"/>
      <c r="Y95" s="545"/>
    </row>
    <row r="96" spans="1:25" hidden="1" x14ac:dyDescent="0.25">
      <c r="A96" s="454"/>
      <c r="B96" s="455"/>
      <c r="C96" s="455"/>
      <c r="D96" s="456"/>
      <c r="E96" s="456"/>
      <c r="F96" s="456"/>
      <c r="G96" s="456"/>
      <c r="H96" s="456"/>
      <c r="I96" s="456"/>
      <c r="J96" s="456"/>
      <c r="K96" s="456"/>
      <c r="L96" s="456"/>
      <c r="M96" s="456"/>
      <c r="N96" s="456"/>
      <c r="O96" s="456"/>
      <c r="P96" s="455"/>
      <c r="Q96" s="461" t="s">
        <v>198</v>
      </c>
      <c r="R96" s="461" t="s">
        <v>207</v>
      </c>
      <c r="S96" s="461"/>
      <c r="T96" s="461"/>
      <c r="U96" s="461"/>
      <c r="V96" s="461"/>
      <c r="W96" s="461"/>
      <c r="X96" s="461"/>
      <c r="Y96" s="455"/>
    </row>
    <row r="97" spans="1:25" x14ac:dyDescent="0.25">
      <c r="A97" s="549" t="s">
        <v>844</v>
      </c>
      <c r="B97" s="549"/>
      <c r="C97" s="549"/>
      <c r="D97" s="549"/>
      <c r="E97" s="549"/>
      <c r="F97" s="549"/>
      <c r="G97" s="549"/>
      <c r="H97" s="549"/>
      <c r="I97" s="549"/>
      <c r="J97" s="549"/>
      <c r="K97" s="549"/>
      <c r="L97" s="549"/>
      <c r="M97" s="549"/>
      <c r="N97" s="549"/>
      <c r="O97" s="549"/>
      <c r="P97" s="549"/>
      <c r="Q97" s="549"/>
      <c r="R97" s="549"/>
      <c r="S97" s="549"/>
      <c r="T97" s="549"/>
      <c r="U97" s="549"/>
      <c r="V97" s="549"/>
      <c r="W97" s="549"/>
      <c r="X97" s="549"/>
      <c r="Y97" s="549"/>
    </row>
    <row r="98" spans="1:25" x14ac:dyDescent="0.25">
      <c r="A98" s="545" t="s">
        <v>845</v>
      </c>
      <c r="B98" s="545"/>
      <c r="C98" s="545"/>
      <c r="D98" s="545"/>
      <c r="E98" s="545"/>
      <c r="F98" s="545"/>
      <c r="G98" s="545"/>
      <c r="H98" s="545"/>
      <c r="I98" s="545"/>
      <c r="J98" s="545"/>
      <c r="K98" s="545"/>
      <c r="L98" s="545"/>
      <c r="M98" s="545"/>
      <c r="N98" s="545"/>
      <c r="O98" s="545"/>
      <c r="P98" s="545"/>
      <c r="Q98" s="545"/>
      <c r="R98" s="545"/>
      <c r="S98" s="545"/>
      <c r="T98" s="545"/>
      <c r="U98" s="545"/>
      <c r="V98" s="545"/>
      <c r="W98" s="545"/>
      <c r="X98" s="545"/>
      <c r="Y98" s="545"/>
    </row>
    <row r="99" spans="1:25" ht="39.6" x14ac:dyDescent="0.25">
      <c r="A99" s="466" t="s">
        <v>846</v>
      </c>
      <c r="B99" s="484" t="s">
        <v>847</v>
      </c>
      <c r="C99" s="467"/>
      <c r="D99" s="467"/>
      <c r="E99" s="467"/>
      <c r="F99" s="467"/>
      <c r="G99" s="467"/>
      <c r="H99" s="467"/>
      <c r="I99" s="467"/>
      <c r="J99" s="467"/>
      <c r="K99" s="467"/>
      <c r="L99" s="467"/>
      <c r="M99" s="467"/>
      <c r="N99" s="467"/>
      <c r="O99" s="467"/>
      <c r="P99" s="470" t="s">
        <v>848</v>
      </c>
      <c r="Q99" s="482" t="s">
        <v>629</v>
      </c>
      <c r="R99" s="482" t="s">
        <v>209</v>
      </c>
      <c r="S99" s="482" t="s">
        <v>849</v>
      </c>
      <c r="T99" s="482" t="s">
        <v>850</v>
      </c>
      <c r="U99" s="468"/>
      <c r="V99" s="468"/>
      <c r="W99" s="468"/>
      <c r="X99" s="468"/>
      <c r="Y99" s="470" t="s">
        <v>851</v>
      </c>
    </row>
    <row r="100" spans="1:25" ht="138" hidden="1" customHeight="1" x14ac:dyDescent="0.25">
      <c r="A100" s="454"/>
      <c r="B100" s="455"/>
      <c r="C100" s="455"/>
      <c r="D100" s="456"/>
      <c r="E100" s="456"/>
      <c r="F100" s="456"/>
      <c r="G100" s="456"/>
      <c r="H100" s="456"/>
      <c r="I100" s="456"/>
      <c r="J100" s="456"/>
      <c r="K100" s="456"/>
      <c r="L100" s="456"/>
      <c r="M100" s="456"/>
      <c r="N100" s="456"/>
      <c r="O100" s="456"/>
      <c r="P100" s="455"/>
      <c r="Q100" s="461" t="s">
        <v>852</v>
      </c>
      <c r="R100" s="461" t="s">
        <v>853</v>
      </c>
      <c r="S100" s="461"/>
      <c r="T100" s="461"/>
      <c r="U100" s="461"/>
      <c r="V100" s="461"/>
      <c r="W100" s="461"/>
      <c r="X100" s="461"/>
      <c r="Y100" s="568"/>
    </row>
    <row r="101" spans="1:25" ht="76.5" hidden="1" customHeight="1" x14ac:dyDescent="0.25">
      <c r="A101" s="454"/>
      <c r="B101" s="455"/>
      <c r="C101" s="455"/>
      <c r="D101" s="456"/>
      <c r="E101" s="456"/>
      <c r="F101" s="456"/>
      <c r="G101" s="456"/>
      <c r="H101" s="456"/>
      <c r="I101" s="456"/>
      <c r="J101" s="456"/>
      <c r="K101" s="456"/>
      <c r="L101" s="456"/>
      <c r="M101" s="456"/>
      <c r="N101" s="456"/>
      <c r="O101" s="456"/>
      <c r="P101" s="455"/>
      <c r="Q101" s="461" t="s">
        <v>687</v>
      </c>
      <c r="R101" s="461" t="s">
        <v>854</v>
      </c>
      <c r="S101" s="461"/>
      <c r="T101" s="461"/>
      <c r="U101" s="461"/>
      <c r="V101" s="461"/>
      <c r="W101" s="461"/>
      <c r="X101" s="461"/>
      <c r="Y101" s="568"/>
    </row>
    <row r="102" spans="1:25" ht="77.25" hidden="1" customHeight="1" x14ac:dyDescent="0.25">
      <c r="A102" s="454"/>
      <c r="B102" s="455"/>
      <c r="C102" s="455"/>
      <c r="D102" s="456"/>
      <c r="E102" s="456"/>
      <c r="F102" s="456"/>
      <c r="G102" s="456"/>
      <c r="H102" s="456"/>
      <c r="I102" s="456"/>
      <c r="J102" s="456"/>
      <c r="K102" s="456"/>
      <c r="L102" s="456"/>
      <c r="M102" s="456"/>
      <c r="N102" s="456"/>
      <c r="O102" s="456"/>
      <c r="P102" s="455"/>
      <c r="Q102" s="461" t="s">
        <v>584</v>
      </c>
      <c r="R102" s="461" t="s">
        <v>584</v>
      </c>
      <c r="S102" s="461"/>
      <c r="T102" s="461"/>
      <c r="U102" s="461"/>
      <c r="V102" s="461"/>
      <c r="W102" s="461"/>
      <c r="X102" s="461"/>
      <c r="Y102" s="455"/>
    </row>
    <row r="103" spans="1:25" hidden="1" x14ac:dyDescent="0.25">
      <c r="A103" s="545" t="s">
        <v>855</v>
      </c>
      <c r="B103" s="545"/>
      <c r="C103" s="545"/>
      <c r="D103" s="545"/>
      <c r="E103" s="545"/>
      <c r="F103" s="545"/>
      <c r="G103" s="545"/>
      <c r="H103" s="545"/>
      <c r="I103" s="545"/>
      <c r="J103" s="545"/>
      <c r="K103" s="545"/>
      <c r="L103" s="545"/>
      <c r="M103" s="545"/>
      <c r="N103" s="545"/>
      <c r="O103" s="545"/>
      <c r="P103" s="545"/>
      <c r="Q103" s="545"/>
      <c r="R103" s="545"/>
      <c r="S103" s="545"/>
      <c r="T103" s="545"/>
      <c r="U103" s="545"/>
      <c r="V103" s="545"/>
      <c r="W103" s="545"/>
      <c r="X103" s="545"/>
      <c r="Y103" s="545"/>
    </row>
    <row r="104" spans="1:25" ht="79.2" hidden="1" x14ac:dyDescent="0.25">
      <c r="A104" s="454" t="s">
        <v>796</v>
      </c>
      <c r="B104" s="455" t="s">
        <v>856</v>
      </c>
      <c r="C104" s="455" t="s">
        <v>857</v>
      </c>
      <c r="D104" s="456">
        <v>16185.3</v>
      </c>
      <c r="E104" s="456">
        <v>11355.1</v>
      </c>
      <c r="F104" s="456">
        <v>70.2</v>
      </c>
      <c r="G104" s="456">
        <v>0</v>
      </c>
      <c r="H104" s="456">
        <v>0</v>
      </c>
      <c r="I104" s="456">
        <v>16185.3</v>
      </c>
      <c r="J104" s="456">
        <v>11355.1</v>
      </c>
      <c r="K104" s="456">
        <v>0</v>
      </c>
      <c r="L104" s="456">
        <v>0</v>
      </c>
      <c r="M104" s="456">
        <v>0</v>
      </c>
      <c r="N104" s="456">
        <v>0</v>
      </c>
      <c r="O104" s="456">
        <v>11355.1</v>
      </c>
      <c r="P104" s="455" t="s">
        <v>848</v>
      </c>
      <c r="Q104" s="461" t="s">
        <v>858</v>
      </c>
      <c r="R104" s="461" t="s">
        <v>859</v>
      </c>
      <c r="S104" s="461" t="s">
        <v>860</v>
      </c>
      <c r="T104" s="461" t="s">
        <v>861</v>
      </c>
      <c r="U104" s="461" t="s">
        <v>862</v>
      </c>
      <c r="V104" s="461" t="s">
        <v>863</v>
      </c>
      <c r="W104" s="461"/>
      <c r="X104" s="461"/>
      <c r="Y104" s="455" t="s">
        <v>864</v>
      </c>
    </row>
    <row r="105" spans="1:25" x14ac:dyDescent="0.25">
      <c r="A105" s="549" t="s">
        <v>865</v>
      </c>
      <c r="B105" s="549"/>
      <c r="C105" s="549"/>
      <c r="D105" s="549"/>
      <c r="E105" s="549"/>
      <c r="F105" s="549"/>
      <c r="G105" s="549"/>
      <c r="H105" s="549"/>
      <c r="I105" s="549"/>
      <c r="J105" s="549"/>
      <c r="K105" s="549"/>
      <c r="L105" s="549"/>
      <c r="M105" s="549"/>
      <c r="N105" s="549"/>
      <c r="O105" s="549"/>
      <c r="P105" s="549"/>
      <c r="Q105" s="549"/>
      <c r="R105" s="549"/>
      <c r="S105" s="549"/>
      <c r="T105" s="549"/>
      <c r="U105" s="549"/>
      <c r="V105" s="549"/>
      <c r="W105" s="549"/>
      <c r="X105" s="549"/>
      <c r="Y105" s="549"/>
    </row>
    <row r="106" spans="1:25" x14ac:dyDescent="0.25">
      <c r="A106" s="545" t="s">
        <v>866</v>
      </c>
      <c r="B106" s="545"/>
      <c r="C106" s="545"/>
      <c r="D106" s="545"/>
      <c r="E106" s="545"/>
      <c r="F106" s="545"/>
      <c r="G106" s="545"/>
      <c r="H106" s="545"/>
      <c r="I106" s="545"/>
      <c r="J106" s="545"/>
      <c r="K106" s="545"/>
      <c r="L106" s="545"/>
      <c r="M106" s="545"/>
      <c r="N106" s="545"/>
      <c r="O106" s="545"/>
      <c r="P106" s="545"/>
      <c r="Q106" s="545"/>
      <c r="R106" s="545"/>
      <c r="S106" s="545"/>
      <c r="T106" s="545"/>
      <c r="U106" s="545"/>
      <c r="V106" s="545"/>
      <c r="W106" s="545"/>
      <c r="X106" s="545"/>
      <c r="Y106" s="545"/>
    </row>
    <row r="107" spans="1:25" ht="66.599999999999994" customHeight="1" x14ac:dyDescent="0.25">
      <c r="A107" s="454" t="s">
        <v>831</v>
      </c>
      <c r="B107" s="470" t="s">
        <v>867</v>
      </c>
      <c r="C107" s="470" t="s">
        <v>868</v>
      </c>
      <c r="D107" s="474">
        <v>23116.400000000001</v>
      </c>
      <c r="E107" s="474">
        <v>14027.3</v>
      </c>
      <c r="F107" s="474">
        <v>60.7</v>
      </c>
      <c r="G107" s="474">
        <v>23116.400000000001</v>
      </c>
      <c r="H107" s="474">
        <v>14027.3</v>
      </c>
      <c r="I107" s="474">
        <v>0</v>
      </c>
      <c r="J107" s="474">
        <v>0</v>
      </c>
      <c r="K107" s="474">
        <v>0</v>
      </c>
      <c r="L107" s="474">
        <v>0</v>
      </c>
      <c r="M107" s="474">
        <v>0</v>
      </c>
      <c r="N107" s="474">
        <v>0</v>
      </c>
      <c r="O107" s="474">
        <v>14027.3</v>
      </c>
      <c r="P107" s="470" t="s">
        <v>869</v>
      </c>
      <c r="Q107" s="483" t="s">
        <v>15</v>
      </c>
      <c r="R107" s="483" t="s">
        <v>15</v>
      </c>
      <c r="S107" s="483" t="s">
        <v>195</v>
      </c>
      <c r="T107" s="483" t="s">
        <v>16</v>
      </c>
      <c r="U107" s="461"/>
      <c r="V107" s="461"/>
      <c r="W107" s="461"/>
      <c r="X107" s="461"/>
      <c r="Y107" s="470" t="s">
        <v>870</v>
      </c>
    </row>
    <row r="108" spans="1:25" x14ac:dyDescent="0.25">
      <c r="A108" s="558" t="s">
        <v>871</v>
      </c>
      <c r="B108" s="559"/>
      <c r="C108" s="559"/>
      <c r="D108" s="559"/>
      <c r="E108" s="559"/>
      <c r="F108" s="559"/>
      <c r="G108" s="559"/>
      <c r="H108" s="559"/>
      <c r="I108" s="559"/>
      <c r="J108" s="559"/>
      <c r="K108" s="559"/>
      <c r="L108" s="559"/>
      <c r="M108" s="559"/>
      <c r="N108" s="559"/>
      <c r="O108" s="559"/>
      <c r="P108" s="559"/>
      <c r="Q108" s="559"/>
      <c r="R108" s="559"/>
      <c r="S108" s="559"/>
      <c r="T108" s="559"/>
      <c r="U108" s="559"/>
      <c r="V108" s="559"/>
      <c r="W108" s="559"/>
      <c r="X108" s="559"/>
      <c r="Y108" s="560"/>
    </row>
    <row r="109" spans="1:25" ht="105.6" x14ac:dyDescent="0.25">
      <c r="A109" s="454" t="s">
        <v>796</v>
      </c>
      <c r="B109" s="470" t="s">
        <v>872</v>
      </c>
      <c r="C109" s="470"/>
      <c r="D109" s="474"/>
      <c r="E109" s="474"/>
      <c r="F109" s="474"/>
      <c r="G109" s="474"/>
      <c r="H109" s="474"/>
      <c r="I109" s="474"/>
      <c r="J109" s="474"/>
      <c r="K109" s="474"/>
      <c r="L109" s="474"/>
      <c r="M109" s="474"/>
      <c r="N109" s="474"/>
      <c r="O109" s="474"/>
      <c r="P109" s="470" t="s">
        <v>873</v>
      </c>
      <c r="Q109" s="483" t="s">
        <v>31</v>
      </c>
      <c r="R109" s="483"/>
      <c r="S109" s="483" t="s">
        <v>206</v>
      </c>
      <c r="T109" s="483" t="s">
        <v>17</v>
      </c>
      <c r="U109" s="461"/>
      <c r="V109" s="461"/>
      <c r="W109" s="461"/>
      <c r="X109" s="461"/>
      <c r="Y109" s="470" t="s">
        <v>874</v>
      </c>
    </row>
    <row r="110" spans="1:25" ht="79.2" x14ac:dyDescent="0.25">
      <c r="A110" s="454" t="s">
        <v>875</v>
      </c>
      <c r="B110" s="470" t="s">
        <v>876</v>
      </c>
      <c r="C110" s="470"/>
      <c r="D110" s="474"/>
      <c r="E110" s="474"/>
      <c r="F110" s="474"/>
      <c r="G110" s="474"/>
      <c r="H110" s="474"/>
      <c r="I110" s="474"/>
      <c r="J110" s="474"/>
      <c r="K110" s="474"/>
      <c r="L110" s="474"/>
      <c r="M110" s="474"/>
      <c r="N110" s="474"/>
      <c r="O110" s="474"/>
      <c r="P110" s="470" t="s">
        <v>877</v>
      </c>
      <c r="Q110" s="483" t="s">
        <v>31</v>
      </c>
      <c r="R110" s="483"/>
      <c r="S110" s="483" t="s">
        <v>16</v>
      </c>
      <c r="T110" s="483" t="s">
        <v>31</v>
      </c>
      <c r="U110" s="461"/>
      <c r="V110" s="461"/>
      <c r="W110" s="461"/>
      <c r="X110" s="461"/>
      <c r="Y110" s="470" t="s">
        <v>878</v>
      </c>
    </row>
    <row r="111" spans="1:25" ht="66" x14ac:dyDescent="0.25">
      <c r="A111" s="454" t="s">
        <v>831</v>
      </c>
      <c r="B111" s="470" t="s">
        <v>879</v>
      </c>
      <c r="C111" s="470"/>
      <c r="D111" s="474"/>
      <c r="E111" s="474"/>
      <c r="F111" s="474"/>
      <c r="G111" s="474"/>
      <c r="H111" s="474"/>
      <c r="I111" s="474"/>
      <c r="J111" s="474"/>
      <c r="K111" s="474"/>
      <c r="L111" s="474"/>
      <c r="M111" s="474"/>
      <c r="N111" s="474"/>
      <c r="O111" s="474"/>
      <c r="P111" s="470" t="s">
        <v>880</v>
      </c>
      <c r="Q111" s="483" t="s">
        <v>31</v>
      </c>
      <c r="R111" s="483"/>
      <c r="S111" s="483" t="s">
        <v>881</v>
      </c>
      <c r="T111" s="483" t="s">
        <v>31</v>
      </c>
      <c r="U111" s="461"/>
      <c r="V111" s="461"/>
      <c r="W111" s="461"/>
      <c r="X111" s="461"/>
      <c r="Y111" s="470" t="s">
        <v>882</v>
      </c>
    </row>
    <row r="112" spans="1:25" x14ac:dyDescent="0.25">
      <c r="A112" s="549" t="s">
        <v>883</v>
      </c>
      <c r="B112" s="549"/>
      <c r="C112" s="549"/>
      <c r="D112" s="549"/>
      <c r="E112" s="549"/>
      <c r="F112" s="549"/>
      <c r="G112" s="549"/>
      <c r="H112" s="549"/>
      <c r="I112" s="549"/>
      <c r="J112" s="549"/>
      <c r="K112" s="549"/>
      <c r="L112" s="549"/>
      <c r="M112" s="549"/>
      <c r="N112" s="549"/>
      <c r="O112" s="549"/>
      <c r="P112" s="549"/>
      <c r="Q112" s="549"/>
      <c r="R112" s="549"/>
      <c r="S112" s="549"/>
      <c r="T112" s="549"/>
      <c r="U112" s="549"/>
      <c r="V112" s="549"/>
      <c r="W112" s="549"/>
      <c r="X112" s="549"/>
      <c r="Y112" s="549"/>
    </row>
    <row r="113" spans="1:25" x14ac:dyDescent="0.25">
      <c r="A113" s="545" t="s">
        <v>884</v>
      </c>
      <c r="B113" s="545"/>
      <c r="C113" s="545"/>
      <c r="D113" s="545"/>
      <c r="E113" s="545"/>
      <c r="F113" s="545"/>
      <c r="G113" s="545"/>
      <c r="H113" s="545"/>
      <c r="I113" s="545"/>
      <c r="J113" s="545"/>
      <c r="K113" s="545"/>
      <c r="L113" s="545"/>
      <c r="M113" s="545"/>
      <c r="N113" s="545"/>
      <c r="O113" s="545"/>
      <c r="P113" s="545"/>
      <c r="Q113" s="545"/>
      <c r="R113" s="545"/>
      <c r="S113" s="545"/>
      <c r="T113" s="545"/>
      <c r="U113" s="545"/>
      <c r="V113" s="545"/>
      <c r="W113" s="545"/>
      <c r="X113" s="545"/>
      <c r="Y113" s="545"/>
    </row>
    <row r="114" spans="1:25" ht="92.4" x14ac:dyDescent="0.25">
      <c r="A114" s="469" t="s">
        <v>885</v>
      </c>
      <c r="B114" s="470" t="s">
        <v>886</v>
      </c>
      <c r="C114" s="470" t="s">
        <v>798</v>
      </c>
      <c r="D114" s="478">
        <v>340</v>
      </c>
      <c r="E114" s="478">
        <v>200</v>
      </c>
      <c r="F114" s="478">
        <v>58.8</v>
      </c>
      <c r="G114" s="478">
        <v>0</v>
      </c>
      <c r="H114" s="478">
        <v>0</v>
      </c>
      <c r="I114" s="478">
        <v>300</v>
      </c>
      <c r="J114" s="478">
        <v>200</v>
      </c>
      <c r="K114" s="478">
        <v>40</v>
      </c>
      <c r="L114" s="478">
        <v>0</v>
      </c>
      <c r="M114" s="478">
        <v>0</v>
      </c>
      <c r="N114" s="478">
        <v>0</v>
      </c>
      <c r="O114" s="478">
        <v>200</v>
      </c>
      <c r="P114" s="470" t="s">
        <v>887</v>
      </c>
      <c r="Q114" s="483"/>
      <c r="R114" s="483"/>
      <c r="S114" s="483" t="s">
        <v>198</v>
      </c>
      <c r="T114" s="483" t="s">
        <v>15</v>
      </c>
      <c r="U114" s="461"/>
      <c r="V114" s="461"/>
      <c r="W114" s="466"/>
      <c r="X114" s="466"/>
      <c r="Y114" s="470" t="s">
        <v>1164</v>
      </c>
    </row>
    <row r="115" spans="1:25" x14ac:dyDescent="0.25">
      <c r="A115" s="545" t="s">
        <v>888</v>
      </c>
      <c r="B115" s="545"/>
      <c r="C115" s="545"/>
      <c r="D115" s="545"/>
      <c r="E115" s="545"/>
      <c r="F115" s="545"/>
      <c r="G115" s="545"/>
      <c r="H115" s="545"/>
      <c r="I115" s="545"/>
      <c r="J115" s="545"/>
      <c r="K115" s="545"/>
      <c r="L115" s="545"/>
      <c r="M115" s="545"/>
      <c r="N115" s="545"/>
      <c r="O115" s="545"/>
      <c r="P115" s="545"/>
      <c r="Q115" s="545"/>
      <c r="R115" s="545"/>
      <c r="S115" s="545"/>
      <c r="T115" s="545"/>
      <c r="U115" s="545"/>
      <c r="V115" s="545"/>
      <c r="W115" s="545"/>
      <c r="X115" s="545"/>
      <c r="Y115" s="545"/>
    </row>
    <row r="116" spans="1:25" ht="44.4" customHeight="1" x14ac:dyDescent="0.25">
      <c r="A116" s="454" t="s">
        <v>821</v>
      </c>
      <c r="B116" s="470" t="s">
        <v>889</v>
      </c>
      <c r="C116" s="470" t="s">
        <v>798</v>
      </c>
      <c r="D116" s="474">
        <v>1000</v>
      </c>
      <c r="E116" s="474">
        <v>1000</v>
      </c>
      <c r="F116" s="474">
        <v>100</v>
      </c>
      <c r="G116" s="474">
        <v>0</v>
      </c>
      <c r="H116" s="474">
        <v>0</v>
      </c>
      <c r="I116" s="474">
        <v>1000</v>
      </c>
      <c r="J116" s="474">
        <v>1000</v>
      </c>
      <c r="K116" s="474">
        <v>0</v>
      </c>
      <c r="L116" s="474">
        <v>0</v>
      </c>
      <c r="M116" s="474">
        <v>0</v>
      </c>
      <c r="N116" s="474">
        <v>0</v>
      </c>
      <c r="O116" s="474">
        <v>0</v>
      </c>
      <c r="P116" s="470" t="s">
        <v>890</v>
      </c>
      <c r="Q116" s="483"/>
      <c r="R116" s="483"/>
      <c r="S116" s="483">
        <v>250</v>
      </c>
      <c r="T116" s="483">
        <v>80</v>
      </c>
      <c r="U116" s="461"/>
      <c r="V116" s="461"/>
      <c r="W116" s="461"/>
      <c r="X116" s="461"/>
      <c r="Y116" s="470" t="s">
        <v>892</v>
      </c>
    </row>
    <row r="117" spans="1:25" ht="39.6" x14ac:dyDescent="0.25">
      <c r="A117" s="454" t="s">
        <v>893</v>
      </c>
      <c r="B117" s="470" t="s">
        <v>894</v>
      </c>
      <c r="C117" s="470"/>
      <c r="D117" s="474"/>
      <c r="E117" s="474"/>
      <c r="F117" s="474"/>
      <c r="G117" s="474"/>
      <c r="H117" s="474"/>
      <c r="I117" s="474"/>
      <c r="J117" s="474"/>
      <c r="K117" s="474"/>
      <c r="L117" s="474"/>
      <c r="M117" s="474"/>
      <c r="N117" s="474"/>
      <c r="O117" s="474"/>
      <c r="P117" s="470" t="s">
        <v>895</v>
      </c>
      <c r="Q117" s="483"/>
      <c r="R117" s="483"/>
      <c r="S117" s="483" t="s">
        <v>17</v>
      </c>
      <c r="T117" s="483" t="s">
        <v>649</v>
      </c>
      <c r="U117" s="461"/>
      <c r="V117" s="461"/>
      <c r="W117" s="461"/>
      <c r="X117" s="461"/>
      <c r="Y117" s="470" t="s">
        <v>896</v>
      </c>
    </row>
    <row r="118" spans="1:25" ht="26.4" x14ac:dyDescent="0.25">
      <c r="A118" s="454" t="s">
        <v>897</v>
      </c>
      <c r="B118" s="470" t="s">
        <v>898</v>
      </c>
      <c r="C118" s="470"/>
      <c r="D118" s="474"/>
      <c r="E118" s="474"/>
      <c r="F118" s="474"/>
      <c r="G118" s="474"/>
      <c r="H118" s="474"/>
      <c r="I118" s="474"/>
      <c r="J118" s="474"/>
      <c r="K118" s="474"/>
      <c r="L118" s="474"/>
      <c r="M118" s="474"/>
      <c r="N118" s="474"/>
      <c r="O118" s="474"/>
      <c r="P118" s="470" t="s">
        <v>899</v>
      </c>
      <c r="Q118" s="483"/>
      <c r="R118" s="483"/>
      <c r="S118" s="483" t="s">
        <v>15</v>
      </c>
      <c r="T118" s="483" t="s">
        <v>649</v>
      </c>
      <c r="U118" s="461"/>
      <c r="V118" s="461"/>
      <c r="W118" s="461"/>
      <c r="X118" s="461"/>
      <c r="Y118" s="470" t="s">
        <v>900</v>
      </c>
    </row>
    <row r="119" spans="1:25" ht="52.8" x14ac:dyDescent="0.25">
      <c r="A119" s="454" t="s">
        <v>901</v>
      </c>
      <c r="B119" s="470" t="s">
        <v>902</v>
      </c>
      <c r="C119" s="470"/>
      <c r="D119" s="474"/>
      <c r="E119" s="474"/>
      <c r="F119" s="474"/>
      <c r="G119" s="474"/>
      <c r="H119" s="474"/>
      <c r="I119" s="474"/>
      <c r="J119" s="474"/>
      <c r="K119" s="474"/>
      <c r="L119" s="474"/>
      <c r="M119" s="474"/>
      <c r="N119" s="474"/>
      <c r="O119" s="474"/>
      <c r="P119" s="470" t="s">
        <v>848</v>
      </c>
      <c r="Q119" s="483" t="s">
        <v>584</v>
      </c>
      <c r="R119" s="483" t="s">
        <v>584</v>
      </c>
      <c r="S119" s="483" t="s">
        <v>586</v>
      </c>
      <c r="T119" s="483" t="s">
        <v>584</v>
      </c>
      <c r="U119" s="461"/>
      <c r="V119" s="461"/>
      <c r="W119" s="461"/>
      <c r="X119" s="461"/>
      <c r="Y119" s="470" t="s">
        <v>903</v>
      </c>
    </row>
    <row r="120" spans="1:25" x14ac:dyDescent="0.25">
      <c r="A120" s="569" t="s">
        <v>904</v>
      </c>
      <c r="B120" s="569"/>
      <c r="C120" s="569"/>
      <c r="D120" s="569"/>
      <c r="E120" s="569"/>
      <c r="F120" s="569"/>
      <c r="G120" s="569"/>
      <c r="H120" s="569"/>
      <c r="I120" s="569"/>
      <c r="J120" s="569"/>
      <c r="K120" s="569"/>
      <c r="L120" s="569"/>
      <c r="M120" s="569"/>
      <c r="N120" s="569"/>
      <c r="O120" s="569"/>
      <c r="P120" s="569"/>
      <c r="Q120" s="569"/>
      <c r="R120" s="569"/>
      <c r="S120" s="569"/>
      <c r="T120" s="569"/>
      <c r="U120" s="569"/>
      <c r="V120" s="569"/>
      <c r="W120" s="569"/>
      <c r="X120" s="569"/>
      <c r="Y120" s="570"/>
    </row>
    <row r="121" spans="1:25" ht="39.6" x14ac:dyDescent="0.25">
      <c r="A121" s="454" t="s">
        <v>796</v>
      </c>
      <c r="B121" s="470" t="s">
        <v>905</v>
      </c>
      <c r="C121" s="470"/>
      <c r="D121" s="474"/>
      <c r="E121" s="474"/>
      <c r="F121" s="474"/>
      <c r="G121" s="474"/>
      <c r="H121" s="474"/>
      <c r="I121" s="474"/>
      <c r="J121" s="474"/>
      <c r="K121" s="474"/>
      <c r="L121" s="474"/>
      <c r="M121" s="474"/>
      <c r="N121" s="474"/>
      <c r="O121" s="474"/>
      <c r="P121" s="470" t="s">
        <v>906</v>
      </c>
      <c r="Q121" s="483" t="s">
        <v>584</v>
      </c>
      <c r="R121" s="483" t="s">
        <v>907</v>
      </c>
      <c r="S121" s="483" t="s">
        <v>586</v>
      </c>
      <c r="T121" s="483" t="s">
        <v>908</v>
      </c>
      <c r="U121" s="461"/>
      <c r="V121" s="461"/>
      <c r="W121" s="461"/>
      <c r="X121" s="461"/>
      <c r="Y121" s="470" t="s">
        <v>909</v>
      </c>
    </row>
    <row r="122" spans="1:25" x14ac:dyDescent="0.25">
      <c r="A122" s="549" t="s">
        <v>910</v>
      </c>
      <c r="B122" s="549"/>
      <c r="C122" s="549"/>
      <c r="D122" s="549"/>
      <c r="E122" s="549"/>
      <c r="F122" s="549"/>
      <c r="G122" s="549"/>
      <c r="H122" s="549"/>
      <c r="I122" s="549"/>
      <c r="J122" s="549"/>
      <c r="K122" s="549"/>
      <c r="L122" s="549"/>
      <c r="M122" s="549"/>
      <c r="N122" s="549"/>
      <c r="O122" s="549"/>
      <c r="P122" s="549"/>
      <c r="Q122" s="549"/>
      <c r="R122" s="549"/>
      <c r="S122" s="549"/>
      <c r="T122" s="549"/>
      <c r="U122" s="549"/>
      <c r="V122" s="549"/>
      <c r="W122" s="549"/>
      <c r="X122" s="549"/>
      <c r="Y122" s="549"/>
    </row>
    <row r="123" spans="1:25" x14ac:dyDescent="0.25">
      <c r="A123" s="545" t="s">
        <v>911</v>
      </c>
      <c r="B123" s="545"/>
      <c r="C123" s="545"/>
      <c r="D123" s="545"/>
      <c r="E123" s="545"/>
      <c r="F123" s="545"/>
      <c r="G123" s="545"/>
      <c r="H123" s="545"/>
      <c r="I123" s="545"/>
      <c r="J123" s="545"/>
      <c r="K123" s="545"/>
      <c r="L123" s="545"/>
      <c r="M123" s="545"/>
      <c r="N123" s="545"/>
      <c r="O123" s="545"/>
      <c r="P123" s="545"/>
      <c r="Q123" s="545"/>
      <c r="R123" s="545"/>
      <c r="S123" s="545"/>
      <c r="T123" s="545"/>
      <c r="U123" s="545"/>
      <c r="V123" s="545"/>
      <c r="W123" s="545"/>
      <c r="X123" s="545"/>
      <c r="Y123" s="545"/>
    </row>
    <row r="124" spans="1:25" ht="55.2" customHeight="1" x14ac:dyDescent="0.25">
      <c r="A124" s="469" t="s">
        <v>912</v>
      </c>
      <c r="B124" s="470" t="s">
        <v>913</v>
      </c>
      <c r="C124" s="470" t="s">
        <v>914</v>
      </c>
      <c r="D124" s="474">
        <v>0</v>
      </c>
      <c r="E124" s="474">
        <v>0</v>
      </c>
      <c r="F124" s="474">
        <v>0</v>
      </c>
      <c r="G124" s="474">
        <v>0</v>
      </c>
      <c r="H124" s="474">
        <v>0</v>
      </c>
      <c r="I124" s="474">
        <v>0</v>
      </c>
      <c r="J124" s="474">
        <v>0</v>
      </c>
      <c r="K124" s="474">
        <v>0</v>
      </c>
      <c r="L124" s="474">
        <v>0</v>
      </c>
      <c r="M124" s="474">
        <v>0</v>
      </c>
      <c r="N124" s="474">
        <v>0</v>
      </c>
      <c r="O124" s="474">
        <v>0</v>
      </c>
      <c r="P124" s="470" t="s">
        <v>915</v>
      </c>
      <c r="Q124" s="482" t="s">
        <v>15</v>
      </c>
      <c r="R124" s="482" t="s">
        <v>649</v>
      </c>
      <c r="S124" s="482" t="s">
        <v>16</v>
      </c>
      <c r="T124" s="482" t="s">
        <v>15</v>
      </c>
      <c r="U124" s="461"/>
      <c r="V124" s="461"/>
      <c r="W124" s="466"/>
      <c r="X124" s="466"/>
      <c r="Y124" s="470" t="s">
        <v>916</v>
      </c>
    </row>
    <row r="125" spans="1:25" x14ac:dyDescent="0.25">
      <c r="A125" s="545" t="s">
        <v>917</v>
      </c>
      <c r="B125" s="545"/>
      <c r="C125" s="545"/>
      <c r="D125" s="545"/>
      <c r="E125" s="545"/>
      <c r="F125" s="545"/>
      <c r="G125" s="545"/>
      <c r="H125" s="545"/>
      <c r="I125" s="545"/>
      <c r="J125" s="545"/>
      <c r="K125" s="545"/>
      <c r="L125" s="545"/>
      <c r="M125" s="545"/>
      <c r="N125" s="545"/>
      <c r="O125" s="545"/>
      <c r="P125" s="545"/>
      <c r="Q125" s="545"/>
      <c r="R125" s="545"/>
      <c r="S125" s="545"/>
      <c r="T125" s="545"/>
      <c r="U125" s="545"/>
      <c r="V125" s="545"/>
      <c r="W125" s="545"/>
      <c r="X125" s="545"/>
      <c r="Y125" s="455"/>
    </row>
    <row r="126" spans="1:25" ht="118.8" x14ac:dyDescent="0.25">
      <c r="A126" s="454" t="s">
        <v>918</v>
      </c>
      <c r="B126" s="470" t="s">
        <v>919</v>
      </c>
      <c r="C126" s="470" t="s">
        <v>920</v>
      </c>
      <c r="D126" s="474">
        <v>300</v>
      </c>
      <c r="E126" s="474">
        <v>225</v>
      </c>
      <c r="F126" s="474">
        <v>75</v>
      </c>
      <c r="G126" s="474">
        <v>0</v>
      </c>
      <c r="H126" s="474">
        <v>0</v>
      </c>
      <c r="I126" s="474">
        <v>300</v>
      </c>
      <c r="J126" s="474">
        <v>225</v>
      </c>
      <c r="K126" s="474">
        <v>0</v>
      </c>
      <c r="L126" s="474">
        <v>0</v>
      </c>
      <c r="M126" s="474">
        <v>0</v>
      </c>
      <c r="N126" s="474">
        <v>0</v>
      </c>
      <c r="O126" s="474">
        <v>225</v>
      </c>
      <c r="P126" s="470" t="s">
        <v>921</v>
      </c>
      <c r="Q126" s="483" t="s">
        <v>206</v>
      </c>
      <c r="R126" s="483" t="s">
        <v>18</v>
      </c>
      <c r="S126" s="483" t="s">
        <v>629</v>
      </c>
      <c r="T126" s="483" t="s">
        <v>20</v>
      </c>
      <c r="U126" s="461"/>
      <c r="V126" s="461"/>
      <c r="W126" s="461"/>
      <c r="X126" s="461"/>
      <c r="Y126" s="470" t="s">
        <v>922</v>
      </c>
    </row>
    <row r="127" spans="1:25" ht="92.4" hidden="1" x14ac:dyDescent="0.25">
      <c r="A127" s="454" t="s">
        <v>923</v>
      </c>
      <c r="B127" s="455" t="s">
        <v>924</v>
      </c>
      <c r="C127" s="455" t="s">
        <v>798</v>
      </c>
      <c r="D127" s="456">
        <v>1534.6</v>
      </c>
      <c r="E127" s="456">
        <v>1110.8</v>
      </c>
      <c r="F127" s="456">
        <v>72.400000000000006</v>
      </c>
      <c r="G127" s="456">
        <v>690</v>
      </c>
      <c r="H127" s="456">
        <v>456</v>
      </c>
      <c r="I127" s="456">
        <v>844.6</v>
      </c>
      <c r="J127" s="456">
        <v>654.79999999999995</v>
      </c>
      <c r="K127" s="456">
        <v>0</v>
      </c>
      <c r="L127" s="456">
        <v>0</v>
      </c>
      <c r="M127" s="456">
        <v>0</v>
      </c>
      <c r="N127" s="456">
        <v>0</v>
      </c>
      <c r="O127" s="456">
        <v>0</v>
      </c>
      <c r="P127" s="455" t="s">
        <v>925</v>
      </c>
      <c r="Q127" s="461" t="s">
        <v>629</v>
      </c>
      <c r="R127" s="461" t="s">
        <v>713</v>
      </c>
      <c r="S127" s="461" t="s">
        <v>926</v>
      </c>
      <c r="T127" s="461" t="s">
        <v>927</v>
      </c>
      <c r="U127" s="461" t="s">
        <v>928</v>
      </c>
      <c r="V127" s="461" t="s">
        <v>929</v>
      </c>
      <c r="W127" s="461"/>
      <c r="X127" s="461"/>
      <c r="Y127" s="465"/>
    </row>
    <row r="128" spans="1:25" ht="65.25" hidden="1" customHeight="1" x14ac:dyDescent="0.25">
      <c r="A128" s="454" t="s">
        <v>930</v>
      </c>
      <c r="B128" s="455" t="s">
        <v>931</v>
      </c>
      <c r="C128" s="455" t="s">
        <v>798</v>
      </c>
      <c r="D128" s="456">
        <v>255</v>
      </c>
      <c r="E128" s="456">
        <v>187.9</v>
      </c>
      <c r="F128" s="456">
        <v>73.7</v>
      </c>
      <c r="G128" s="456">
        <v>135</v>
      </c>
      <c r="H128" s="456">
        <v>94</v>
      </c>
      <c r="I128" s="456">
        <v>120</v>
      </c>
      <c r="J128" s="456">
        <v>93.9</v>
      </c>
      <c r="K128" s="456">
        <v>0</v>
      </c>
      <c r="L128" s="456">
        <v>0</v>
      </c>
      <c r="M128" s="456">
        <v>0</v>
      </c>
      <c r="N128" s="456">
        <v>0</v>
      </c>
      <c r="O128" s="456">
        <v>82.6</v>
      </c>
      <c r="P128" s="455" t="s">
        <v>932</v>
      </c>
      <c r="Q128" s="461" t="s">
        <v>206</v>
      </c>
      <c r="R128" s="461" t="s">
        <v>18</v>
      </c>
      <c r="S128" s="461"/>
      <c r="T128" s="461"/>
      <c r="U128" s="461"/>
      <c r="V128" s="461"/>
      <c r="W128" s="461"/>
      <c r="X128" s="461"/>
      <c r="Y128" s="455"/>
    </row>
    <row r="129" spans="1:26" ht="78.75" hidden="1" customHeight="1" x14ac:dyDescent="0.25">
      <c r="A129" s="454" t="s">
        <v>933</v>
      </c>
      <c r="B129" s="455" t="s">
        <v>934</v>
      </c>
      <c r="C129" s="455" t="s">
        <v>798</v>
      </c>
      <c r="D129" s="456">
        <v>85</v>
      </c>
      <c r="E129" s="456">
        <v>0</v>
      </c>
      <c r="F129" s="456">
        <v>0</v>
      </c>
      <c r="G129" s="456">
        <v>35</v>
      </c>
      <c r="H129" s="456">
        <v>0</v>
      </c>
      <c r="I129" s="456">
        <v>50</v>
      </c>
      <c r="J129" s="456">
        <v>0</v>
      </c>
      <c r="K129" s="456">
        <v>0</v>
      </c>
      <c r="L129" s="456">
        <v>0</v>
      </c>
      <c r="M129" s="456">
        <v>0</v>
      </c>
      <c r="N129" s="456">
        <v>0</v>
      </c>
      <c r="O129" s="456">
        <v>0</v>
      </c>
      <c r="P129" s="455" t="s">
        <v>935</v>
      </c>
      <c r="Q129" s="461"/>
      <c r="R129" s="461"/>
      <c r="S129" s="461"/>
      <c r="T129" s="461"/>
      <c r="U129" s="461"/>
      <c r="V129" s="461"/>
      <c r="W129" s="461"/>
      <c r="X129" s="461"/>
      <c r="Y129" s="568"/>
    </row>
    <row r="130" spans="1:26" ht="79.2" hidden="1" x14ac:dyDescent="0.25">
      <c r="A130" s="454" t="s">
        <v>933</v>
      </c>
      <c r="B130" s="455" t="s">
        <v>934</v>
      </c>
      <c r="C130" s="455"/>
      <c r="D130" s="456">
        <v>0</v>
      </c>
      <c r="E130" s="456">
        <v>0</v>
      </c>
      <c r="F130" s="456">
        <v>0</v>
      </c>
      <c r="G130" s="456">
        <v>0</v>
      </c>
      <c r="H130" s="456">
        <v>0</v>
      </c>
      <c r="I130" s="456">
        <v>0</v>
      </c>
      <c r="J130" s="456">
        <v>0</v>
      </c>
      <c r="K130" s="456">
        <v>0</v>
      </c>
      <c r="L130" s="456">
        <v>0</v>
      </c>
      <c r="M130" s="456">
        <v>0</v>
      </c>
      <c r="N130" s="456">
        <v>0</v>
      </c>
      <c r="O130" s="456">
        <v>0</v>
      </c>
      <c r="P130" s="455" t="s">
        <v>936</v>
      </c>
      <c r="Q130" s="461"/>
      <c r="R130" s="461"/>
      <c r="S130" s="461"/>
      <c r="T130" s="461"/>
      <c r="U130" s="461"/>
      <c r="V130" s="461"/>
      <c r="W130" s="461"/>
      <c r="X130" s="461"/>
      <c r="Y130" s="568"/>
    </row>
    <row r="131" spans="1:26" x14ac:dyDescent="0.25">
      <c r="A131" s="545" t="s">
        <v>937</v>
      </c>
      <c r="B131" s="545"/>
      <c r="C131" s="545"/>
      <c r="D131" s="545"/>
      <c r="E131" s="545"/>
      <c r="F131" s="545"/>
      <c r="G131" s="545"/>
      <c r="H131" s="545"/>
      <c r="I131" s="545"/>
      <c r="J131" s="545"/>
      <c r="K131" s="545"/>
      <c r="L131" s="545"/>
      <c r="M131" s="545"/>
      <c r="N131" s="545"/>
      <c r="O131" s="545"/>
      <c r="P131" s="545"/>
      <c r="Q131" s="545"/>
      <c r="R131" s="545"/>
      <c r="S131" s="545"/>
      <c r="T131" s="545"/>
      <c r="U131" s="545"/>
      <c r="V131" s="545"/>
      <c r="W131" s="545"/>
      <c r="X131" s="545"/>
      <c r="Y131" s="545"/>
    </row>
    <row r="132" spans="1:26" ht="132" x14ac:dyDescent="0.25">
      <c r="A132" s="454" t="s">
        <v>603</v>
      </c>
      <c r="B132" s="470" t="s">
        <v>938</v>
      </c>
      <c r="C132" s="470"/>
      <c r="D132" s="474">
        <v>0</v>
      </c>
      <c r="E132" s="474">
        <v>0</v>
      </c>
      <c r="F132" s="474">
        <v>0</v>
      </c>
      <c r="G132" s="474">
        <v>0</v>
      </c>
      <c r="H132" s="474">
        <v>0</v>
      </c>
      <c r="I132" s="474">
        <v>0</v>
      </c>
      <c r="J132" s="474">
        <v>0</v>
      </c>
      <c r="K132" s="474">
        <v>0</v>
      </c>
      <c r="L132" s="474">
        <v>0</v>
      </c>
      <c r="M132" s="474">
        <v>0</v>
      </c>
      <c r="N132" s="474">
        <v>0</v>
      </c>
      <c r="O132" s="474">
        <v>0</v>
      </c>
      <c r="P132" s="470" t="s">
        <v>939</v>
      </c>
      <c r="Q132" s="483"/>
      <c r="R132" s="483"/>
      <c r="S132" s="483" t="s">
        <v>881</v>
      </c>
      <c r="T132" s="483" t="s">
        <v>31</v>
      </c>
      <c r="U132" s="461"/>
      <c r="V132" s="461"/>
      <c r="W132" s="461"/>
      <c r="X132" s="461"/>
      <c r="Y132" s="470" t="s">
        <v>940</v>
      </c>
    </row>
    <row r="133" spans="1:26" ht="84.75" hidden="1" customHeight="1" x14ac:dyDescent="0.25">
      <c r="A133" s="454"/>
      <c r="B133" s="455"/>
      <c r="C133" s="455"/>
      <c r="D133" s="456"/>
      <c r="E133" s="456"/>
      <c r="F133" s="456"/>
      <c r="G133" s="456"/>
      <c r="H133" s="456"/>
      <c r="I133" s="456"/>
      <c r="J133" s="456"/>
      <c r="K133" s="456"/>
      <c r="L133" s="456"/>
      <c r="M133" s="456"/>
      <c r="N133" s="456"/>
      <c r="O133" s="456"/>
      <c r="P133" s="455"/>
      <c r="Q133" s="461"/>
      <c r="R133" s="461"/>
      <c r="S133" s="461"/>
      <c r="T133" s="461"/>
      <c r="U133" s="461"/>
      <c r="V133" s="461"/>
      <c r="W133" s="461"/>
      <c r="X133" s="461"/>
      <c r="Y133" s="463"/>
    </row>
    <row r="134" spans="1:26" hidden="1" x14ac:dyDescent="0.25">
      <c r="A134" s="545" t="s">
        <v>941</v>
      </c>
      <c r="B134" s="545"/>
      <c r="C134" s="545"/>
      <c r="D134" s="545"/>
      <c r="E134" s="545"/>
      <c r="F134" s="545"/>
      <c r="G134" s="545"/>
      <c r="H134" s="545"/>
      <c r="I134" s="545"/>
      <c r="J134" s="545"/>
      <c r="K134" s="545"/>
      <c r="L134" s="545"/>
      <c r="M134" s="545"/>
      <c r="N134" s="545"/>
      <c r="O134" s="545"/>
      <c r="P134" s="545"/>
      <c r="Q134" s="545"/>
      <c r="R134" s="545"/>
      <c r="S134" s="545"/>
      <c r="T134" s="545"/>
      <c r="U134" s="545"/>
      <c r="V134" s="545"/>
      <c r="W134" s="545"/>
      <c r="X134" s="545"/>
      <c r="Y134" s="545"/>
    </row>
    <row r="135" spans="1:26" ht="26.4" hidden="1" x14ac:dyDescent="0.25">
      <c r="A135" s="454" t="s">
        <v>901</v>
      </c>
      <c r="B135" s="455" t="s">
        <v>942</v>
      </c>
      <c r="C135" s="455" t="s">
        <v>943</v>
      </c>
      <c r="D135" s="456">
        <v>40784.9</v>
      </c>
      <c r="E135" s="456">
        <v>28142.6</v>
      </c>
      <c r="F135" s="456">
        <v>69</v>
      </c>
      <c r="G135" s="456">
        <v>0</v>
      </c>
      <c r="H135" s="456">
        <v>0</v>
      </c>
      <c r="I135" s="456">
        <v>40784.9</v>
      </c>
      <c r="J135" s="456">
        <v>28142.6</v>
      </c>
      <c r="K135" s="456">
        <v>0</v>
      </c>
      <c r="L135" s="456">
        <v>0</v>
      </c>
      <c r="M135" s="456">
        <v>0</v>
      </c>
      <c r="N135" s="456">
        <v>0</v>
      </c>
      <c r="O135" s="456">
        <v>28142.6</v>
      </c>
      <c r="P135" s="455" t="s">
        <v>944</v>
      </c>
      <c r="Q135" s="461" t="s">
        <v>584</v>
      </c>
      <c r="R135" s="461" t="s">
        <v>945</v>
      </c>
      <c r="S135" s="461" t="s">
        <v>586</v>
      </c>
      <c r="T135" s="461" t="s">
        <v>946</v>
      </c>
      <c r="U135" s="461" t="s">
        <v>587</v>
      </c>
      <c r="V135" s="461" t="s">
        <v>947</v>
      </c>
      <c r="W135" s="461"/>
      <c r="X135" s="461"/>
      <c r="Y135" s="455" t="s">
        <v>948</v>
      </c>
    </row>
    <row r="136" spans="1:26" x14ac:dyDescent="0.25">
      <c r="A136" s="549" t="s">
        <v>949</v>
      </c>
      <c r="B136" s="549"/>
      <c r="C136" s="549"/>
      <c r="D136" s="549"/>
      <c r="E136" s="549"/>
      <c r="F136" s="549"/>
      <c r="G136" s="549"/>
      <c r="H136" s="549"/>
      <c r="I136" s="549"/>
      <c r="J136" s="549"/>
      <c r="K136" s="549"/>
      <c r="L136" s="549"/>
      <c r="M136" s="549"/>
      <c r="N136" s="549"/>
      <c r="O136" s="549"/>
      <c r="P136" s="549"/>
      <c r="Q136" s="549"/>
      <c r="R136" s="549"/>
      <c r="S136" s="549"/>
      <c r="T136" s="549"/>
      <c r="U136" s="549"/>
      <c r="V136" s="549"/>
      <c r="W136" s="549"/>
      <c r="X136" s="549"/>
      <c r="Y136" s="549"/>
    </row>
    <row r="137" spans="1:26" hidden="1" x14ac:dyDescent="0.25">
      <c r="A137" s="545" t="s">
        <v>950</v>
      </c>
      <c r="B137" s="545"/>
      <c r="C137" s="545"/>
      <c r="D137" s="545"/>
      <c r="E137" s="545"/>
      <c r="F137" s="545"/>
      <c r="G137" s="545"/>
      <c r="H137" s="545"/>
      <c r="I137" s="545"/>
      <c r="J137" s="545"/>
      <c r="K137" s="545"/>
      <c r="L137" s="545"/>
      <c r="M137" s="545"/>
      <c r="N137" s="545"/>
      <c r="O137" s="545"/>
      <c r="P137" s="545"/>
      <c r="Q137" s="545"/>
      <c r="R137" s="545"/>
      <c r="S137" s="545"/>
      <c r="T137" s="545"/>
      <c r="U137" s="545"/>
      <c r="V137" s="545"/>
      <c r="W137" s="545"/>
      <c r="X137" s="545"/>
      <c r="Y137" s="545"/>
    </row>
    <row r="138" spans="1:26" ht="105.6" hidden="1" x14ac:dyDescent="0.25">
      <c r="A138" s="454" t="s">
        <v>796</v>
      </c>
      <c r="B138" s="461" t="s">
        <v>951</v>
      </c>
      <c r="C138" s="455"/>
      <c r="D138" s="456">
        <v>0</v>
      </c>
      <c r="E138" s="456">
        <v>0</v>
      </c>
      <c r="F138" s="456">
        <v>0</v>
      </c>
      <c r="G138" s="456">
        <v>0</v>
      </c>
      <c r="H138" s="456">
        <v>0</v>
      </c>
      <c r="I138" s="456">
        <v>0</v>
      </c>
      <c r="J138" s="456">
        <v>0</v>
      </c>
      <c r="K138" s="456">
        <v>0</v>
      </c>
      <c r="L138" s="456">
        <v>0</v>
      </c>
      <c r="M138" s="456">
        <v>0</v>
      </c>
      <c r="N138" s="456">
        <v>0</v>
      </c>
      <c r="O138" s="456">
        <v>0</v>
      </c>
      <c r="P138" s="455" t="s">
        <v>952</v>
      </c>
      <c r="Q138" s="461"/>
      <c r="R138" s="461"/>
      <c r="S138" s="461"/>
      <c r="T138" s="461"/>
      <c r="U138" s="461"/>
      <c r="V138" s="461"/>
      <c r="W138" s="461"/>
      <c r="X138" s="461"/>
      <c r="Y138" s="455" t="s">
        <v>953</v>
      </c>
    </row>
    <row r="139" spans="1:26" ht="52.8" hidden="1" x14ac:dyDescent="0.25">
      <c r="A139" s="454" t="s">
        <v>576</v>
      </c>
      <c r="B139" s="461" t="s">
        <v>954</v>
      </c>
      <c r="C139" s="455"/>
      <c r="D139" s="456">
        <v>0</v>
      </c>
      <c r="E139" s="456">
        <v>0</v>
      </c>
      <c r="F139" s="456">
        <v>0</v>
      </c>
      <c r="G139" s="456">
        <v>0</v>
      </c>
      <c r="H139" s="456">
        <v>0</v>
      </c>
      <c r="I139" s="456">
        <v>0</v>
      </c>
      <c r="J139" s="456">
        <v>0</v>
      </c>
      <c r="K139" s="456">
        <v>0</v>
      </c>
      <c r="L139" s="456">
        <v>0</v>
      </c>
      <c r="M139" s="456">
        <v>0</v>
      </c>
      <c r="N139" s="456">
        <v>0</v>
      </c>
      <c r="O139" s="456">
        <v>0</v>
      </c>
      <c r="P139" s="455" t="s">
        <v>955</v>
      </c>
      <c r="Q139" s="461"/>
      <c r="R139" s="461"/>
      <c r="S139" s="461"/>
      <c r="T139" s="461"/>
      <c r="U139" s="461" t="s">
        <v>956</v>
      </c>
      <c r="V139" s="461" t="s">
        <v>957</v>
      </c>
      <c r="W139" s="461"/>
      <c r="X139" s="461"/>
      <c r="Y139" s="465" t="s">
        <v>31</v>
      </c>
    </row>
    <row r="140" spans="1:26" hidden="1" x14ac:dyDescent="0.25">
      <c r="A140" s="545" t="s">
        <v>958</v>
      </c>
      <c r="B140" s="545"/>
      <c r="C140" s="545"/>
      <c r="D140" s="545"/>
      <c r="E140" s="545"/>
      <c r="F140" s="545"/>
      <c r="G140" s="545"/>
      <c r="H140" s="545"/>
      <c r="I140" s="545"/>
      <c r="J140" s="545"/>
      <c r="K140" s="545"/>
      <c r="L140" s="545"/>
      <c r="M140" s="545"/>
      <c r="N140" s="545"/>
      <c r="O140" s="545"/>
      <c r="P140" s="545"/>
      <c r="Q140" s="545"/>
      <c r="R140" s="545"/>
      <c r="S140" s="545"/>
      <c r="T140" s="545"/>
      <c r="U140" s="545"/>
      <c r="V140" s="545"/>
      <c r="W140" s="545"/>
      <c r="X140" s="545"/>
      <c r="Y140" s="545"/>
    </row>
    <row r="141" spans="1:26" ht="66" hidden="1" x14ac:dyDescent="0.25">
      <c r="A141" s="454" t="s">
        <v>796</v>
      </c>
      <c r="B141" s="455" t="s">
        <v>959</v>
      </c>
      <c r="C141" s="455"/>
      <c r="D141" s="456">
        <v>0</v>
      </c>
      <c r="E141" s="456">
        <v>0</v>
      </c>
      <c r="F141" s="456">
        <v>0</v>
      </c>
      <c r="G141" s="456">
        <v>0</v>
      </c>
      <c r="H141" s="456">
        <v>0</v>
      </c>
      <c r="I141" s="456">
        <v>0</v>
      </c>
      <c r="J141" s="456">
        <v>0</v>
      </c>
      <c r="K141" s="456">
        <v>0</v>
      </c>
      <c r="L141" s="456">
        <v>0</v>
      </c>
      <c r="M141" s="456">
        <v>0</v>
      </c>
      <c r="N141" s="456">
        <v>0</v>
      </c>
      <c r="O141" s="456">
        <v>0</v>
      </c>
      <c r="P141" s="455" t="s">
        <v>960</v>
      </c>
      <c r="Q141" s="461"/>
      <c r="R141" s="461"/>
      <c r="S141" s="461" t="s">
        <v>961</v>
      </c>
      <c r="T141" s="461" t="s">
        <v>962</v>
      </c>
      <c r="U141" s="461"/>
      <c r="V141" s="461"/>
      <c r="W141" s="461"/>
      <c r="X141" s="461"/>
      <c r="Y141" s="455" t="s">
        <v>963</v>
      </c>
      <c r="Z141" s="445"/>
    </row>
    <row r="142" spans="1:26" x14ac:dyDescent="0.25">
      <c r="A142" s="545" t="s">
        <v>964</v>
      </c>
      <c r="B142" s="545"/>
      <c r="C142" s="545"/>
      <c r="D142" s="545"/>
      <c r="E142" s="545"/>
      <c r="F142" s="545"/>
      <c r="G142" s="545"/>
      <c r="H142" s="545"/>
      <c r="I142" s="545"/>
      <c r="J142" s="545"/>
      <c r="K142" s="545"/>
      <c r="L142" s="545"/>
      <c r="M142" s="545"/>
      <c r="N142" s="545"/>
      <c r="O142" s="545"/>
      <c r="P142" s="545"/>
      <c r="Q142" s="545"/>
      <c r="R142" s="545"/>
      <c r="S142" s="545"/>
      <c r="T142" s="545"/>
      <c r="U142" s="545"/>
      <c r="V142" s="545"/>
      <c r="W142" s="545"/>
      <c r="X142" s="545"/>
      <c r="Y142" s="545"/>
    </row>
    <row r="143" spans="1:26" ht="79.2" x14ac:dyDescent="0.25">
      <c r="A143" s="454" t="s">
        <v>780</v>
      </c>
      <c r="B143" s="470" t="s">
        <v>965</v>
      </c>
      <c r="C143" s="470"/>
      <c r="D143" s="474">
        <v>0</v>
      </c>
      <c r="E143" s="474">
        <v>0</v>
      </c>
      <c r="F143" s="474">
        <v>0</v>
      </c>
      <c r="G143" s="474">
        <v>0</v>
      </c>
      <c r="H143" s="474">
        <v>0</v>
      </c>
      <c r="I143" s="474">
        <v>0</v>
      </c>
      <c r="J143" s="474">
        <v>0</v>
      </c>
      <c r="K143" s="474">
        <v>0</v>
      </c>
      <c r="L143" s="474">
        <v>0</v>
      </c>
      <c r="M143" s="474">
        <v>0</v>
      </c>
      <c r="N143" s="474">
        <v>0</v>
      </c>
      <c r="O143" s="474">
        <v>0</v>
      </c>
      <c r="P143" s="470" t="s">
        <v>966</v>
      </c>
      <c r="Q143" s="483"/>
      <c r="R143" s="483"/>
      <c r="S143" s="483" t="s">
        <v>967</v>
      </c>
      <c r="T143" s="483" t="s">
        <v>17</v>
      </c>
      <c r="U143" s="461"/>
      <c r="V143" s="461"/>
      <c r="W143" s="461"/>
      <c r="X143" s="461"/>
      <c r="Y143" s="484" t="s">
        <v>968</v>
      </c>
    </row>
    <row r="144" spans="1:26" ht="211.2" x14ac:dyDescent="0.25">
      <c r="A144" s="454" t="s">
        <v>553</v>
      </c>
      <c r="B144" s="470" t="s">
        <v>969</v>
      </c>
      <c r="C144" s="470"/>
      <c r="D144" s="474">
        <v>0</v>
      </c>
      <c r="E144" s="474">
        <v>0</v>
      </c>
      <c r="F144" s="474">
        <v>0</v>
      </c>
      <c r="G144" s="474">
        <v>0</v>
      </c>
      <c r="H144" s="474">
        <v>0</v>
      </c>
      <c r="I144" s="474">
        <v>0</v>
      </c>
      <c r="J144" s="474">
        <v>0</v>
      </c>
      <c r="K144" s="474">
        <v>0</v>
      </c>
      <c r="L144" s="474">
        <v>0</v>
      </c>
      <c r="M144" s="474">
        <v>0</v>
      </c>
      <c r="N144" s="474">
        <v>0</v>
      </c>
      <c r="O144" s="474">
        <v>0</v>
      </c>
      <c r="P144" s="470" t="s">
        <v>970</v>
      </c>
      <c r="Q144" s="483"/>
      <c r="R144" s="483"/>
      <c r="S144" s="483" t="s">
        <v>971</v>
      </c>
      <c r="T144" s="483" t="s">
        <v>972</v>
      </c>
      <c r="U144" s="461"/>
      <c r="V144" s="461"/>
      <c r="W144" s="461"/>
      <c r="X144" s="461"/>
      <c r="Y144" s="484" t="s">
        <v>973</v>
      </c>
    </row>
    <row r="145" spans="1:25" hidden="1" x14ac:dyDescent="0.25">
      <c r="A145" s="545" t="s">
        <v>974</v>
      </c>
      <c r="B145" s="545"/>
      <c r="C145" s="545"/>
      <c r="D145" s="545"/>
      <c r="E145" s="545"/>
      <c r="F145" s="545"/>
      <c r="G145" s="545"/>
      <c r="H145" s="545"/>
      <c r="I145" s="545"/>
      <c r="J145" s="545"/>
      <c r="K145" s="545"/>
      <c r="L145" s="545"/>
      <c r="M145" s="545"/>
      <c r="N145" s="545"/>
      <c r="O145" s="545"/>
      <c r="P145" s="545"/>
      <c r="Q145" s="545"/>
      <c r="R145" s="545"/>
      <c r="S145" s="545"/>
      <c r="T145" s="545"/>
      <c r="U145" s="545"/>
      <c r="V145" s="545"/>
      <c r="W145" s="545"/>
      <c r="X145" s="545"/>
      <c r="Y145" s="545"/>
    </row>
    <row r="146" spans="1:25" ht="171.6" hidden="1" x14ac:dyDescent="0.25">
      <c r="A146" s="454" t="s">
        <v>673</v>
      </c>
      <c r="B146" s="455" t="s">
        <v>975</v>
      </c>
      <c r="C146" s="455"/>
      <c r="D146" s="456">
        <v>152018.1</v>
      </c>
      <c r="E146" s="456">
        <v>99653.2</v>
      </c>
      <c r="F146" s="456">
        <v>65.599999999999994</v>
      </c>
      <c r="G146" s="456">
        <v>98230.399999999994</v>
      </c>
      <c r="H146" s="456">
        <v>61964.9</v>
      </c>
      <c r="I146" s="456">
        <v>53787.7</v>
      </c>
      <c r="J146" s="456">
        <v>37688.300000000003</v>
      </c>
      <c r="K146" s="456">
        <v>0</v>
      </c>
      <c r="L146" s="456">
        <v>0</v>
      </c>
      <c r="M146" s="456">
        <v>0</v>
      </c>
      <c r="N146" s="456">
        <v>0</v>
      </c>
      <c r="O146" s="456">
        <v>99653.2</v>
      </c>
      <c r="P146" s="455" t="s">
        <v>976</v>
      </c>
      <c r="Q146" s="461" t="s">
        <v>977</v>
      </c>
      <c r="R146" s="461" t="s">
        <v>210</v>
      </c>
      <c r="S146" s="461" t="s">
        <v>978</v>
      </c>
      <c r="T146" s="461" t="s">
        <v>979</v>
      </c>
      <c r="U146" s="461" t="s">
        <v>980</v>
      </c>
      <c r="V146" s="461" t="s">
        <v>981</v>
      </c>
      <c r="W146" s="461"/>
      <c r="X146" s="461"/>
      <c r="Y146" s="455" t="s">
        <v>982</v>
      </c>
    </row>
    <row r="147" spans="1:25" ht="303.60000000000002" hidden="1" x14ac:dyDescent="0.25">
      <c r="A147" s="454" t="s">
        <v>603</v>
      </c>
      <c r="B147" s="455" t="s">
        <v>983</v>
      </c>
      <c r="C147" s="455"/>
      <c r="D147" s="456">
        <v>387497.1</v>
      </c>
      <c r="E147" s="456">
        <v>257603.1</v>
      </c>
      <c r="F147" s="456">
        <v>66.5</v>
      </c>
      <c r="G147" s="456">
        <v>293794.8</v>
      </c>
      <c r="H147" s="456">
        <v>195908.3</v>
      </c>
      <c r="I147" s="456">
        <v>93702.3</v>
      </c>
      <c r="J147" s="456">
        <v>61694.8</v>
      </c>
      <c r="K147" s="456">
        <v>0</v>
      </c>
      <c r="L147" s="456">
        <v>0</v>
      </c>
      <c r="M147" s="456">
        <v>0</v>
      </c>
      <c r="N147" s="456">
        <v>0</v>
      </c>
      <c r="O147" s="456">
        <v>257603.1</v>
      </c>
      <c r="P147" s="455" t="s">
        <v>976</v>
      </c>
      <c r="Q147" s="461" t="s">
        <v>984</v>
      </c>
      <c r="R147" s="461" t="s">
        <v>985</v>
      </c>
      <c r="S147" s="461" t="s">
        <v>986</v>
      </c>
      <c r="T147" s="461" t="s">
        <v>987</v>
      </c>
      <c r="U147" s="461" t="s">
        <v>988</v>
      </c>
      <c r="V147" s="461" t="s">
        <v>989</v>
      </c>
      <c r="W147" s="461"/>
      <c r="X147" s="461"/>
      <c r="Y147" s="455" t="s">
        <v>990</v>
      </c>
    </row>
    <row r="148" spans="1:25" x14ac:dyDescent="0.25">
      <c r="A148" s="557" t="s">
        <v>991</v>
      </c>
      <c r="B148" s="547"/>
      <c r="C148" s="547"/>
      <c r="D148" s="547"/>
      <c r="E148" s="547"/>
      <c r="F148" s="547"/>
      <c r="G148" s="547"/>
      <c r="H148" s="547"/>
      <c r="I148" s="547"/>
      <c r="J148" s="547"/>
      <c r="K148" s="547"/>
      <c r="L148" s="547"/>
      <c r="M148" s="547"/>
      <c r="N148" s="547"/>
      <c r="O148" s="547"/>
      <c r="P148" s="547"/>
      <c r="Q148" s="547"/>
      <c r="R148" s="547"/>
      <c r="S148" s="547"/>
      <c r="T148" s="547"/>
      <c r="U148" s="547"/>
      <c r="V148" s="547"/>
      <c r="W148" s="547"/>
      <c r="X148" s="547"/>
      <c r="Y148" s="548"/>
    </row>
    <row r="149" spans="1:25" ht="211.2" x14ac:dyDescent="0.25">
      <c r="A149" s="454" t="s">
        <v>673</v>
      </c>
      <c r="B149" s="480" t="s">
        <v>975</v>
      </c>
      <c r="C149" s="469"/>
      <c r="D149" s="469"/>
      <c r="E149" s="469"/>
      <c r="F149" s="469"/>
      <c r="G149" s="469"/>
      <c r="H149" s="469"/>
      <c r="I149" s="469"/>
      <c r="J149" s="469"/>
      <c r="K149" s="469"/>
      <c r="L149" s="469"/>
      <c r="M149" s="469"/>
      <c r="N149" s="469"/>
      <c r="O149" s="469"/>
      <c r="P149" s="480" t="s">
        <v>976</v>
      </c>
      <c r="Q149" s="485" t="s">
        <v>992</v>
      </c>
      <c r="R149" s="485" t="s">
        <v>993</v>
      </c>
      <c r="S149" s="485" t="s">
        <v>978</v>
      </c>
      <c r="T149" s="485" t="s">
        <v>994</v>
      </c>
      <c r="U149" s="454"/>
      <c r="V149" s="454"/>
      <c r="W149" s="454"/>
      <c r="X149" s="454"/>
      <c r="Y149" s="480" t="s">
        <v>1165</v>
      </c>
    </row>
    <row r="150" spans="1:25" ht="198" x14ac:dyDescent="0.25">
      <c r="A150" s="454" t="s">
        <v>603</v>
      </c>
      <c r="B150" s="470" t="s">
        <v>983</v>
      </c>
      <c r="C150" s="470"/>
      <c r="D150" s="474"/>
      <c r="E150" s="474"/>
      <c r="F150" s="474"/>
      <c r="G150" s="474"/>
      <c r="H150" s="474"/>
      <c r="I150" s="474"/>
      <c r="J150" s="474"/>
      <c r="K150" s="474"/>
      <c r="L150" s="474"/>
      <c r="M150" s="474"/>
      <c r="N150" s="474"/>
      <c r="O150" s="474"/>
      <c r="P150" s="470" t="s">
        <v>976</v>
      </c>
      <c r="Q150" s="483" t="s">
        <v>995</v>
      </c>
      <c r="R150" s="483" t="s">
        <v>996</v>
      </c>
      <c r="S150" s="483" t="s">
        <v>631</v>
      </c>
      <c r="T150" s="483" t="s">
        <v>997</v>
      </c>
      <c r="U150" s="461"/>
      <c r="V150" s="461"/>
      <c r="W150" s="461"/>
      <c r="X150" s="461"/>
      <c r="Y150" s="470" t="s">
        <v>998</v>
      </c>
    </row>
    <row r="151" spans="1:25" x14ac:dyDescent="0.25">
      <c r="A151" s="549" t="s">
        <v>999</v>
      </c>
      <c r="B151" s="549"/>
      <c r="C151" s="549"/>
      <c r="D151" s="549"/>
      <c r="E151" s="549"/>
      <c r="F151" s="549"/>
      <c r="G151" s="549"/>
      <c r="H151" s="549"/>
      <c r="I151" s="549"/>
      <c r="J151" s="549"/>
      <c r="K151" s="549"/>
      <c r="L151" s="549"/>
      <c r="M151" s="549"/>
      <c r="N151" s="549"/>
      <c r="O151" s="549"/>
      <c r="P151" s="549"/>
      <c r="Q151" s="549"/>
      <c r="R151" s="549"/>
      <c r="S151" s="549"/>
      <c r="T151" s="549"/>
      <c r="U151" s="549"/>
      <c r="V151" s="549"/>
      <c r="W151" s="549"/>
      <c r="X151" s="549"/>
      <c r="Y151" s="549"/>
    </row>
    <row r="152" spans="1:25" x14ac:dyDescent="0.25">
      <c r="A152" s="545" t="s">
        <v>1000</v>
      </c>
      <c r="B152" s="545"/>
      <c r="C152" s="545"/>
      <c r="D152" s="545"/>
      <c r="E152" s="545"/>
      <c r="F152" s="545"/>
      <c r="G152" s="545"/>
      <c r="H152" s="545"/>
      <c r="I152" s="545"/>
      <c r="J152" s="545"/>
      <c r="K152" s="545"/>
      <c r="L152" s="545"/>
      <c r="M152" s="545"/>
      <c r="N152" s="545"/>
      <c r="O152" s="545"/>
      <c r="P152" s="545"/>
      <c r="Q152" s="545"/>
      <c r="R152" s="545"/>
      <c r="S152" s="545"/>
      <c r="T152" s="545"/>
      <c r="U152" s="545"/>
      <c r="V152" s="545"/>
      <c r="W152" s="545"/>
      <c r="X152" s="545"/>
      <c r="Y152" s="545"/>
    </row>
    <row r="153" spans="1:25" ht="52.8" x14ac:dyDescent="0.25">
      <c r="A153" s="454" t="s">
        <v>1001</v>
      </c>
      <c r="B153" s="470" t="s">
        <v>1002</v>
      </c>
      <c r="C153" s="470" t="s">
        <v>1003</v>
      </c>
      <c r="D153" s="474">
        <v>1305129.3</v>
      </c>
      <c r="E153" s="474">
        <v>1253618.1000000001</v>
      </c>
      <c r="F153" s="474">
        <v>96.1</v>
      </c>
      <c r="G153" s="474">
        <v>0</v>
      </c>
      <c r="H153" s="474">
        <v>0</v>
      </c>
      <c r="I153" s="474">
        <v>1305129.3</v>
      </c>
      <c r="J153" s="474">
        <v>1253618.1000000001</v>
      </c>
      <c r="K153" s="474">
        <v>0</v>
      </c>
      <c r="L153" s="474">
        <v>0</v>
      </c>
      <c r="M153" s="474">
        <v>0</v>
      </c>
      <c r="N153" s="474">
        <v>0</v>
      </c>
      <c r="O153" s="474">
        <v>1253618.1000000001</v>
      </c>
      <c r="P153" s="470" t="s">
        <v>1004</v>
      </c>
      <c r="Q153" s="483" t="s">
        <v>18</v>
      </c>
      <c r="R153" s="483" t="s">
        <v>197</v>
      </c>
      <c r="S153" s="483" t="s">
        <v>18</v>
      </c>
      <c r="T153" s="483" t="s">
        <v>197</v>
      </c>
      <c r="U153" s="461"/>
      <c r="V153" s="461"/>
      <c r="W153" s="461"/>
      <c r="X153" s="461"/>
      <c r="Y153" s="554" t="s">
        <v>1005</v>
      </c>
    </row>
    <row r="154" spans="1:25" ht="52.8" x14ac:dyDescent="0.25">
      <c r="A154" s="454" t="s">
        <v>901</v>
      </c>
      <c r="B154" s="470" t="s">
        <v>1006</v>
      </c>
      <c r="C154" s="470"/>
      <c r="D154" s="474"/>
      <c r="E154" s="474"/>
      <c r="F154" s="474"/>
      <c r="G154" s="474"/>
      <c r="H154" s="474"/>
      <c r="I154" s="474"/>
      <c r="J154" s="474"/>
      <c r="K154" s="474"/>
      <c r="L154" s="474"/>
      <c r="M154" s="474"/>
      <c r="N154" s="474"/>
      <c r="O154" s="474"/>
      <c r="P154" s="470" t="s">
        <v>1004</v>
      </c>
      <c r="Q154" s="483" t="s">
        <v>928</v>
      </c>
      <c r="R154" s="483" t="s">
        <v>1007</v>
      </c>
      <c r="S154" s="483" t="s">
        <v>1008</v>
      </c>
      <c r="T154" s="483" t="s">
        <v>1009</v>
      </c>
      <c r="U154" s="461"/>
      <c r="V154" s="461"/>
      <c r="W154" s="461"/>
      <c r="X154" s="461"/>
      <c r="Y154" s="555"/>
    </row>
    <row r="155" spans="1:25" ht="52.8" x14ac:dyDescent="0.25">
      <c r="A155" s="454" t="s">
        <v>1010</v>
      </c>
      <c r="B155" s="470" t="s">
        <v>1011</v>
      </c>
      <c r="C155" s="470"/>
      <c r="D155" s="474"/>
      <c r="E155" s="474"/>
      <c r="F155" s="474"/>
      <c r="G155" s="474"/>
      <c r="H155" s="474"/>
      <c r="I155" s="474"/>
      <c r="J155" s="474"/>
      <c r="K155" s="474"/>
      <c r="L155" s="474"/>
      <c r="M155" s="474"/>
      <c r="N155" s="474"/>
      <c r="O155" s="474"/>
      <c r="P155" s="470" t="s">
        <v>1004</v>
      </c>
      <c r="Q155" s="483" t="s">
        <v>891</v>
      </c>
      <c r="R155" s="483" t="s">
        <v>1012</v>
      </c>
      <c r="S155" s="483" t="s">
        <v>1013</v>
      </c>
      <c r="T155" s="483" t="s">
        <v>1014</v>
      </c>
      <c r="U155" s="461"/>
      <c r="V155" s="461"/>
      <c r="W155" s="461"/>
      <c r="X155" s="461"/>
      <c r="Y155" s="555"/>
    </row>
    <row r="156" spans="1:25" ht="26.4" x14ac:dyDescent="0.25">
      <c r="A156" s="454" t="s">
        <v>1015</v>
      </c>
      <c r="B156" s="470" t="s">
        <v>1016</v>
      </c>
      <c r="C156" s="470"/>
      <c r="D156" s="474"/>
      <c r="E156" s="474"/>
      <c r="F156" s="474"/>
      <c r="G156" s="474"/>
      <c r="H156" s="474"/>
      <c r="I156" s="474"/>
      <c r="J156" s="474"/>
      <c r="K156" s="474"/>
      <c r="L156" s="474"/>
      <c r="M156" s="474"/>
      <c r="N156" s="474"/>
      <c r="O156" s="474"/>
      <c r="P156" s="470" t="s">
        <v>1017</v>
      </c>
      <c r="Q156" s="483" t="s">
        <v>713</v>
      </c>
      <c r="R156" s="483" t="s">
        <v>1018</v>
      </c>
      <c r="S156" s="483" t="s">
        <v>1019</v>
      </c>
      <c r="T156" s="483" t="s">
        <v>635</v>
      </c>
      <c r="U156" s="461"/>
      <c r="V156" s="461"/>
      <c r="W156" s="461"/>
      <c r="X156" s="461"/>
      <c r="Y156" s="556"/>
    </row>
    <row r="157" spans="1:25" ht="26.4" x14ac:dyDescent="0.25">
      <c r="A157" s="454" t="s">
        <v>1020</v>
      </c>
      <c r="B157" s="470" t="s">
        <v>1021</v>
      </c>
      <c r="C157" s="470"/>
      <c r="D157" s="474"/>
      <c r="E157" s="474"/>
      <c r="F157" s="474"/>
      <c r="G157" s="474"/>
      <c r="H157" s="474"/>
      <c r="I157" s="474"/>
      <c r="J157" s="474"/>
      <c r="K157" s="474"/>
      <c r="L157" s="474"/>
      <c r="M157" s="474"/>
      <c r="N157" s="474"/>
      <c r="O157" s="474"/>
      <c r="P157" s="470" t="s">
        <v>1017</v>
      </c>
      <c r="Q157" s="483" t="s">
        <v>1022</v>
      </c>
      <c r="R157" s="483" t="s">
        <v>209</v>
      </c>
      <c r="S157" s="483" t="s">
        <v>1023</v>
      </c>
      <c r="T157" s="483" t="s">
        <v>1024</v>
      </c>
      <c r="U157" s="461"/>
      <c r="V157" s="461"/>
      <c r="W157" s="461"/>
      <c r="X157" s="461"/>
      <c r="Y157" s="484" t="s">
        <v>1025</v>
      </c>
    </row>
    <row r="158" spans="1:25" ht="26.4" hidden="1" x14ac:dyDescent="0.25">
      <c r="A158" s="454" t="s">
        <v>1026</v>
      </c>
      <c r="B158" s="455" t="s">
        <v>1027</v>
      </c>
      <c r="C158" s="455" t="s">
        <v>1003</v>
      </c>
      <c r="D158" s="456">
        <v>53066.2</v>
      </c>
      <c r="E158" s="456">
        <v>38805.9</v>
      </c>
      <c r="F158" s="456">
        <v>73.099999999999994</v>
      </c>
      <c r="G158" s="456">
        <v>0</v>
      </c>
      <c r="H158" s="456">
        <v>0</v>
      </c>
      <c r="I158" s="456">
        <v>53066.2</v>
      </c>
      <c r="J158" s="456">
        <v>38805.9</v>
      </c>
      <c r="K158" s="456">
        <v>0</v>
      </c>
      <c r="L158" s="456">
        <v>0</v>
      </c>
      <c r="M158" s="456">
        <v>0</v>
      </c>
      <c r="N158" s="456">
        <v>0</v>
      </c>
      <c r="O158" s="456">
        <v>38805.9</v>
      </c>
      <c r="P158" s="455" t="s">
        <v>1017</v>
      </c>
      <c r="Q158" s="461" t="s">
        <v>1028</v>
      </c>
      <c r="R158" s="461" t="s">
        <v>1029</v>
      </c>
      <c r="S158" s="461" t="s">
        <v>774</v>
      </c>
      <c r="T158" s="461" t="s">
        <v>1030</v>
      </c>
      <c r="U158" s="461" t="s">
        <v>1031</v>
      </c>
      <c r="V158" s="461" t="s">
        <v>1032</v>
      </c>
      <c r="W158" s="461"/>
      <c r="X158" s="461"/>
      <c r="Y158" s="455" t="s">
        <v>1033</v>
      </c>
    </row>
    <row r="159" spans="1:25" ht="26.4" hidden="1" x14ac:dyDescent="0.25">
      <c r="A159" s="454" t="s">
        <v>1015</v>
      </c>
      <c r="B159" s="455" t="s">
        <v>1016</v>
      </c>
      <c r="C159" s="455" t="s">
        <v>1034</v>
      </c>
      <c r="D159" s="456">
        <v>52452.9</v>
      </c>
      <c r="E159" s="456">
        <v>36213.300000000003</v>
      </c>
      <c r="F159" s="456">
        <v>69</v>
      </c>
      <c r="G159" s="456">
        <v>0</v>
      </c>
      <c r="H159" s="456">
        <v>0</v>
      </c>
      <c r="I159" s="456">
        <v>52452.9</v>
      </c>
      <c r="J159" s="456">
        <v>36213.300000000003</v>
      </c>
      <c r="K159" s="456">
        <v>0</v>
      </c>
      <c r="L159" s="456">
        <v>0</v>
      </c>
      <c r="M159" s="456">
        <v>0</v>
      </c>
      <c r="N159" s="456">
        <v>0</v>
      </c>
      <c r="O159" s="456">
        <v>36213.300000000003</v>
      </c>
      <c r="P159" s="455" t="s">
        <v>1017</v>
      </c>
      <c r="Q159" s="461" t="s">
        <v>585</v>
      </c>
      <c r="R159" s="461" t="s">
        <v>1018</v>
      </c>
      <c r="S159" s="461" t="s">
        <v>1035</v>
      </c>
      <c r="T159" s="461" t="s">
        <v>664</v>
      </c>
      <c r="U159" s="461" t="s">
        <v>1036</v>
      </c>
      <c r="V159" s="461" t="s">
        <v>947</v>
      </c>
      <c r="W159" s="461"/>
      <c r="X159" s="461"/>
      <c r="Y159" s="571" t="s">
        <v>1037</v>
      </c>
    </row>
    <row r="160" spans="1:25" ht="39.6" hidden="1" x14ac:dyDescent="0.25">
      <c r="A160" s="454" t="s">
        <v>1020</v>
      </c>
      <c r="B160" s="455" t="s">
        <v>1038</v>
      </c>
      <c r="C160" s="455" t="s">
        <v>1003</v>
      </c>
      <c r="D160" s="456">
        <v>34331.199999999997</v>
      </c>
      <c r="E160" s="456">
        <v>21245.1</v>
      </c>
      <c r="F160" s="456">
        <v>61.9</v>
      </c>
      <c r="G160" s="456">
        <v>0</v>
      </c>
      <c r="H160" s="456">
        <v>0</v>
      </c>
      <c r="I160" s="456">
        <v>34331.199999999997</v>
      </c>
      <c r="J160" s="456">
        <v>21245.1</v>
      </c>
      <c r="K160" s="456">
        <v>0</v>
      </c>
      <c r="L160" s="456">
        <v>0</v>
      </c>
      <c r="M160" s="456">
        <v>0</v>
      </c>
      <c r="N160" s="456">
        <v>0</v>
      </c>
      <c r="O160" s="456">
        <v>21245.1</v>
      </c>
      <c r="P160" s="455" t="s">
        <v>1017</v>
      </c>
      <c r="Q160" s="461" t="s">
        <v>1039</v>
      </c>
      <c r="R160" s="461" t="s">
        <v>1040</v>
      </c>
      <c r="S160" s="461" t="s">
        <v>860</v>
      </c>
      <c r="T160" s="461" t="s">
        <v>1041</v>
      </c>
      <c r="U160" s="461" t="s">
        <v>1042</v>
      </c>
      <c r="V160" s="461" t="s">
        <v>1043</v>
      </c>
      <c r="W160" s="461"/>
      <c r="X160" s="461"/>
      <c r="Y160" s="571"/>
    </row>
    <row r="161" spans="1:26" x14ac:dyDescent="0.25">
      <c r="A161" s="549" t="s">
        <v>1044</v>
      </c>
      <c r="B161" s="549"/>
      <c r="C161" s="549"/>
      <c r="D161" s="549"/>
      <c r="E161" s="549"/>
      <c r="F161" s="549"/>
      <c r="G161" s="549"/>
      <c r="H161" s="549"/>
      <c r="I161" s="549"/>
      <c r="J161" s="549"/>
      <c r="K161" s="549"/>
      <c r="L161" s="549"/>
      <c r="M161" s="549"/>
      <c r="N161" s="549"/>
      <c r="O161" s="549"/>
      <c r="P161" s="549"/>
      <c r="Q161" s="549"/>
      <c r="R161" s="549"/>
      <c r="S161" s="549"/>
      <c r="T161" s="549"/>
      <c r="U161" s="549"/>
      <c r="V161" s="549"/>
      <c r="W161" s="549"/>
      <c r="X161" s="549"/>
      <c r="Y161" s="549"/>
    </row>
    <row r="162" spans="1:26" x14ac:dyDescent="0.25">
      <c r="A162" s="545" t="s">
        <v>1045</v>
      </c>
      <c r="B162" s="545"/>
      <c r="C162" s="545"/>
      <c r="D162" s="545"/>
      <c r="E162" s="545"/>
      <c r="F162" s="545"/>
      <c r="G162" s="545"/>
      <c r="H162" s="545"/>
      <c r="I162" s="545"/>
      <c r="J162" s="545"/>
      <c r="K162" s="545"/>
      <c r="L162" s="545"/>
      <c r="M162" s="545"/>
      <c r="N162" s="545"/>
      <c r="O162" s="545"/>
      <c r="P162" s="545"/>
      <c r="Q162" s="545"/>
      <c r="R162" s="545"/>
      <c r="S162" s="545"/>
      <c r="T162" s="545"/>
      <c r="U162" s="545"/>
      <c r="V162" s="545"/>
      <c r="W162" s="545"/>
      <c r="X162" s="545"/>
      <c r="Y162" s="545"/>
    </row>
    <row r="163" spans="1:26" ht="92.4" x14ac:dyDescent="0.25">
      <c r="A163" s="454" t="s">
        <v>576</v>
      </c>
      <c r="B163" s="470" t="s">
        <v>1046</v>
      </c>
      <c r="C163" s="470" t="s">
        <v>798</v>
      </c>
      <c r="D163" s="474">
        <v>498.8</v>
      </c>
      <c r="E163" s="474">
        <v>249.8</v>
      </c>
      <c r="F163" s="474">
        <v>50.1</v>
      </c>
      <c r="G163" s="474">
        <v>0</v>
      </c>
      <c r="H163" s="474">
        <v>0</v>
      </c>
      <c r="I163" s="474">
        <v>498.8</v>
      </c>
      <c r="J163" s="474">
        <v>249.8</v>
      </c>
      <c r="K163" s="474">
        <v>0</v>
      </c>
      <c r="L163" s="474">
        <v>0</v>
      </c>
      <c r="M163" s="474">
        <v>0</v>
      </c>
      <c r="N163" s="474">
        <v>0</v>
      </c>
      <c r="O163" s="474">
        <v>249.8</v>
      </c>
      <c r="P163" s="470" t="s">
        <v>1047</v>
      </c>
      <c r="Q163" s="483"/>
      <c r="R163" s="483"/>
      <c r="S163" s="483" t="s">
        <v>1048</v>
      </c>
      <c r="T163" s="483" t="s">
        <v>31</v>
      </c>
      <c r="U163" s="461"/>
      <c r="V163" s="461"/>
      <c r="W163" s="461"/>
      <c r="X163" s="461"/>
      <c r="Y163" s="470" t="s">
        <v>1049</v>
      </c>
      <c r="Z163" s="445"/>
    </row>
    <row r="164" spans="1:26" ht="66" x14ac:dyDescent="0.25">
      <c r="A164" s="454" t="s">
        <v>1050</v>
      </c>
      <c r="B164" s="470" t="s">
        <v>1051</v>
      </c>
      <c r="C164" s="470"/>
      <c r="D164" s="474"/>
      <c r="E164" s="474"/>
      <c r="F164" s="474"/>
      <c r="G164" s="474"/>
      <c r="H164" s="474"/>
      <c r="I164" s="474"/>
      <c r="J164" s="474"/>
      <c r="K164" s="474"/>
      <c r="L164" s="474"/>
      <c r="M164" s="474"/>
      <c r="N164" s="474"/>
      <c r="O164" s="474"/>
      <c r="P164" s="470" t="s">
        <v>1052</v>
      </c>
      <c r="Q164" s="483" t="s">
        <v>209</v>
      </c>
      <c r="R164" s="483" t="s">
        <v>206</v>
      </c>
      <c r="S164" s="483" t="s">
        <v>849</v>
      </c>
      <c r="T164" s="483" t="s">
        <v>198</v>
      </c>
      <c r="U164" s="461"/>
      <c r="V164" s="461"/>
      <c r="W164" s="461"/>
      <c r="X164" s="461"/>
      <c r="Y164" s="470" t="s">
        <v>1053</v>
      </c>
      <c r="Z164" s="445"/>
    </row>
    <row r="165" spans="1:26" x14ac:dyDescent="0.25">
      <c r="A165" s="549" t="s">
        <v>1054</v>
      </c>
      <c r="B165" s="549"/>
      <c r="C165" s="549"/>
      <c r="D165" s="549"/>
      <c r="E165" s="549"/>
      <c r="F165" s="549"/>
      <c r="G165" s="549"/>
      <c r="H165" s="549"/>
      <c r="I165" s="549"/>
      <c r="J165" s="549"/>
      <c r="K165" s="549"/>
      <c r="L165" s="549"/>
      <c r="M165" s="549"/>
      <c r="N165" s="549"/>
      <c r="O165" s="549"/>
      <c r="P165" s="549"/>
      <c r="Q165" s="549"/>
      <c r="R165" s="549"/>
      <c r="S165" s="549"/>
      <c r="T165" s="549"/>
      <c r="U165" s="549"/>
      <c r="V165" s="549"/>
      <c r="W165" s="549"/>
      <c r="X165" s="549"/>
      <c r="Y165" s="549"/>
    </row>
    <row r="166" spans="1:26" hidden="1" x14ac:dyDescent="0.25">
      <c r="A166" s="545" t="s">
        <v>1055</v>
      </c>
      <c r="B166" s="545"/>
      <c r="C166" s="545"/>
      <c r="D166" s="545"/>
      <c r="E166" s="545"/>
      <c r="F166" s="545"/>
      <c r="G166" s="545"/>
      <c r="H166" s="545"/>
      <c r="I166" s="545"/>
      <c r="J166" s="545"/>
      <c r="K166" s="545"/>
      <c r="L166" s="545"/>
      <c r="M166" s="545"/>
      <c r="N166" s="545"/>
      <c r="O166" s="545"/>
      <c r="P166" s="545"/>
      <c r="Q166" s="545"/>
      <c r="R166" s="545"/>
      <c r="S166" s="545"/>
      <c r="T166" s="545"/>
      <c r="U166" s="545"/>
      <c r="V166" s="545"/>
      <c r="W166" s="545"/>
      <c r="X166" s="545"/>
      <c r="Y166" s="545"/>
    </row>
    <row r="167" spans="1:26" ht="92.4" hidden="1" x14ac:dyDescent="0.25">
      <c r="A167" s="454" t="s">
        <v>1056</v>
      </c>
      <c r="B167" s="455" t="s">
        <v>1057</v>
      </c>
      <c r="C167" s="455" t="s">
        <v>1058</v>
      </c>
      <c r="D167" s="456">
        <v>35600</v>
      </c>
      <c r="E167" s="456">
        <v>0</v>
      </c>
      <c r="F167" s="456">
        <v>0</v>
      </c>
      <c r="G167" s="456">
        <v>0</v>
      </c>
      <c r="H167" s="456">
        <v>0</v>
      </c>
      <c r="I167" s="456">
        <v>34000</v>
      </c>
      <c r="J167" s="456">
        <v>0</v>
      </c>
      <c r="K167" s="456">
        <v>1600</v>
      </c>
      <c r="L167" s="456">
        <v>0</v>
      </c>
      <c r="M167" s="456">
        <v>0</v>
      </c>
      <c r="N167" s="456">
        <v>0</v>
      </c>
      <c r="O167" s="456">
        <v>0</v>
      </c>
      <c r="P167" s="455" t="s">
        <v>1059</v>
      </c>
      <c r="Q167" s="461"/>
      <c r="R167" s="461"/>
      <c r="S167" s="461" t="s">
        <v>614</v>
      </c>
      <c r="T167" s="461" t="s">
        <v>108</v>
      </c>
      <c r="U167" s="461"/>
      <c r="V167" s="455" t="s">
        <v>1060</v>
      </c>
      <c r="W167" s="461"/>
      <c r="X167" s="461"/>
      <c r="Y167" s="455" t="s">
        <v>1061</v>
      </c>
    </row>
    <row r="168" spans="1:26" ht="52.8" hidden="1" x14ac:dyDescent="0.25">
      <c r="A168" s="454" t="s">
        <v>796</v>
      </c>
      <c r="B168" s="455" t="s">
        <v>1062</v>
      </c>
      <c r="C168" s="455" t="s">
        <v>1058</v>
      </c>
      <c r="D168" s="456">
        <v>157500</v>
      </c>
      <c r="E168" s="456">
        <v>0</v>
      </c>
      <c r="F168" s="456">
        <v>0</v>
      </c>
      <c r="G168" s="456">
        <v>0</v>
      </c>
      <c r="H168" s="456">
        <v>0</v>
      </c>
      <c r="I168" s="456">
        <v>150000</v>
      </c>
      <c r="J168" s="456">
        <v>0</v>
      </c>
      <c r="K168" s="456">
        <v>7500</v>
      </c>
      <c r="L168" s="456">
        <v>0</v>
      </c>
      <c r="M168" s="456">
        <v>0</v>
      </c>
      <c r="N168" s="456">
        <v>0</v>
      </c>
      <c r="O168" s="456">
        <v>0</v>
      </c>
      <c r="P168" s="455" t="s">
        <v>1063</v>
      </c>
      <c r="Q168" s="461"/>
      <c r="R168" s="461"/>
      <c r="S168" s="461"/>
      <c r="T168" s="461"/>
      <c r="U168" s="461"/>
      <c r="V168" s="461"/>
      <c r="W168" s="461"/>
      <c r="X168" s="461"/>
      <c r="Y168" s="455" t="s">
        <v>1064</v>
      </c>
    </row>
    <row r="169" spans="1:26" hidden="1" x14ac:dyDescent="0.25">
      <c r="A169" s="545" t="s">
        <v>1065</v>
      </c>
      <c r="B169" s="545"/>
      <c r="C169" s="545"/>
      <c r="D169" s="545"/>
      <c r="E169" s="545"/>
      <c r="F169" s="545"/>
      <c r="G169" s="545"/>
      <c r="H169" s="545"/>
      <c r="I169" s="545"/>
      <c r="J169" s="545"/>
      <c r="K169" s="545"/>
      <c r="L169" s="545"/>
      <c r="M169" s="545"/>
      <c r="N169" s="545"/>
      <c r="O169" s="545"/>
      <c r="P169" s="545"/>
      <c r="Q169" s="545"/>
      <c r="R169" s="545"/>
      <c r="S169" s="545"/>
      <c r="T169" s="545"/>
      <c r="U169" s="545"/>
      <c r="V169" s="545"/>
      <c r="W169" s="545"/>
      <c r="X169" s="545"/>
      <c r="Y169" s="545"/>
    </row>
    <row r="170" spans="1:26" ht="26.4" hidden="1" x14ac:dyDescent="0.25">
      <c r="A170" s="454" t="s">
        <v>1066</v>
      </c>
      <c r="B170" s="455" t="s">
        <v>1067</v>
      </c>
      <c r="C170" s="455" t="s">
        <v>1068</v>
      </c>
      <c r="D170" s="456">
        <v>1444</v>
      </c>
      <c r="E170" s="456">
        <v>1444</v>
      </c>
      <c r="F170" s="456">
        <v>100</v>
      </c>
      <c r="G170" s="456">
        <v>0</v>
      </c>
      <c r="H170" s="456">
        <v>0</v>
      </c>
      <c r="I170" s="456">
        <v>1444</v>
      </c>
      <c r="J170" s="456">
        <v>1444</v>
      </c>
      <c r="K170" s="456">
        <v>0</v>
      </c>
      <c r="L170" s="456">
        <v>0</v>
      </c>
      <c r="M170" s="456">
        <v>0</v>
      </c>
      <c r="N170" s="456">
        <v>0</v>
      </c>
      <c r="O170" s="456">
        <v>1444</v>
      </c>
      <c r="P170" s="455" t="s">
        <v>1069</v>
      </c>
      <c r="Q170" s="461"/>
      <c r="R170" s="461"/>
      <c r="S170" s="461"/>
      <c r="T170" s="461"/>
      <c r="U170" s="461"/>
      <c r="V170" s="461"/>
      <c r="W170" s="461"/>
      <c r="X170" s="461"/>
      <c r="Y170" s="455"/>
    </row>
    <row r="171" spans="1:26" hidden="1" x14ac:dyDescent="0.25">
      <c r="A171" s="545" t="s">
        <v>1070</v>
      </c>
      <c r="B171" s="545"/>
      <c r="C171" s="545"/>
      <c r="D171" s="545"/>
      <c r="E171" s="545"/>
      <c r="F171" s="545"/>
      <c r="G171" s="545"/>
      <c r="H171" s="545"/>
      <c r="I171" s="545"/>
      <c r="J171" s="545"/>
      <c r="K171" s="545"/>
      <c r="L171" s="545"/>
      <c r="M171" s="545"/>
      <c r="N171" s="545"/>
      <c r="O171" s="545"/>
      <c r="P171" s="545"/>
      <c r="Q171" s="545"/>
      <c r="R171" s="545"/>
      <c r="S171" s="545"/>
      <c r="T171" s="545"/>
      <c r="U171" s="545"/>
      <c r="V171" s="545"/>
      <c r="W171" s="545"/>
      <c r="X171" s="545"/>
      <c r="Y171" s="545"/>
    </row>
    <row r="172" spans="1:26" ht="26.4" hidden="1" x14ac:dyDescent="0.25">
      <c r="A172" s="454" t="s">
        <v>553</v>
      </c>
      <c r="B172" s="455" t="s">
        <v>1071</v>
      </c>
      <c r="C172" s="455" t="s">
        <v>1068</v>
      </c>
      <c r="D172" s="456">
        <v>17106.5</v>
      </c>
      <c r="E172" s="456">
        <v>9561.7000000000007</v>
      </c>
      <c r="F172" s="456">
        <v>55.9</v>
      </c>
      <c r="G172" s="456">
        <v>0</v>
      </c>
      <c r="H172" s="456">
        <v>0</v>
      </c>
      <c r="I172" s="456">
        <v>17106.5</v>
      </c>
      <c r="J172" s="456">
        <v>9561.7000000000007</v>
      </c>
      <c r="K172" s="456">
        <v>0</v>
      </c>
      <c r="L172" s="456">
        <v>0</v>
      </c>
      <c r="M172" s="456">
        <v>0</v>
      </c>
      <c r="N172" s="456">
        <v>0</v>
      </c>
      <c r="O172" s="456">
        <v>9561.7000000000007</v>
      </c>
      <c r="P172" s="455" t="s">
        <v>1072</v>
      </c>
      <c r="Q172" s="461" t="s">
        <v>206</v>
      </c>
      <c r="R172" s="461" t="s">
        <v>197</v>
      </c>
      <c r="S172" s="461"/>
      <c r="T172" s="461"/>
      <c r="U172" s="461"/>
      <c r="V172" s="461"/>
      <c r="W172" s="461"/>
      <c r="X172" s="461"/>
      <c r="Y172" s="455"/>
    </row>
    <row r="173" spans="1:26" ht="89.25" hidden="1" customHeight="1" x14ac:dyDescent="0.25">
      <c r="A173" s="454" t="s">
        <v>561</v>
      </c>
      <c r="B173" s="455" t="s">
        <v>1073</v>
      </c>
      <c r="C173" s="455" t="s">
        <v>1068</v>
      </c>
      <c r="D173" s="456">
        <v>274183.3</v>
      </c>
      <c r="E173" s="456">
        <v>212130.9</v>
      </c>
      <c r="F173" s="456">
        <v>77.400000000000006</v>
      </c>
      <c r="G173" s="456">
        <v>0</v>
      </c>
      <c r="H173" s="456">
        <v>0</v>
      </c>
      <c r="I173" s="456">
        <v>274183.3</v>
      </c>
      <c r="J173" s="456">
        <v>212130.9</v>
      </c>
      <c r="K173" s="456">
        <v>0</v>
      </c>
      <c r="L173" s="456">
        <v>0</v>
      </c>
      <c r="M173" s="456">
        <v>0</v>
      </c>
      <c r="N173" s="456">
        <v>0</v>
      </c>
      <c r="O173" s="456">
        <v>212130.9</v>
      </c>
      <c r="P173" s="455" t="s">
        <v>1074</v>
      </c>
      <c r="Q173" s="461" t="s">
        <v>15</v>
      </c>
      <c r="R173" s="461" t="s">
        <v>15</v>
      </c>
      <c r="S173" s="461"/>
      <c r="T173" s="461"/>
      <c r="U173" s="461"/>
      <c r="V173" s="461"/>
      <c r="W173" s="461"/>
      <c r="X173" s="461"/>
      <c r="Y173" s="455"/>
    </row>
    <row r="174" spans="1:26" ht="66" hidden="1" x14ac:dyDescent="0.25">
      <c r="A174" s="454" t="s">
        <v>885</v>
      </c>
      <c r="B174" s="455" t="s">
        <v>1075</v>
      </c>
      <c r="C174" s="455" t="s">
        <v>1068</v>
      </c>
      <c r="D174" s="456">
        <v>0</v>
      </c>
      <c r="E174" s="456">
        <v>0</v>
      </c>
      <c r="F174" s="456">
        <v>0</v>
      </c>
      <c r="G174" s="456">
        <v>0</v>
      </c>
      <c r="H174" s="456">
        <v>0</v>
      </c>
      <c r="I174" s="456">
        <v>0</v>
      </c>
      <c r="J174" s="456">
        <v>0</v>
      </c>
      <c r="K174" s="456">
        <v>0</v>
      </c>
      <c r="L174" s="456">
        <v>0</v>
      </c>
      <c r="M174" s="456">
        <v>0</v>
      </c>
      <c r="N174" s="456">
        <v>0</v>
      </c>
      <c r="O174" s="456">
        <v>0</v>
      </c>
      <c r="P174" s="455" t="s">
        <v>1076</v>
      </c>
      <c r="Q174" s="461" t="s">
        <v>629</v>
      </c>
      <c r="R174" s="461" t="s">
        <v>629</v>
      </c>
      <c r="S174" s="461"/>
      <c r="T174" s="461"/>
      <c r="U174" s="461"/>
      <c r="V174" s="461"/>
      <c r="W174" s="461"/>
      <c r="X174" s="461"/>
      <c r="Y174" s="568"/>
    </row>
    <row r="175" spans="1:26" ht="39.6" hidden="1" x14ac:dyDescent="0.25">
      <c r="A175" s="454" t="s">
        <v>885</v>
      </c>
      <c r="B175" s="455" t="s">
        <v>1075</v>
      </c>
      <c r="C175" s="455" t="s">
        <v>1068</v>
      </c>
      <c r="D175" s="456">
        <v>0</v>
      </c>
      <c r="E175" s="456">
        <v>0</v>
      </c>
      <c r="F175" s="456">
        <v>0</v>
      </c>
      <c r="G175" s="456">
        <v>0</v>
      </c>
      <c r="H175" s="456">
        <v>0</v>
      </c>
      <c r="I175" s="456">
        <v>0</v>
      </c>
      <c r="J175" s="456">
        <v>0</v>
      </c>
      <c r="K175" s="456">
        <v>0</v>
      </c>
      <c r="L175" s="456">
        <v>0</v>
      </c>
      <c r="M175" s="456">
        <v>0</v>
      </c>
      <c r="N175" s="456">
        <v>0</v>
      </c>
      <c r="O175" s="456">
        <v>0</v>
      </c>
      <c r="P175" s="455" t="s">
        <v>1072</v>
      </c>
      <c r="Q175" s="461"/>
      <c r="R175" s="461"/>
      <c r="S175" s="461"/>
      <c r="T175" s="461"/>
      <c r="U175" s="461"/>
      <c r="V175" s="461"/>
      <c r="W175" s="461"/>
      <c r="X175" s="461"/>
      <c r="Y175" s="568"/>
    </row>
    <row r="176" spans="1:26" ht="39.6" hidden="1" x14ac:dyDescent="0.25">
      <c r="A176" s="454" t="s">
        <v>1010</v>
      </c>
      <c r="B176" s="455" t="s">
        <v>1077</v>
      </c>
      <c r="C176" s="455" t="s">
        <v>1068</v>
      </c>
      <c r="D176" s="456">
        <v>0</v>
      </c>
      <c r="E176" s="456">
        <v>0</v>
      </c>
      <c r="F176" s="456">
        <v>0</v>
      </c>
      <c r="G176" s="456">
        <v>0</v>
      </c>
      <c r="H176" s="456">
        <v>0</v>
      </c>
      <c r="I176" s="456">
        <v>0</v>
      </c>
      <c r="J176" s="456">
        <v>0</v>
      </c>
      <c r="K176" s="456">
        <v>0</v>
      </c>
      <c r="L176" s="456">
        <v>0</v>
      </c>
      <c r="M176" s="456">
        <v>0</v>
      </c>
      <c r="N176" s="456">
        <v>0</v>
      </c>
      <c r="O176" s="456">
        <v>0</v>
      </c>
      <c r="P176" s="455" t="s">
        <v>1078</v>
      </c>
      <c r="Q176" s="461"/>
      <c r="R176" s="461"/>
      <c r="S176" s="461"/>
      <c r="T176" s="461"/>
      <c r="U176" s="461"/>
      <c r="V176" s="461"/>
      <c r="W176" s="461"/>
      <c r="X176" s="461"/>
      <c r="Y176" s="455"/>
    </row>
    <row r="177" spans="1:25" x14ac:dyDescent="0.25">
      <c r="A177" s="545" t="s">
        <v>1079</v>
      </c>
      <c r="B177" s="545"/>
      <c r="C177" s="545"/>
      <c r="D177" s="545"/>
      <c r="E177" s="545"/>
      <c r="F177" s="545"/>
      <c r="G177" s="545"/>
      <c r="H177" s="545"/>
      <c r="I177" s="545"/>
      <c r="J177" s="545"/>
      <c r="K177" s="545"/>
      <c r="L177" s="545"/>
      <c r="M177" s="545"/>
      <c r="N177" s="545"/>
      <c r="O177" s="545"/>
      <c r="P177" s="545"/>
      <c r="Q177" s="545"/>
      <c r="R177" s="545"/>
      <c r="S177" s="545"/>
      <c r="T177" s="545"/>
      <c r="U177" s="545"/>
      <c r="V177" s="545"/>
      <c r="W177" s="545"/>
      <c r="X177" s="545"/>
      <c r="Y177" s="545"/>
    </row>
    <row r="178" spans="1:25" ht="52.8" x14ac:dyDescent="0.25">
      <c r="A178" s="454" t="s">
        <v>796</v>
      </c>
      <c r="B178" s="470" t="s">
        <v>1062</v>
      </c>
      <c r="C178" s="470" t="s">
        <v>1058</v>
      </c>
      <c r="D178" s="474">
        <v>0</v>
      </c>
      <c r="E178" s="474">
        <v>0</v>
      </c>
      <c r="F178" s="474">
        <v>0</v>
      </c>
      <c r="G178" s="474">
        <v>0</v>
      </c>
      <c r="H178" s="474">
        <v>0</v>
      </c>
      <c r="I178" s="474">
        <v>0</v>
      </c>
      <c r="J178" s="474">
        <v>0</v>
      </c>
      <c r="K178" s="474">
        <v>0</v>
      </c>
      <c r="L178" s="474">
        <v>0</v>
      </c>
      <c r="M178" s="474">
        <v>0</v>
      </c>
      <c r="N178" s="474">
        <v>0</v>
      </c>
      <c r="O178" s="474">
        <v>0</v>
      </c>
      <c r="P178" s="470" t="s">
        <v>1080</v>
      </c>
      <c r="Q178" s="483" t="s">
        <v>1081</v>
      </c>
      <c r="R178" s="483" t="s">
        <v>1040</v>
      </c>
      <c r="S178" s="483" t="s">
        <v>1082</v>
      </c>
      <c r="T178" s="483" t="s">
        <v>1083</v>
      </c>
      <c r="U178" s="461"/>
      <c r="V178" s="461"/>
      <c r="W178" s="461"/>
      <c r="X178" s="461"/>
      <c r="Y178" s="470" t="s">
        <v>1166</v>
      </c>
    </row>
    <row r="179" spans="1:25" ht="45.75" hidden="1" customHeight="1" x14ac:dyDescent="0.25">
      <c r="A179" s="454" t="s">
        <v>796</v>
      </c>
      <c r="B179" s="455" t="s">
        <v>1062</v>
      </c>
      <c r="C179" s="455" t="s">
        <v>1058</v>
      </c>
      <c r="D179" s="456">
        <v>0</v>
      </c>
      <c r="E179" s="456">
        <v>0</v>
      </c>
      <c r="F179" s="456">
        <v>0</v>
      </c>
      <c r="G179" s="456">
        <v>0</v>
      </c>
      <c r="H179" s="456">
        <v>0</v>
      </c>
      <c r="I179" s="456">
        <v>0</v>
      </c>
      <c r="J179" s="456">
        <v>0</v>
      </c>
      <c r="K179" s="456">
        <v>0</v>
      </c>
      <c r="L179" s="456">
        <v>0</v>
      </c>
      <c r="M179" s="456">
        <v>0</v>
      </c>
      <c r="N179" s="456">
        <v>0</v>
      </c>
      <c r="O179" s="456">
        <v>0</v>
      </c>
      <c r="P179" s="455" t="s">
        <v>1084</v>
      </c>
      <c r="Q179" s="461" t="s">
        <v>1085</v>
      </c>
      <c r="R179" s="461" t="s">
        <v>663</v>
      </c>
      <c r="S179" s="461"/>
      <c r="T179" s="461"/>
      <c r="U179" s="461"/>
      <c r="V179" s="461"/>
      <c r="W179" s="461"/>
      <c r="X179" s="461"/>
      <c r="Y179" s="471"/>
    </row>
    <row r="180" spans="1:25" ht="52.8" hidden="1" x14ac:dyDescent="0.25">
      <c r="A180" s="454" t="s">
        <v>912</v>
      </c>
      <c r="B180" s="455" t="s">
        <v>1086</v>
      </c>
      <c r="C180" s="455" t="s">
        <v>1058</v>
      </c>
      <c r="D180" s="456">
        <v>87791.6</v>
      </c>
      <c r="E180" s="456">
        <v>62009.8</v>
      </c>
      <c r="F180" s="456">
        <v>70.599999999999994</v>
      </c>
      <c r="G180" s="456">
        <v>0</v>
      </c>
      <c r="H180" s="456">
        <v>0</v>
      </c>
      <c r="I180" s="456">
        <v>87791.6</v>
      </c>
      <c r="J180" s="456">
        <v>62009.8</v>
      </c>
      <c r="K180" s="456">
        <v>0</v>
      </c>
      <c r="L180" s="456">
        <v>0</v>
      </c>
      <c r="M180" s="456">
        <v>0</v>
      </c>
      <c r="N180" s="456">
        <v>0</v>
      </c>
      <c r="O180" s="456">
        <v>62009.8</v>
      </c>
      <c r="P180" s="455" t="s">
        <v>906</v>
      </c>
      <c r="Q180" s="461" t="s">
        <v>1040</v>
      </c>
      <c r="R180" s="461" t="s">
        <v>629</v>
      </c>
      <c r="S180" s="461" t="s">
        <v>1035</v>
      </c>
      <c r="T180" s="461" t="s">
        <v>664</v>
      </c>
      <c r="U180" s="461" t="s">
        <v>1012</v>
      </c>
      <c r="V180" s="461" t="s">
        <v>621</v>
      </c>
      <c r="W180" s="461"/>
      <c r="X180" s="461"/>
      <c r="Y180" s="455"/>
    </row>
    <row r="181" spans="1:25" x14ac:dyDescent="0.25">
      <c r="A181" s="549" t="s">
        <v>1087</v>
      </c>
      <c r="B181" s="549"/>
      <c r="C181" s="549"/>
      <c r="D181" s="549"/>
      <c r="E181" s="549"/>
      <c r="F181" s="549"/>
      <c r="G181" s="549"/>
      <c r="H181" s="549"/>
      <c r="I181" s="549"/>
      <c r="J181" s="549"/>
      <c r="K181" s="549"/>
      <c r="L181" s="549"/>
      <c r="M181" s="549"/>
      <c r="N181" s="549"/>
      <c r="O181" s="549"/>
      <c r="P181" s="549"/>
      <c r="Q181" s="549"/>
      <c r="R181" s="549"/>
      <c r="S181" s="549"/>
      <c r="T181" s="549"/>
      <c r="U181" s="549"/>
      <c r="V181" s="549"/>
      <c r="W181" s="549"/>
      <c r="X181" s="549"/>
      <c r="Y181" s="549"/>
    </row>
    <row r="182" spans="1:25" ht="92.4" x14ac:dyDescent="0.25">
      <c r="A182" s="454" t="s">
        <v>1088</v>
      </c>
      <c r="B182" s="470" t="s">
        <v>1089</v>
      </c>
      <c r="C182" s="470" t="s">
        <v>1090</v>
      </c>
      <c r="D182" s="474">
        <v>0</v>
      </c>
      <c r="E182" s="474">
        <v>0</v>
      </c>
      <c r="F182" s="474">
        <v>0</v>
      </c>
      <c r="G182" s="474">
        <v>0</v>
      </c>
      <c r="H182" s="474">
        <v>0</v>
      </c>
      <c r="I182" s="474">
        <v>0</v>
      </c>
      <c r="J182" s="474">
        <v>0</v>
      </c>
      <c r="K182" s="474">
        <v>0</v>
      </c>
      <c r="L182" s="474">
        <v>0</v>
      </c>
      <c r="M182" s="474">
        <v>0</v>
      </c>
      <c r="N182" s="474">
        <v>0</v>
      </c>
      <c r="O182" s="474">
        <v>0</v>
      </c>
      <c r="P182" s="470" t="s">
        <v>848</v>
      </c>
      <c r="Q182" s="483" t="s">
        <v>584</v>
      </c>
      <c r="R182" s="483" t="s">
        <v>1091</v>
      </c>
      <c r="S182" s="483" t="s">
        <v>586</v>
      </c>
      <c r="T182" s="483" t="s">
        <v>849</v>
      </c>
      <c r="U182" s="461"/>
      <c r="V182" s="461"/>
      <c r="W182" s="461"/>
      <c r="X182" s="461"/>
      <c r="Y182" s="470" t="s">
        <v>1092</v>
      </c>
    </row>
    <row r="183" spans="1:25" ht="105.6" hidden="1" x14ac:dyDescent="0.25">
      <c r="A183" s="454" t="s">
        <v>1093</v>
      </c>
      <c r="B183" s="455" t="s">
        <v>1089</v>
      </c>
      <c r="C183" s="455" t="s">
        <v>1090</v>
      </c>
      <c r="D183" s="456">
        <v>10488.7</v>
      </c>
      <c r="E183" s="456">
        <v>7154.5029999999997</v>
      </c>
      <c r="F183" s="456">
        <v>68.2</v>
      </c>
      <c r="G183" s="456">
        <v>0</v>
      </c>
      <c r="H183" s="456">
        <v>0</v>
      </c>
      <c r="I183" s="456">
        <v>10488.7</v>
      </c>
      <c r="J183" s="456">
        <v>7154.5029999999997</v>
      </c>
      <c r="K183" s="456">
        <v>0</v>
      </c>
      <c r="L183" s="456">
        <v>0</v>
      </c>
      <c r="M183" s="456">
        <v>0</v>
      </c>
      <c r="N183" s="456">
        <v>0</v>
      </c>
      <c r="O183" s="456">
        <v>7154.5029999999997</v>
      </c>
      <c r="P183" s="455" t="s">
        <v>848</v>
      </c>
      <c r="Q183" s="461" t="s">
        <v>584</v>
      </c>
      <c r="R183" s="461" t="s">
        <v>629</v>
      </c>
      <c r="S183" s="461" t="s">
        <v>586</v>
      </c>
      <c r="T183" s="461" t="s">
        <v>1094</v>
      </c>
      <c r="U183" s="461" t="s">
        <v>587</v>
      </c>
      <c r="V183" s="461" t="s">
        <v>636</v>
      </c>
      <c r="W183" s="461"/>
      <c r="X183" s="461"/>
      <c r="Y183" s="455" t="s">
        <v>1095</v>
      </c>
    </row>
    <row r="184" spans="1:25" ht="79.2" hidden="1" x14ac:dyDescent="0.25">
      <c r="A184" s="454" t="s">
        <v>1096</v>
      </c>
      <c r="B184" s="455" t="s">
        <v>1097</v>
      </c>
      <c r="C184" s="455" t="s">
        <v>1090</v>
      </c>
      <c r="D184" s="456">
        <v>7446.4</v>
      </c>
      <c r="E184" s="456">
        <v>4946.8230000000003</v>
      </c>
      <c r="F184" s="456">
        <v>66.400000000000006</v>
      </c>
      <c r="G184" s="456">
        <v>0</v>
      </c>
      <c r="H184" s="456">
        <v>0</v>
      </c>
      <c r="I184" s="456">
        <v>7446.4</v>
      </c>
      <c r="J184" s="456">
        <v>4946.8230000000003</v>
      </c>
      <c r="K184" s="456">
        <v>0</v>
      </c>
      <c r="L184" s="456">
        <v>0</v>
      </c>
      <c r="M184" s="456">
        <v>0</v>
      </c>
      <c r="N184" s="456">
        <v>0</v>
      </c>
      <c r="O184" s="456">
        <v>4946.8230000000003</v>
      </c>
      <c r="P184" s="455" t="s">
        <v>848</v>
      </c>
      <c r="Q184" s="461" t="s">
        <v>584</v>
      </c>
      <c r="R184" s="461" t="s">
        <v>211</v>
      </c>
      <c r="S184" s="461" t="s">
        <v>586</v>
      </c>
      <c r="T184" s="461" t="s">
        <v>1098</v>
      </c>
      <c r="U184" s="461" t="s">
        <v>587</v>
      </c>
      <c r="V184" s="461" t="s">
        <v>1099</v>
      </c>
      <c r="W184" s="461"/>
      <c r="X184" s="461"/>
      <c r="Y184" s="455" t="s">
        <v>1100</v>
      </c>
    </row>
    <row r="185" spans="1:25" x14ac:dyDescent="0.25">
      <c r="A185" s="549" t="s">
        <v>1101</v>
      </c>
      <c r="B185" s="549"/>
      <c r="C185" s="549"/>
      <c r="D185" s="549"/>
      <c r="E185" s="549"/>
      <c r="F185" s="549"/>
      <c r="G185" s="549"/>
      <c r="H185" s="549"/>
      <c r="I185" s="549"/>
      <c r="J185" s="549"/>
      <c r="K185" s="549"/>
      <c r="L185" s="549"/>
      <c r="M185" s="549"/>
      <c r="N185" s="549"/>
      <c r="O185" s="549"/>
      <c r="P185" s="549"/>
      <c r="Q185" s="549"/>
      <c r="R185" s="549"/>
      <c r="S185" s="549"/>
      <c r="T185" s="549"/>
      <c r="U185" s="549"/>
      <c r="V185" s="549"/>
      <c r="W185" s="549"/>
      <c r="X185" s="549"/>
      <c r="Y185" s="549"/>
    </row>
    <row r="186" spans="1:25" ht="39.6" x14ac:dyDescent="0.25">
      <c r="A186" s="472" t="s">
        <v>1102</v>
      </c>
      <c r="B186" s="486" t="s">
        <v>1103</v>
      </c>
      <c r="C186" s="470"/>
      <c r="D186" s="474"/>
      <c r="E186" s="474"/>
      <c r="F186" s="474"/>
      <c r="G186" s="474"/>
      <c r="H186" s="474"/>
      <c r="I186" s="474"/>
      <c r="J186" s="474"/>
      <c r="K186" s="474"/>
      <c r="L186" s="474"/>
      <c r="M186" s="474"/>
      <c r="N186" s="474"/>
      <c r="O186" s="474"/>
      <c r="P186" s="470" t="s">
        <v>1104</v>
      </c>
      <c r="Q186" s="483" t="s">
        <v>195</v>
      </c>
      <c r="R186" s="483" t="s">
        <v>195</v>
      </c>
      <c r="S186" s="483" t="s">
        <v>195</v>
      </c>
      <c r="T186" s="483" t="s">
        <v>17</v>
      </c>
      <c r="U186" s="461"/>
      <c r="V186" s="461"/>
      <c r="W186" s="461"/>
      <c r="X186" s="461"/>
      <c r="Y186" s="470" t="s">
        <v>1105</v>
      </c>
    </row>
    <row r="187" spans="1:25" x14ac:dyDescent="0.25">
      <c r="A187" s="549" t="s">
        <v>1106</v>
      </c>
      <c r="B187" s="549"/>
      <c r="C187" s="549"/>
      <c r="D187" s="549"/>
      <c r="E187" s="549"/>
      <c r="F187" s="549"/>
      <c r="G187" s="549"/>
      <c r="H187" s="549"/>
      <c r="I187" s="549"/>
      <c r="J187" s="549"/>
      <c r="K187" s="549"/>
      <c r="L187" s="549"/>
      <c r="M187" s="549"/>
      <c r="N187" s="549"/>
      <c r="O187" s="549"/>
      <c r="P187" s="549"/>
      <c r="Q187" s="549"/>
      <c r="R187" s="549"/>
      <c r="S187" s="549"/>
      <c r="T187" s="549"/>
      <c r="U187" s="549"/>
      <c r="V187" s="549"/>
      <c r="W187" s="549"/>
      <c r="X187" s="549"/>
      <c r="Y187" s="549"/>
    </row>
    <row r="188" spans="1:25" x14ac:dyDescent="0.25">
      <c r="A188" s="545" t="s">
        <v>1107</v>
      </c>
      <c r="B188" s="545"/>
      <c r="C188" s="545"/>
      <c r="D188" s="545"/>
      <c r="E188" s="545"/>
      <c r="F188" s="545"/>
      <c r="G188" s="545"/>
      <c r="H188" s="545"/>
      <c r="I188" s="545"/>
      <c r="J188" s="545"/>
      <c r="K188" s="545"/>
      <c r="L188" s="545"/>
      <c r="M188" s="545"/>
      <c r="N188" s="545"/>
      <c r="O188" s="545"/>
      <c r="P188" s="545"/>
      <c r="Q188" s="545"/>
      <c r="R188" s="545"/>
      <c r="S188" s="545"/>
      <c r="T188" s="545"/>
      <c r="U188" s="545"/>
      <c r="V188" s="545"/>
      <c r="W188" s="545"/>
      <c r="X188" s="545"/>
      <c r="Y188" s="545"/>
    </row>
    <row r="189" spans="1:25" ht="105.6" x14ac:dyDescent="0.25">
      <c r="A189" s="454" t="s">
        <v>1108</v>
      </c>
      <c r="B189" s="470" t="s">
        <v>1109</v>
      </c>
      <c r="C189" s="470" t="s">
        <v>1110</v>
      </c>
      <c r="D189" s="474">
        <v>87901.4</v>
      </c>
      <c r="E189" s="474">
        <v>60954.9</v>
      </c>
      <c r="F189" s="474">
        <v>69.3</v>
      </c>
      <c r="G189" s="474">
        <v>30413.3</v>
      </c>
      <c r="H189" s="474">
        <v>21596.1</v>
      </c>
      <c r="I189" s="474">
        <v>57488.1</v>
      </c>
      <c r="J189" s="474">
        <v>39358.800000000003</v>
      </c>
      <c r="K189" s="474">
        <v>0</v>
      </c>
      <c r="L189" s="474">
        <v>0</v>
      </c>
      <c r="M189" s="474">
        <v>0</v>
      </c>
      <c r="N189" s="474">
        <v>0</v>
      </c>
      <c r="O189" s="474">
        <v>60964.9</v>
      </c>
      <c r="P189" s="470" t="s">
        <v>1111</v>
      </c>
      <c r="Q189" s="483" t="s">
        <v>1112</v>
      </c>
      <c r="R189" s="483" t="s">
        <v>649</v>
      </c>
      <c r="S189" s="483" t="s">
        <v>1113</v>
      </c>
      <c r="T189" s="483" t="s">
        <v>1114</v>
      </c>
      <c r="U189" s="461"/>
      <c r="V189" s="461"/>
      <c r="W189" s="461"/>
      <c r="X189" s="461"/>
      <c r="Y189" s="470" t="s">
        <v>1115</v>
      </c>
    </row>
    <row r="190" spans="1:25" x14ac:dyDescent="0.25">
      <c r="A190" s="549" t="s">
        <v>1116</v>
      </c>
      <c r="B190" s="549"/>
      <c r="C190" s="549"/>
      <c r="D190" s="549"/>
      <c r="E190" s="549"/>
      <c r="F190" s="549"/>
      <c r="G190" s="549"/>
      <c r="H190" s="549"/>
      <c r="I190" s="549"/>
      <c r="J190" s="549"/>
      <c r="K190" s="549"/>
      <c r="L190" s="549"/>
      <c r="M190" s="549"/>
      <c r="N190" s="549"/>
      <c r="O190" s="549"/>
      <c r="P190" s="549"/>
      <c r="Q190" s="549"/>
      <c r="R190" s="549"/>
      <c r="S190" s="549"/>
      <c r="T190" s="549"/>
      <c r="U190" s="549"/>
      <c r="V190" s="549"/>
      <c r="W190" s="549"/>
      <c r="X190" s="549"/>
      <c r="Y190" s="549"/>
    </row>
    <row r="191" spans="1:25" hidden="1" x14ac:dyDescent="0.25">
      <c r="A191" s="535" t="s">
        <v>1117</v>
      </c>
      <c r="B191" s="545"/>
      <c r="C191" s="545"/>
      <c r="D191" s="545"/>
      <c r="E191" s="545"/>
      <c r="F191" s="545"/>
      <c r="G191" s="545"/>
      <c r="H191" s="545"/>
      <c r="I191" s="545"/>
      <c r="J191" s="545"/>
      <c r="K191" s="545"/>
      <c r="L191" s="545"/>
      <c r="M191" s="545"/>
      <c r="N191" s="545"/>
      <c r="O191" s="545"/>
      <c r="P191" s="545"/>
      <c r="Q191" s="545"/>
      <c r="R191" s="545"/>
      <c r="S191" s="545"/>
      <c r="T191" s="545"/>
      <c r="U191" s="545"/>
      <c r="V191" s="545"/>
      <c r="W191" s="545"/>
      <c r="X191" s="545"/>
      <c r="Y191" s="545"/>
    </row>
    <row r="192" spans="1:25" ht="52.8" hidden="1" x14ac:dyDescent="0.25">
      <c r="A192" s="454" t="s">
        <v>1118</v>
      </c>
      <c r="B192" s="455" t="s">
        <v>1119</v>
      </c>
      <c r="C192" s="455"/>
      <c r="D192" s="456">
        <v>0</v>
      </c>
      <c r="E192" s="456">
        <v>0</v>
      </c>
      <c r="F192" s="456">
        <v>0</v>
      </c>
      <c r="G192" s="456">
        <v>0</v>
      </c>
      <c r="H192" s="456">
        <v>0</v>
      </c>
      <c r="I192" s="456">
        <v>0</v>
      </c>
      <c r="J192" s="456">
        <v>0</v>
      </c>
      <c r="K192" s="456">
        <v>0</v>
      </c>
      <c r="L192" s="456">
        <v>0</v>
      </c>
      <c r="M192" s="456">
        <v>0</v>
      </c>
      <c r="N192" s="456">
        <v>0</v>
      </c>
      <c r="O192" s="456">
        <v>0</v>
      </c>
      <c r="P192" s="455" t="s">
        <v>1120</v>
      </c>
      <c r="Q192" s="461" t="s">
        <v>31</v>
      </c>
      <c r="R192" s="461"/>
      <c r="S192" s="461"/>
      <c r="T192" s="461"/>
      <c r="U192" s="461"/>
      <c r="V192" s="461"/>
      <c r="W192" s="461"/>
      <c r="X192" s="461"/>
      <c r="Y192" s="455"/>
    </row>
    <row r="193" spans="1:25" ht="26.4" hidden="1" x14ac:dyDescent="0.25">
      <c r="A193" s="454" t="s">
        <v>827</v>
      </c>
      <c r="B193" s="455" t="s">
        <v>1121</v>
      </c>
      <c r="C193" s="455"/>
      <c r="D193" s="456">
        <v>0</v>
      </c>
      <c r="E193" s="456">
        <v>0</v>
      </c>
      <c r="F193" s="456">
        <v>0</v>
      </c>
      <c r="G193" s="456">
        <v>0</v>
      </c>
      <c r="H193" s="456">
        <v>0</v>
      </c>
      <c r="I193" s="456">
        <v>0</v>
      </c>
      <c r="J193" s="456">
        <v>0</v>
      </c>
      <c r="K193" s="456">
        <v>0</v>
      </c>
      <c r="L193" s="456">
        <v>0</v>
      </c>
      <c r="M193" s="456">
        <v>0</v>
      </c>
      <c r="N193" s="456">
        <v>0</v>
      </c>
      <c r="O193" s="456">
        <v>0</v>
      </c>
      <c r="P193" s="455" t="s">
        <v>1120</v>
      </c>
      <c r="Q193" s="461"/>
      <c r="R193" s="461"/>
      <c r="S193" s="461"/>
      <c r="T193" s="461"/>
      <c r="U193" s="461"/>
      <c r="V193" s="461"/>
      <c r="W193" s="461"/>
      <c r="X193" s="461"/>
      <c r="Y193" s="455"/>
    </row>
    <row r="194" spans="1:25" x14ac:dyDescent="0.25">
      <c r="A194" s="545" t="s">
        <v>1122</v>
      </c>
      <c r="B194" s="545"/>
      <c r="C194" s="545"/>
      <c r="D194" s="545"/>
      <c r="E194" s="545"/>
      <c r="F194" s="545"/>
      <c r="G194" s="545"/>
      <c r="H194" s="545"/>
      <c r="I194" s="545"/>
      <c r="J194" s="545"/>
      <c r="K194" s="545"/>
      <c r="L194" s="545"/>
      <c r="M194" s="545"/>
      <c r="N194" s="545"/>
      <c r="O194" s="545"/>
      <c r="P194" s="545"/>
      <c r="Q194" s="545"/>
      <c r="R194" s="545"/>
      <c r="S194" s="545"/>
      <c r="T194" s="545"/>
      <c r="U194" s="545"/>
      <c r="V194" s="545"/>
      <c r="W194" s="545"/>
      <c r="X194" s="545"/>
      <c r="Y194" s="545"/>
    </row>
    <row r="195" spans="1:25" ht="66" x14ac:dyDescent="0.25">
      <c r="A195" s="454" t="s">
        <v>796</v>
      </c>
      <c r="B195" s="470" t="s">
        <v>1123</v>
      </c>
      <c r="C195" s="470"/>
      <c r="D195" s="474">
        <v>0</v>
      </c>
      <c r="E195" s="474">
        <v>0</v>
      </c>
      <c r="F195" s="474">
        <v>0</v>
      </c>
      <c r="G195" s="474">
        <v>0</v>
      </c>
      <c r="H195" s="474">
        <v>0</v>
      </c>
      <c r="I195" s="474">
        <v>0</v>
      </c>
      <c r="J195" s="474">
        <v>0</v>
      </c>
      <c r="K195" s="474">
        <v>0</v>
      </c>
      <c r="L195" s="474">
        <v>0</v>
      </c>
      <c r="M195" s="474">
        <v>0</v>
      </c>
      <c r="N195" s="474">
        <v>0</v>
      </c>
      <c r="O195" s="474">
        <v>0</v>
      </c>
      <c r="P195" s="470" t="s">
        <v>1124</v>
      </c>
      <c r="Q195" s="483" t="s">
        <v>31</v>
      </c>
      <c r="R195" s="483" t="s">
        <v>31</v>
      </c>
      <c r="S195" s="483" t="s">
        <v>586</v>
      </c>
      <c r="T195" s="483" t="s">
        <v>1125</v>
      </c>
      <c r="U195" s="461"/>
      <c r="V195" s="461"/>
      <c r="W195" s="461"/>
      <c r="X195" s="461"/>
      <c r="Y195" s="470" t="s">
        <v>1126</v>
      </c>
    </row>
    <row r="196" spans="1:25" hidden="1" x14ac:dyDescent="0.25">
      <c r="A196" s="454"/>
      <c r="B196" s="455"/>
      <c r="C196" s="455"/>
      <c r="D196" s="456"/>
      <c r="E196" s="456"/>
      <c r="F196" s="456"/>
      <c r="G196" s="456"/>
      <c r="H196" s="456"/>
      <c r="I196" s="456"/>
      <c r="J196" s="456"/>
      <c r="K196" s="456"/>
      <c r="L196" s="456"/>
      <c r="M196" s="456"/>
      <c r="N196" s="456"/>
      <c r="O196" s="456"/>
      <c r="P196" s="455"/>
      <c r="Q196" s="461"/>
      <c r="R196" s="461"/>
      <c r="S196" s="461"/>
      <c r="T196" s="461"/>
      <c r="U196" s="461"/>
      <c r="V196" s="461"/>
      <c r="W196" s="461"/>
      <c r="X196" s="461"/>
      <c r="Y196" s="455"/>
    </row>
    <row r="197" spans="1:25" x14ac:dyDescent="0.25">
      <c r="A197" s="454"/>
      <c r="B197" s="455"/>
      <c r="C197" s="455"/>
      <c r="D197" s="456"/>
      <c r="E197" s="456"/>
      <c r="F197" s="456"/>
      <c r="G197" s="456"/>
      <c r="H197" s="456"/>
      <c r="I197" s="456"/>
      <c r="J197" s="456"/>
      <c r="K197" s="456"/>
      <c r="L197" s="456"/>
      <c r="M197" s="456"/>
      <c r="N197" s="456"/>
      <c r="O197" s="456"/>
      <c r="P197" s="455"/>
      <c r="Q197" s="461"/>
      <c r="R197" s="461"/>
      <c r="S197" s="461"/>
      <c r="T197" s="461"/>
      <c r="U197" s="461"/>
      <c r="V197" s="461"/>
      <c r="W197" s="461"/>
      <c r="X197" s="461"/>
      <c r="Y197" s="455"/>
    </row>
    <row r="198" spans="1:25" ht="39.6" x14ac:dyDescent="0.25">
      <c r="A198" s="454" t="s">
        <v>893</v>
      </c>
      <c r="B198" s="470" t="s">
        <v>1127</v>
      </c>
      <c r="C198" s="470" t="s">
        <v>1128</v>
      </c>
      <c r="D198" s="474">
        <v>120</v>
      </c>
      <c r="E198" s="474">
        <v>0</v>
      </c>
      <c r="F198" s="474">
        <v>0</v>
      </c>
      <c r="G198" s="474">
        <v>0</v>
      </c>
      <c r="H198" s="474">
        <v>0</v>
      </c>
      <c r="I198" s="474">
        <v>120</v>
      </c>
      <c r="J198" s="474">
        <v>0</v>
      </c>
      <c r="K198" s="474">
        <v>0</v>
      </c>
      <c r="L198" s="474">
        <v>0</v>
      </c>
      <c r="M198" s="474">
        <v>0</v>
      </c>
      <c r="N198" s="474">
        <v>0</v>
      </c>
      <c r="O198" s="474">
        <v>0</v>
      </c>
      <c r="P198" s="470" t="s">
        <v>1129</v>
      </c>
      <c r="Q198" s="483" t="s">
        <v>586</v>
      </c>
      <c r="R198" s="483" t="s">
        <v>1130</v>
      </c>
      <c r="S198" s="483" t="s">
        <v>1131</v>
      </c>
      <c r="T198" s="483" t="s">
        <v>1132</v>
      </c>
      <c r="U198" s="461"/>
      <c r="V198" s="461"/>
      <c r="W198" s="461"/>
      <c r="X198" s="461"/>
      <c r="Y198" s="470" t="s">
        <v>1133</v>
      </c>
    </row>
    <row r="199" spans="1:25" ht="132" x14ac:dyDescent="0.25">
      <c r="A199" s="454" t="s">
        <v>901</v>
      </c>
      <c r="B199" s="470" t="s">
        <v>1134</v>
      </c>
      <c r="C199" s="470" t="s">
        <v>1128</v>
      </c>
      <c r="D199" s="474">
        <v>0</v>
      </c>
      <c r="E199" s="474">
        <v>0</v>
      </c>
      <c r="F199" s="474">
        <v>0</v>
      </c>
      <c r="G199" s="474">
        <v>0</v>
      </c>
      <c r="H199" s="474">
        <v>0</v>
      </c>
      <c r="I199" s="474">
        <v>0</v>
      </c>
      <c r="J199" s="474">
        <v>0</v>
      </c>
      <c r="K199" s="474">
        <v>0</v>
      </c>
      <c r="L199" s="474">
        <v>0</v>
      </c>
      <c r="M199" s="474">
        <v>0</v>
      </c>
      <c r="N199" s="474">
        <v>0</v>
      </c>
      <c r="O199" s="474">
        <v>0</v>
      </c>
      <c r="P199" s="470" t="s">
        <v>1135</v>
      </c>
      <c r="Q199" s="483" t="s">
        <v>31</v>
      </c>
      <c r="R199" s="483" t="s">
        <v>31</v>
      </c>
      <c r="S199" s="483" t="s">
        <v>1136</v>
      </c>
      <c r="T199" s="483" t="s">
        <v>1137</v>
      </c>
      <c r="U199" s="461"/>
      <c r="V199" s="461"/>
      <c r="W199" s="461"/>
      <c r="X199" s="461"/>
      <c r="Y199" s="470" t="s">
        <v>1167</v>
      </c>
    </row>
    <row r="200" spans="1:25" x14ac:dyDescent="0.25">
      <c r="A200" s="545" t="s">
        <v>1138</v>
      </c>
      <c r="B200" s="545"/>
      <c r="C200" s="545"/>
      <c r="D200" s="545"/>
      <c r="E200" s="545"/>
      <c r="F200" s="545"/>
      <c r="G200" s="545"/>
      <c r="H200" s="545"/>
      <c r="I200" s="545"/>
      <c r="J200" s="545"/>
      <c r="K200" s="545"/>
      <c r="L200" s="545"/>
      <c r="M200" s="545"/>
      <c r="N200" s="545"/>
      <c r="O200" s="545"/>
      <c r="P200" s="545"/>
      <c r="Q200" s="545"/>
      <c r="R200" s="545"/>
      <c r="S200" s="545"/>
      <c r="T200" s="545"/>
      <c r="U200" s="545"/>
      <c r="V200" s="545"/>
      <c r="W200" s="545"/>
      <c r="X200" s="545"/>
      <c r="Y200" s="545"/>
    </row>
    <row r="201" spans="1:25" ht="66" x14ac:dyDescent="0.25">
      <c r="A201" s="454" t="s">
        <v>796</v>
      </c>
      <c r="B201" s="470" t="s">
        <v>1139</v>
      </c>
      <c r="C201" s="470" t="s">
        <v>1140</v>
      </c>
      <c r="D201" s="474">
        <v>119362.7</v>
      </c>
      <c r="E201" s="474">
        <v>60944.6</v>
      </c>
      <c r="F201" s="474">
        <v>51.1</v>
      </c>
      <c r="G201" s="474">
        <v>119362.7</v>
      </c>
      <c r="H201" s="474">
        <v>60944.6</v>
      </c>
      <c r="I201" s="474">
        <v>0</v>
      </c>
      <c r="J201" s="474">
        <v>0</v>
      </c>
      <c r="K201" s="474">
        <v>0</v>
      </c>
      <c r="L201" s="474">
        <v>0</v>
      </c>
      <c r="M201" s="474">
        <v>0</v>
      </c>
      <c r="N201" s="474">
        <v>0</v>
      </c>
      <c r="O201" s="474">
        <v>60944.5</v>
      </c>
      <c r="P201" s="470" t="s">
        <v>840</v>
      </c>
      <c r="Q201" s="483" t="s">
        <v>629</v>
      </c>
      <c r="R201" s="483" t="s">
        <v>208</v>
      </c>
      <c r="S201" s="483" t="s">
        <v>849</v>
      </c>
      <c r="T201" s="483" t="s">
        <v>709</v>
      </c>
      <c r="U201" s="461"/>
      <c r="V201" s="461"/>
      <c r="W201" s="461"/>
      <c r="X201" s="461"/>
      <c r="Y201" s="470" t="s">
        <v>1141</v>
      </c>
    </row>
    <row r="202" spans="1:25" ht="39.6" x14ac:dyDescent="0.25">
      <c r="A202" s="454" t="s">
        <v>1142</v>
      </c>
      <c r="B202" s="470" t="s">
        <v>1143</v>
      </c>
      <c r="C202" s="470"/>
      <c r="D202" s="474"/>
      <c r="E202" s="474"/>
      <c r="F202" s="474"/>
      <c r="G202" s="474"/>
      <c r="H202" s="474"/>
      <c r="I202" s="474"/>
      <c r="J202" s="474"/>
      <c r="K202" s="474"/>
      <c r="L202" s="474"/>
      <c r="M202" s="474"/>
      <c r="N202" s="474"/>
      <c r="O202" s="474"/>
      <c r="P202" s="470" t="s">
        <v>840</v>
      </c>
      <c r="Q202" s="483" t="s">
        <v>629</v>
      </c>
      <c r="R202" s="483" t="s">
        <v>1144</v>
      </c>
      <c r="S202" s="483" t="s">
        <v>715</v>
      </c>
      <c r="T202" s="483" t="s">
        <v>1145</v>
      </c>
      <c r="U202" s="461"/>
      <c r="V202" s="461"/>
      <c r="W202" s="461"/>
      <c r="X202" s="461"/>
      <c r="Y202" s="470" t="s">
        <v>1146</v>
      </c>
    </row>
    <row r="203" spans="1:25" ht="52.8" x14ac:dyDescent="0.25">
      <c r="A203" s="454" t="s">
        <v>1147</v>
      </c>
      <c r="B203" s="470" t="s">
        <v>1148</v>
      </c>
      <c r="C203" s="470"/>
      <c r="D203" s="474"/>
      <c r="E203" s="474"/>
      <c r="F203" s="474"/>
      <c r="G203" s="474"/>
      <c r="H203" s="474"/>
      <c r="I203" s="474"/>
      <c r="J203" s="474"/>
      <c r="K203" s="474"/>
      <c r="L203" s="474"/>
      <c r="M203" s="474"/>
      <c r="N203" s="474"/>
      <c r="O203" s="474"/>
      <c r="P203" s="470" t="s">
        <v>840</v>
      </c>
      <c r="Q203" s="483" t="s">
        <v>629</v>
      </c>
      <c r="R203" s="483" t="s">
        <v>1149</v>
      </c>
      <c r="S203" s="483" t="s">
        <v>715</v>
      </c>
      <c r="T203" s="483" t="s">
        <v>1150</v>
      </c>
      <c r="U203" s="461"/>
      <c r="V203" s="461"/>
      <c r="W203" s="461"/>
      <c r="X203" s="461"/>
      <c r="Y203" s="470" t="s">
        <v>1151</v>
      </c>
    </row>
    <row r="204" spans="1:25" ht="79.2" x14ac:dyDescent="0.25">
      <c r="A204" s="454" t="s">
        <v>1152</v>
      </c>
      <c r="B204" s="470" t="s">
        <v>1153</v>
      </c>
      <c r="C204" s="470"/>
      <c r="D204" s="474"/>
      <c r="E204" s="474"/>
      <c r="F204" s="474"/>
      <c r="G204" s="474"/>
      <c r="H204" s="474"/>
      <c r="I204" s="474"/>
      <c r="J204" s="474"/>
      <c r="K204" s="474"/>
      <c r="L204" s="474"/>
      <c r="M204" s="474"/>
      <c r="N204" s="474"/>
      <c r="O204" s="474"/>
      <c r="P204" s="470" t="s">
        <v>840</v>
      </c>
      <c r="Q204" s="483" t="s">
        <v>629</v>
      </c>
      <c r="R204" s="483" t="s">
        <v>1154</v>
      </c>
      <c r="S204" s="483" t="s">
        <v>586</v>
      </c>
      <c r="T204" s="483" t="s">
        <v>1155</v>
      </c>
      <c r="U204" s="461"/>
      <c r="V204" s="461"/>
      <c r="W204" s="461"/>
      <c r="X204" s="461"/>
      <c r="Y204" s="470" t="s">
        <v>1156</v>
      </c>
    </row>
    <row r="205" spans="1:25" hidden="1" x14ac:dyDescent="0.25">
      <c r="A205" s="549" t="s">
        <v>1157</v>
      </c>
      <c r="B205" s="549"/>
      <c r="C205" s="549"/>
      <c r="D205" s="549"/>
      <c r="E205" s="549"/>
      <c r="F205" s="549"/>
      <c r="G205" s="549"/>
      <c r="H205" s="549"/>
      <c r="I205" s="549"/>
      <c r="J205" s="549"/>
      <c r="K205" s="549"/>
      <c r="L205" s="549"/>
      <c r="M205" s="549"/>
      <c r="N205" s="549"/>
      <c r="O205" s="549"/>
      <c r="P205" s="549"/>
      <c r="Q205" s="549"/>
      <c r="R205" s="549"/>
      <c r="S205" s="549"/>
      <c r="T205" s="549"/>
      <c r="U205" s="549"/>
      <c r="V205" s="549"/>
      <c r="W205" s="549"/>
      <c r="X205" s="549"/>
      <c r="Y205" s="549"/>
    </row>
    <row r="206" spans="1:25" ht="52.5" hidden="1" customHeight="1" x14ac:dyDescent="0.25">
      <c r="A206" s="454" t="s">
        <v>796</v>
      </c>
      <c r="B206" s="455" t="s">
        <v>1158</v>
      </c>
      <c r="C206" s="455" t="s">
        <v>1159</v>
      </c>
      <c r="D206" s="456">
        <v>79692.100000000006</v>
      </c>
      <c r="E206" s="456">
        <v>37743.800000000003</v>
      </c>
      <c r="F206" s="456">
        <v>47.4</v>
      </c>
      <c r="G206" s="456">
        <v>6692.1</v>
      </c>
      <c r="H206" s="456">
        <v>4972.3999999999996</v>
      </c>
      <c r="I206" s="456">
        <v>24000</v>
      </c>
      <c r="J206" s="456">
        <v>19271.400000000001</v>
      </c>
      <c r="K206" s="456">
        <v>3000</v>
      </c>
      <c r="L206" s="456">
        <v>0</v>
      </c>
      <c r="M206" s="456">
        <v>46000</v>
      </c>
      <c r="N206" s="456">
        <v>13500</v>
      </c>
      <c r="O206" s="456">
        <v>37743.800000000003</v>
      </c>
      <c r="P206" s="455" t="s">
        <v>1160</v>
      </c>
      <c r="Q206" s="461"/>
      <c r="R206" s="461"/>
      <c r="S206" s="461"/>
      <c r="T206" s="461"/>
      <c r="U206" s="461"/>
      <c r="V206" s="461"/>
      <c r="W206" s="461"/>
      <c r="X206" s="461"/>
      <c r="Y206" s="568"/>
    </row>
    <row r="207" spans="1:25" ht="52.8" hidden="1" x14ac:dyDescent="0.25">
      <c r="A207" s="454" t="s">
        <v>603</v>
      </c>
      <c r="B207" s="455" t="s">
        <v>1161</v>
      </c>
      <c r="C207" s="455" t="s">
        <v>1159</v>
      </c>
      <c r="D207" s="456">
        <v>60115.1</v>
      </c>
      <c r="E207" s="456">
        <v>41319.699999999997</v>
      </c>
      <c r="F207" s="456">
        <v>68.7</v>
      </c>
      <c r="G207" s="456">
        <v>15615.1</v>
      </c>
      <c r="H207" s="456">
        <v>12458.5</v>
      </c>
      <c r="I207" s="456">
        <v>18000</v>
      </c>
      <c r="J207" s="456">
        <v>14361.2</v>
      </c>
      <c r="K207" s="456">
        <v>1500</v>
      </c>
      <c r="L207" s="456">
        <v>0</v>
      </c>
      <c r="M207" s="456">
        <v>25000</v>
      </c>
      <c r="N207" s="456">
        <v>14500</v>
      </c>
      <c r="O207" s="456">
        <v>41319.699999999997</v>
      </c>
      <c r="P207" s="455" t="s">
        <v>1162</v>
      </c>
      <c r="Q207" s="461"/>
      <c r="R207" s="461"/>
      <c r="S207" s="461"/>
      <c r="T207" s="461"/>
      <c r="U207" s="461"/>
      <c r="V207" s="461"/>
      <c r="W207" s="461"/>
      <c r="X207" s="461"/>
      <c r="Y207" s="568"/>
    </row>
  </sheetData>
  <mergeCells count="94">
    <mergeCell ref="Y206:Y207"/>
    <mergeCell ref="A188:Y188"/>
    <mergeCell ref="A190:Y190"/>
    <mergeCell ref="A191:Y191"/>
    <mergeCell ref="A194:Y194"/>
    <mergeCell ref="A200:Y200"/>
    <mergeCell ref="A205:Y205"/>
    <mergeCell ref="A187:Y187"/>
    <mergeCell ref="Y159:Y160"/>
    <mergeCell ref="A161:Y161"/>
    <mergeCell ref="A162:Y162"/>
    <mergeCell ref="A165:Y165"/>
    <mergeCell ref="A166:Y166"/>
    <mergeCell ref="A169:Y169"/>
    <mergeCell ref="A171:Y171"/>
    <mergeCell ref="Y174:Y175"/>
    <mergeCell ref="A177:Y177"/>
    <mergeCell ref="A181:Y181"/>
    <mergeCell ref="A185:Y185"/>
    <mergeCell ref="Y153:Y156"/>
    <mergeCell ref="Y129:Y130"/>
    <mergeCell ref="A131:Y131"/>
    <mergeCell ref="A134:Y134"/>
    <mergeCell ref="A136:Y136"/>
    <mergeCell ref="A137:Y137"/>
    <mergeCell ref="A140:Y140"/>
    <mergeCell ref="A142:Y142"/>
    <mergeCell ref="A145:Y145"/>
    <mergeCell ref="A148:Y148"/>
    <mergeCell ref="A151:Y151"/>
    <mergeCell ref="A152:Y152"/>
    <mergeCell ref="A125:X125"/>
    <mergeCell ref="Y100:Y101"/>
    <mergeCell ref="A103:Y103"/>
    <mergeCell ref="A105:Y105"/>
    <mergeCell ref="A106:Y106"/>
    <mergeCell ref="A108:Y108"/>
    <mergeCell ref="A112:Y112"/>
    <mergeCell ref="A113:Y113"/>
    <mergeCell ref="A115:Y115"/>
    <mergeCell ref="A120:Y120"/>
    <mergeCell ref="A122:Y122"/>
    <mergeCell ref="A123:Y123"/>
    <mergeCell ref="A98:Y98"/>
    <mergeCell ref="A74:Y74"/>
    <mergeCell ref="A77:Y77"/>
    <mergeCell ref="A78:Y78"/>
    <mergeCell ref="A81:Y81"/>
    <mergeCell ref="A83:Y83"/>
    <mergeCell ref="A84:Y84"/>
    <mergeCell ref="A86:Y86"/>
    <mergeCell ref="A88:Y88"/>
    <mergeCell ref="A89:Y89"/>
    <mergeCell ref="A95:Y95"/>
    <mergeCell ref="A97:Y97"/>
    <mergeCell ref="A71:Y71"/>
    <mergeCell ref="Y43:Y46"/>
    <mergeCell ref="A47:Y47"/>
    <mergeCell ref="A49:Y49"/>
    <mergeCell ref="Y50:Y53"/>
    <mergeCell ref="A51:A52"/>
    <mergeCell ref="B51:B52"/>
    <mergeCell ref="A54:Y54"/>
    <mergeCell ref="A56:Y56"/>
    <mergeCell ref="A61:Y61"/>
    <mergeCell ref="A62:Y62"/>
    <mergeCell ref="A67:Y67"/>
    <mergeCell ref="A42:Y42"/>
    <mergeCell ref="A17:Y17"/>
    <mergeCell ref="A23:Y23"/>
    <mergeCell ref="A24:Y24"/>
    <mergeCell ref="A26:Y26"/>
    <mergeCell ref="A29:Y29"/>
    <mergeCell ref="A31:Y31"/>
    <mergeCell ref="A33:Y33"/>
    <mergeCell ref="A34:Y34"/>
    <mergeCell ref="A36:Y36"/>
    <mergeCell ref="Y37:Y41"/>
    <mergeCell ref="A14:Y14"/>
    <mergeCell ref="A2:Y3"/>
    <mergeCell ref="A5:A7"/>
    <mergeCell ref="B5:B7"/>
    <mergeCell ref="C5:C7"/>
    <mergeCell ref="D5:O5"/>
    <mergeCell ref="P5:X6"/>
    <mergeCell ref="Y5:Y7"/>
    <mergeCell ref="D6:F6"/>
    <mergeCell ref="G6:H6"/>
    <mergeCell ref="I6:J6"/>
    <mergeCell ref="K6:L6"/>
    <mergeCell ref="M6:N6"/>
    <mergeCell ref="O6:O7"/>
    <mergeCell ref="A9:Y9"/>
    <mergeCell ref="A10:Y10"/>
  </mergeCells>
  <pageMargins left="0.39370078740157483" right="0.39370078740157483" top="0.98425196850393704" bottom="0.59055118110236227" header="0.31496062992125984" footer="0.31496062992125984"/>
  <pageSetup paperSize="9" scale="76"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21</vt:i4>
      </vt:variant>
    </vt:vector>
  </HeadingPairs>
  <TitlesOfParts>
    <vt:vector size="36" baseType="lpstr">
      <vt:lpstr>1_Конс.</vt:lpstr>
      <vt:lpstr>2_Конс_17 к 18</vt:lpstr>
      <vt:lpstr>3_Бюджеты МО</vt:lpstr>
      <vt:lpstr>4_Доходы МО</vt:lpstr>
      <vt:lpstr>5_Межбюд.</vt:lpstr>
      <vt:lpstr>6_Дебитор_МО</vt:lpstr>
      <vt:lpstr>7_Кредит_МО</vt:lpstr>
      <vt:lpstr>8_Программы</vt:lpstr>
      <vt:lpstr>9_Мероприятия ГП</vt:lpstr>
      <vt:lpstr>10_ФХД БУ И АУ_конс.</vt:lpstr>
      <vt:lpstr>11_ФХД_БУ И АУ_обл</vt:lpstr>
      <vt:lpstr>12_Долги_БУ и АУ_конс.</vt:lpstr>
      <vt:lpstr>13_Долги_БУ И АУ_обл</vt:lpstr>
      <vt:lpstr>Черн_кон.рас.</vt:lpstr>
      <vt:lpstr>Черн.</vt:lpstr>
      <vt:lpstr>'10_ФХД БУ И АУ_конс.'!Заголовки_для_печати</vt:lpstr>
      <vt:lpstr>'11_ФХД_БУ И АУ_обл'!Заголовки_для_печати</vt:lpstr>
      <vt:lpstr>'12_Долги_БУ и АУ_конс.'!Заголовки_для_печати</vt:lpstr>
      <vt:lpstr>'13_Долги_БУ И АУ_обл'!Заголовки_для_печати</vt:lpstr>
      <vt:lpstr>'2_Конс_17 к 18'!Заголовки_для_печати</vt:lpstr>
      <vt:lpstr>'8_Программы'!Заголовки_для_печати</vt:lpstr>
      <vt:lpstr>'9_Мероприятия ГП'!Заголовки_для_печати</vt:lpstr>
      <vt:lpstr>'1_Конс.'!Область_печати</vt:lpstr>
      <vt:lpstr>'10_ФХД БУ И АУ_конс.'!Область_печати</vt:lpstr>
      <vt:lpstr>'11_ФХД_БУ И АУ_обл'!Область_печати</vt:lpstr>
      <vt:lpstr>'12_Долги_БУ и АУ_конс.'!Область_печати</vt:lpstr>
      <vt:lpstr>'13_Долги_БУ И АУ_обл'!Область_печати</vt:lpstr>
      <vt:lpstr>'2_Конс_17 к 18'!Область_печати</vt:lpstr>
      <vt:lpstr>'3_Бюджеты МО'!Область_печати</vt:lpstr>
      <vt:lpstr>'4_Доходы МО'!Область_печати</vt:lpstr>
      <vt:lpstr>'5_Межбюд.'!Область_печати</vt:lpstr>
      <vt:lpstr>'6_Дебитор_МО'!Область_печати</vt:lpstr>
      <vt:lpstr>'7_Кредит_МО'!Область_печати</vt:lpstr>
      <vt:lpstr>'8_Программы'!Область_печати</vt:lpstr>
      <vt:lpstr>'9_Мероприятия ГП'!Область_печати</vt:lpstr>
      <vt:lpstr>Черн_кон.рас.!Область_печати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Алексей Кичёв</dc:creator>
  <cp:lastModifiedBy>Калинин С.Ф.</cp:lastModifiedBy>
  <cp:lastPrinted>2018-09-21T07:40:55Z</cp:lastPrinted>
  <dcterms:created xsi:type="dcterms:W3CDTF">2017-08-14T11:43:51Z</dcterms:created>
  <dcterms:modified xsi:type="dcterms:W3CDTF">2018-09-21T07:43:16Z</dcterms:modified>
</cp:coreProperties>
</file>