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19 год\Бюджет 2019\Проект бюджета\Заключение\"/>
    </mc:Choice>
  </mc:AlternateContent>
  <bookViews>
    <workbookView xWindow="120" yWindow="96" windowWidth="19416" windowHeight="11016" tabRatio="669" activeTab="6"/>
  </bookViews>
  <sheets>
    <sheet name="1_СЭР" sheetId="1" r:id="rId1"/>
    <sheet name="2_Доходы ОБ" sheetId="8" r:id="rId2"/>
    <sheet name="3_Расходы ГРБС" sheetId="9" r:id="rId3"/>
    <sheet name="4_Функц." sheetId="5" r:id="rId4"/>
    <sheet name="5_Госорганы" sheetId="4" r:id="rId5"/>
    <sheet name="6_Программы" sheetId="6" r:id="rId6"/>
    <sheet name="7_Учреждения" sheetId="7" r:id="rId7"/>
  </sheets>
  <definedNames>
    <definedName name="_xlnm.Print_Titles" localSheetId="0">'1_СЭР'!$4:$5</definedName>
    <definedName name="_xlnm.Print_Titles" localSheetId="1">'2_Доходы ОБ'!$6:$7</definedName>
    <definedName name="_xlnm.Print_Titles" localSheetId="2">'3_Расходы ГРБС'!$6:$7</definedName>
    <definedName name="_xlnm.Print_Titles" localSheetId="3">'4_Функц.'!$6:$7</definedName>
    <definedName name="_xlnm.Print_Titles" localSheetId="4">'5_Госорганы'!$5:$7</definedName>
    <definedName name="_xlnm.Print_Titles" localSheetId="5">'6_Программы'!$5:$6</definedName>
    <definedName name="_xlnm.Print_Area" localSheetId="0">'1_СЭР'!$A$1:$V$38</definedName>
    <definedName name="_xlnm.Print_Area" localSheetId="4">'5_Госорганы'!$A$1:$AA$39</definedName>
    <definedName name="_xlnm.Print_Area" localSheetId="5">'6_Программы'!$A$1:$W$125</definedName>
  </definedNames>
  <calcPr calcId="152511"/>
</workbook>
</file>

<file path=xl/calcChain.xml><?xml version="1.0" encoding="utf-8"?>
<calcChain xmlns="http://schemas.openxmlformats.org/spreadsheetml/2006/main">
  <c r="F62" i="8" l="1"/>
  <c r="G11" i="8"/>
  <c r="E60" i="8"/>
  <c r="E51" i="8"/>
  <c r="E52" i="8"/>
  <c r="E53" i="8"/>
  <c r="E54" i="8"/>
  <c r="E55" i="8"/>
  <c r="E57" i="8"/>
  <c r="E59" i="8"/>
  <c r="E50" i="8"/>
  <c r="E49" i="8"/>
  <c r="E47" i="8"/>
  <c r="E48" i="8"/>
  <c r="E37" i="8"/>
  <c r="E38" i="8"/>
  <c r="E40" i="8"/>
  <c r="E41" i="8"/>
  <c r="E42" i="8"/>
  <c r="E44" i="8"/>
  <c r="E45" i="8"/>
  <c r="E46" i="8"/>
  <c r="E36" i="8"/>
  <c r="E33" i="8"/>
  <c r="E34" i="8"/>
  <c r="E32" i="8"/>
  <c r="E25" i="8"/>
  <c r="E27" i="8"/>
  <c r="E28" i="8"/>
  <c r="E29" i="8"/>
  <c r="E30" i="8"/>
  <c r="E24" i="8"/>
  <c r="E12" i="8"/>
  <c r="E13" i="8"/>
  <c r="E14" i="8"/>
  <c r="E15" i="8"/>
  <c r="E16" i="8"/>
  <c r="E17" i="8"/>
  <c r="E19" i="8"/>
  <c r="E21" i="8"/>
  <c r="E22" i="8"/>
  <c r="I54" i="8"/>
  <c r="G54" i="8"/>
  <c r="I53" i="8"/>
  <c r="G53" i="8"/>
  <c r="I52" i="8"/>
  <c r="G52" i="8"/>
  <c r="I51" i="8"/>
  <c r="G51" i="8"/>
  <c r="H50" i="8"/>
  <c r="I50" i="8" s="1"/>
  <c r="F50" i="8"/>
  <c r="D50" i="8"/>
  <c r="C50" i="8"/>
  <c r="B50" i="8"/>
  <c r="B49" i="8" s="1"/>
  <c r="B60" i="8" s="1"/>
  <c r="F49" i="8"/>
  <c r="D49" i="8"/>
  <c r="C49" i="8"/>
  <c r="I48" i="8"/>
  <c r="G48" i="8"/>
  <c r="I47" i="8"/>
  <c r="G47" i="8"/>
  <c r="I46" i="8"/>
  <c r="G46" i="8"/>
  <c r="I45" i="8"/>
  <c r="G45" i="8"/>
  <c r="I44" i="8"/>
  <c r="G44" i="8"/>
  <c r="H43" i="8"/>
  <c r="I43" i="8" s="1"/>
  <c r="F43" i="8"/>
  <c r="D43" i="8"/>
  <c r="C43" i="8"/>
  <c r="B43" i="8"/>
  <c r="I42" i="8"/>
  <c r="G42" i="8"/>
  <c r="I41" i="8"/>
  <c r="G41" i="8"/>
  <c r="I40" i="8"/>
  <c r="G40" i="8"/>
  <c r="H39" i="8"/>
  <c r="F39" i="8"/>
  <c r="D39" i="8"/>
  <c r="C39" i="8"/>
  <c r="B39" i="8"/>
  <c r="I38" i="8"/>
  <c r="G38" i="8"/>
  <c r="I37" i="8"/>
  <c r="G37" i="8"/>
  <c r="I36" i="8"/>
  <c r="G36" i="8"/>
  <c r="I34" i="8"/>
  <c r="G34" i="8"/>
  <c r="I33" i="8"/>
  <c r="G33" i="8"/>
  <c r="I32" i="8"/>
  <c r="G32" i="8"/>
  <c r="I30" i="8"/>
  <c r="G30" i="8"/>
  <c r="I29" i="8"/>
  <c r="G29" i="8"/>
  <c r="I28" i="8"/>
  <c r="G28" i="8"/>
  <c r="I27" i="8"/>
  <c r="G27" i="8"/>
  <c r="H26" i="8"/>
  <c r="F26" i="8"/>
  <c r="D26" i="8"/>
  <c r="C26" i="8"/>
  <c r="B26" i="8"/>
  <c r="I25" i="8"/>
  <c r="G25" i="8"/>
  <c r="I24" i="8"/>
  <c r="G24" i="8"/>
  <c r="I22" i="8"/>
  <c r="G22" i="8"/>
  <c r="I21" i="8"/>
  <c r="G21" i="8"/>
  <c r="H20" i="8"/>
  <c r="F20" i="8"/>
  <c r="D20" i="8"/>
  <c r="E20" i="8" s="1"/>
  <c r="C20" i="8"/>
  <c r="B20" i="8"/>
  <c r="I19" i="8"/>
  <c r="G19" i="8"/>
  <c r="H18" i="8"/>
  <c r="F18" i="8"/>
  <c r="D18" i="8"/>
  <c r="C18" i="8"/>
  <c r="B18" i="8"/>
  <c r="I17" i="8"/>
  <c r="G17" i="8"/>
  <c r="I16" i="8"/>
  <c r="G16" i="8"/>
  <c r="I15" i="8"/>
  <c r="G15" i="8"/>
  <c r="I14" i="8"/>
  <c r="G14" i="8"/>
  <c r="I13" i="8"/>
  <c r="G13" i="8"/>
  <c r="I12" i="8"/>
  <c r="G12" i="8"/>
  <c r="H11" i="8"/>
  <c r="I11" i="8" s="1"/>
  <c r="F11" i="8"/>
  <c r="D11" i="8"/>
  <c r="C11" i="8"/>
  <c r="B11" i="8"/>
  <c r="G20" i="8" l="1"/>
  <c r="E26" i="8"/>
  <c r="C64" i="8"/>
  <c r="E43" i="8"/>
  <c r="C62" i="8"/>
  <c r="G18" i="8"/>
  <c r="E39" i="8"/>
  <c r="C63" i="8"/>
  <c r="D62" i="8"/>
  <c r="I20" i="8"/>
  <c r="G26" i="8"/>
  <c r="G43" i="8"/>
  <c r="D64" i="8"/>
  <c r="E11" i="8"/>
  <c r="C9" i="8"/>
  <c r="C60" i="8" s="1"/>
  <c r="I18" i="8"/>
  <c r="I26" i="8"/>
  <c r="F64" i="8"/>
  <c r="G64" i="8" s="1"/>
  <c r="G49" i="8"/>
  <c r="H64" i="8"/>
  <c r="E18" i="8"/>
  <c r="B62" i="8"/>
  <c r="B63" i="8" s="1"/>
  <c r="H62" i="8"/>
  <c r="B64" i="8"/>
  <c r="B65" i="8" s="1"/>
  <c r="I39" i="8"/>
  <c r="H49" i="8"/>
  <c r="I49" i="8" s="1"/>
  <c r="G50" i="8"/>
  <c r="E62" i="8"/>
  <c r="C65" i="8"/>
  <c r="F9" i="8"/>
  <c r="G39" i="8"/>
  <c r="I62" i="8"/>
  <c r="D9" i="8"/>
  <c r="E9" i="8" s="1"/>
  <c r="H9" i="8"/>
  <c r="I64" i="8" l="1"/>
  <c r="E64" i="8"/>
  <c r="G9" i="8"/>
  <c r="G62" i="8"/>
  <c r="H60" i="8"/>
  <c r="I9" i="8"/>
  <c r="D60" i="8"/>
  <c r="F60" i="8"/>
  <c r="G60" i="8" l="1"/>
  <c r="F65" i="8"/>
  <c r="I60" i="8"/>
  <c r="H63" i="8"/>
  <c r="H65" i="8"/>
  <c r="D63" i="8"/>
  <c r="D65" i="8"/>
  <c r="F63" i="8"/>
  <c r="R128" i="6" l="1"/>
  <c r="L128" i="6"/>
  <c r="F128" i="6"/>
  <c r="R119" i="6"/>
  <c r="L119" i="6"/>
  <c r="U117" i="6"/>
  <c r="T117" i="6"/>
  <c r="S117" i="6" s="1"/>
  <c r="O117" i="6"/>
  <c r="N117" i="6"/>
  <c r="M117" i="6" s="1"/>
  <c r="I117" i="6"/>
  <c r="H117" i="6"/>
  <c r="W116" i="6"/>
  <c r="U116" i="6"/>
  <c r="T116" i="6"/>
  <c r="S116" i="6"/>
  <c r="V116" i="6" s="1"/>
  <c r="O116" i="6"/>
  <c r="N116" i="6"/>
  <c r="M116" i="6"/>
  <c r="I116" i="6"/>
  <c r="H116" i="6"/>
  <c r="T115" i="6"/>
  <c r="S115" i="6" s="1"/>
  <c r="N115" i="6"/>
  <c r="H115" i="6"/>
  <c r="T114" i="6"/>
  <c r="O114" i="6"/>
  <c r="O111" i="6" s="1"/>
  <c r="N114" i="6"/>
  <c r="K114" i="6"/>
  <c r="J114" i="6"/>
  <c r="H114" i="6"/>
  <c r="G114" i="6"/>
  <c r="W113" i="6"/>
  <c r="V113" i="6"/>
  <c r="T113" i="6"/>
  <c r="S113" i="6"/>
  <c r="Q113" i="6"/>
  <c r="P113" i="6"/>
  <c r="N113" i="6"/>
  <c r="M113" i="6"/>
  <c r="K113" i="6"/>
  <c r="J113" i="6"/>
  <c r="H113" i="6"/>
  <c r="G113" i="6"/>
  <c r="W112" i="6"/>
  <c r="V112" i="6"/>
  <c r="T112" i="6"/>
  <c r="S112" i="6"/>
  <c r="Q112" i="6"/>
  <c r="P112" i="6"/>
  <c r="N112" i="6"/>
  <c r="M112" i="6"/>
  <c r="K112" i="6"/>
  <c r="I112" i="6"/>
  <c r="H112" i="6"/>
  <c r="G112" i="6"/>
  <c r="U111" i="6"/>
  <c r="R111" i="6"/>
  <c r="L111" i="6"/>
  <c r="I111" i="6"/>
  <c r="F111" i="6"/>
  <c r="E111" i="6"/>
  <c r="D111" i="6"/>
  <c r="C111" i="6"/>
  <c r="W110" i="6"/>
  <c r="V110" i="6"/>
  <c r="T110" i="6"/>
  <c r="S110" i="6" s="1"/>
  <c r="Q110" i="6"/>
  <c r="P110" i="6"/>
  <c r="N110" i="6"/>
  <c r="M110" i="6"/>
  <c r="K110" i="6"/>
  <c r="J110" i="6"/>
  <c r="H110" i="6"/>
  <c r="G110" i="6"/>
  <c r="U109" i="6"/>
  <c r="T109" i="6"/>
  <c r="S109" i="6"/>
  <c r="O109" i="6"/>
  <c r="N109" i="6"/>
  <c r="M109" i="6"/>
  <c r="I109" i="6"/>
  <c r="I106" i="6" s="1"/>
  <c r="H109" i="6"/>
  <c r="G109" i="6" s="1"/>
  <c r="T108" i="6"/>
  <c r="P108" i="6"/>
  <c r="N108" i="6"/>
  <c r="M108" i="6" s="1"/>
  <c r="Q108" i="6" s="1"/>
  <c r="H108" i="6"/>
  <c r="G108" i="6" s="1"/>
  <c r="U107" i="6"/>
  <c r="T107" i="6"/>
  <c r="P107" i="6"/>
  <c r="O107" i="6"/>
  <c r="N107" i="6"/>
  <c r="M107" i="6"/>
  <c r="K107" i="6"/>
  <c r="I107" i="6"/>
  <c r="H107" i="6"/>
  <c r="G107" i="6"/>
  <c r="J107" i="6" s="1"/>
  <c r="R106" i="6"/>
  <c r="O106" i="6"/>
  <c r="N106" i="6"/>
  <c r="L106" i="6"/>
  <c r="F106" i="6"/>
  <c r="E106" i="6"/>
  <c r="D106" i="6"/>
  <c r="C106" i="6"/>
  <c r="V105" i="6"/>
  <c r="T105" i="6"/>
  <c r="S105" i="6" s="1"/>
  <c r="P105" i="6"/>
  <c r="N105" i="6"/>
  <c r="M105" i="6" s="1"/>
  <c r="J105" i="6"/>
  <c r="H105" i="6"/>
  <c r="G105" i="6" s="1"/>
  <c r="K105" i="6" s="1"/>
  <c r="U104" i="6"/>
  <c r="T104" i="6"/>
  <c r="S104" i="6" s="1"/>
  <c r="O104" i="6"/>
  <c r="N104" i="6"/>
  <c r="M104" i="6" s="1"/>
  <c r="I104" i="6"/>
  <c r="H104" i="6"/>
  <c r="U103" i="6"/>
  <c r="T103" i="6"/>
  <c r="S103" i="6"/>
  <c r="W103" i="6" s="1"/>
  <c r="O103" i="6"/>
  <c r="N103" i="6"/>
  <c r="M103" i="6"/>
  <c r="P103" i="6" s="1"/>
  <c r="H103" i="6"/>
  <c r="G103" i="6" s="1"/>
  <c r="T102" i="6"/>
  <c r="S102" i="6"/>
  <c r="P102" i="6"/>
  <c r="N102" i="6"/>
  <c r="M102" i="6"/>
  <c r="Q102" i="6" s="1"/>
  <c r="J102" i="6"/>
  <c r="H102" i="6"/>
  <c r="G102" i="6" s="1"/>
  <c r="K102" i="6" s="1"/>
  <c r="T101" i="6"/>
  <c r="S101" i="6"/>
  <c r="N101" i="6"/>
  <c r="M101" i="6" s="1"/>
  <c r="H101" i="6"/>
  <c r="G101" i="6"/>
  <c r="T100" i="6"/>
  <c r="S100" i="6" s="1"/>
  <c r="W100" i="6" s="1"/>
  <c r="P100" i="6"/>
  <c r="N100" i="6"/>
  <c r="M100" i="6" s="1"/>
  <c r="Q100" i="6" s="1"/>
  <c r="H100" i="6"/>
  <c r="G100" i="6"/>
  <c r="V99" i="6"/>
  <c r="T99" i="6"/>
  <c r="S99" i="6"/>
  <c r="W99" i="6" s="1"/>
  <c r="N99" i="6"/>
  <c r="M99" i="6" s="1"/>
  <c r="Q99" i="6" s="1"/>
  <c r="H99" i="6"/>
  <c r="G99" i="6"/>
  <c r="T98" i="6"/>
  <c r="S98" i="6" s="1"/>
  <c r="N98" i="6"/>
  <c r="M98" i="6"/>
  <c r="H98" i="6"/>
  <c r="T97" i="6"/>
  <c r="N97" i="6"/>
  <c r="M97" i="6"/>
  <c r="J97" i="6"/>
  <c r="H97" i="6"/>
  <c r="G97" i="6"/>
  <c r="K97" i="6" s="1"/>
  <c r="U96" i="6"/>
  <c r="R96" i="6"/>
  <c r="O96" i="6"/>
  <c r="L96" i="6"/>
  <c r="I96" i="6"/>
  <c r="F96" i="6"/>
  <c r="E96" i="6"/>
  <c r="D96" i="6"/>
  <c r="C96" i="6"/>
  <c r="T95" i="6"/>
  <c r="S95" i="6" s="1"/>
  <c r="V95" i="6" s="1"/>
  <c r="Q95" i="6"/>
  <c r="N95" i="6"/>
  <c r="M95" i="6" s="1"/>
  <c r="P95" i="6" s="1"/>
  <c r="I95" i="6"/>
  <c r="I91" i="6" s="1"/>
  <c r="H95" i="6"/>
  <c r="G95" i="6" s="1"/>
  <c r="T94" i="6"/>
  <c r="S94" i="6"/>
  <c r="P94" i="6"/>
  <c r="N94" i="6"/>
  <c r="M94" i="6"/>
  <c r="Q94" i="6" s="1"/>
  <c r="H94" i="6"/>
  <c r="G94" i="6" s="1"/>
  <c r="V93" i="6"/>
  <c r="T93" i="6"/>
  <c r="S93" i="6"/>
  <c r="W93" i="6" s="1"/>
  <c r="N93" i="6"/>
  <c r="M93" i="6" s="1"/>
  <c r="H93" i="6"/>
  <c r="G93" i="6"/>
  <c r="V92" i="6"/>
  <c r="T92" i="6"/>
  <c r="S92" i="6" s="1"/>
  <c r="N92" i="6"/>
  <c r="M92" i="6" s="1"/>
  <c r="H92" i="6"/>
  <c r="G92" i="6"/>
  <c r="U91" i="6"/>
  <c r="T91" i="6"/>
  <c r="R91" i="6"/>
  <c r="O91" i="6"/>
  <c r="L91" i="6"/>
  <c r="F91" i="6"/>
  <c r="E91" i="6"/>
  <c r="D91" i="6"/>
  <c r="C91" i="6"/>
  <c r="T90" i="6"/>
  <c r="Q90" i="6"/>
  <c r="N90" i="6"/>
  <c r="M90" i="6" s="1"/>
  <c r="P90" i="6" s="1"/>
  <c r="K90" i="6"/>
  <c r="J90" i="6"/>
  <c r="H90" i="6"/>
  <c r="G90" i="6" s="1"/>
  <c r="V89" i="6"/>
  <c r="S89" i="6"/>
  <c r="W89" i="6" s="1"/>
  <c r="M89" i="6"/>
  <c r="P89" i="6" s="1"/>
  <c r="K89" i="6"/>
  <c r="J89" i="6"/>
  <c r="H89" i="6"/>
  <c r="G89" i="6"/>
  <c r="W88" i="6"/>
  <c r="V88" i="6"/>
  <c r="T88" i="6"/>
  <c r="S88" i="6"/>
  <c r="Q88" i="6"/>
  <c r="P88" i="6"/>
  <c r="N88" i="6"/>
  <c r="M88" i="6"/>
  <c r="K88" i="6"/>
  <c r="J88" i="6"/>
  <c r="H88" i="6"/>
  <c r="G88" i="6"/>
  <c r="G87" i="6" s="1"/>
  <c r="X87" i="6"/>
  <c r="U87" i="6"/>
  <c r="R87" i="6"/>
  <c r="Q87" i="6"/>
  <c r="O87" i="6"/>
  <c r="N87" i="6"/>
  <c r="M87" i="6"/>
  <c r="L87" i="6"/>
  <c r="P87" i="6" s="1"/>
  <c r="J87" i="6"/>
  <c r="I87" i="6"/>
  <c r="H87" i="6"/>
  <c r="F87" i="6"/>
  <c r="K87" i="6" s="1"/>
  <c r="E87" i="6"/>
  <c r="D87" i="6"/>
  <c r="C87" i="6"/>
  <c r="U86" i="6"/>
  <c r="S86" i="6" s="1"/>
  <c r="T86" i="6"/>
  <c r="P86" i="6"/>
  <c r="O86" i="6"/>
  <c r="N86" i="6"/>
  <c r="M86" i="6"/>
  <c r="Q86" i="6" s="1"/>
  <c r="I86" i="6"/>
  <c r="G86" i="6" s="1"/>
  <c r="H86" i="6"/>
  <c r="U85" i="6"/>
  <c r="T85" i="6"/>
  <c r="P85" i="6"/>
  <c r="O85" i="6"/>
  <c r="M85" i="6" s="1"/>
  <c r="Q85" i="6" s="1"/>
  <c r="N85" i="6"/>
  <c r="J85" i="6"/>
  <c r="I85" i="6"/>
  <c r="H85" i="6"/>
  <c r="G85" i="6"/>
  <c r="K85" i="6" s="1"/>
  <c r="V84" i="6"/>
  <c r="U84" i="6"/>
  <c r="S84" i="6"/>
  <c r="O84" i="6"/>
  <c r="M84" i="6" s="1"/>
  <c r="P84" i="6" s="1"/>
  <c r="I84" i="6"/>
  <c r="G84" i="6" s="1"/>
  <c r="H84" i="6"/>
  <c r="V83" i="6"/>
  <c r="U83" i="6"/>
  <c r="T83" i="6"/>
  <c r="S83" i="6"/>
  <c r="W83" i="6" s="1"/>
  <c r="O83" i="6"/>
  <c r="N83" i="6"/>
  <c r="N82" i="6" s="1"/>
  <c r="I83" i="6"/>
  <c r="H83" i="6"/>
  <c r="T82" i="6"/>
  <c r="R82" i="6"/>
  <c r="L82" i="6"/>
  <c r="H82" i="6"/>
  <c r="F82" i="6"/>
  <c r="E82" i="6"/>
  <c r="E118" i="6" s="1"/>
  <c r="D82" i="6"/>
  <c r="C82" i="6"/>
  <c r="W81" i="6"/>
  <c r="V81" i="6"/>
  <c r="T81" i="6"/>
  <c r="S81" i="6"/>
  <c r="Y81" i="6" s="1"/>
  <c r="Q81" i="6"/>
  <c r="P81" i="6"/>
  <c r="N81" i="6"/>
  <c r="M81" i="6"/>
  <c r="X81" i="6" s="1"/>
  <c r="K81" i="6"/>
  <c r="J81" i="6"/>
  <c r="H81" i="6"/>
  <c r="G81" i="6"/>
  <c r="V80" i="6"/>
  <c r="U80" i="6"/>
  <c r="T80" i="6"/>
  <c r="S80" i="6"/>
  <c r="W80" i="6" s="1"/>
  <c r="Q80" i="6"/>
  <c r="O80" i="6"/>
  <c r="N80" i="6"/>
  <c r="M80" i="6"/>
  <c r="P80" i="6" s="1"/>
  <c r="J80" i="6"/>
  <c r="I80" i="6"/>
  <c r="H80" i="6"/>
  <c r="G80" i="6" s="1"/>
  <c r="K80" i="6" s="1"/>
  <c r="W79" i="6"/>
  <c r="V79" i="6"/>
  <c r="T79" i="6"/>
  <c r="S79" i="6" s="1"/>
  <c r="N79" i="6"/>
  <c r="M79" i="6" s="1"/>
  <c r="H79" i="6"/>
  <c r="G79" i="6" s="1"/>
  <c r="W78" i="6"/>
  <c r="T78" i="6"/>
  <c r="S78" i="6" s="1"/>
  <c r="V78" i="6" s="1"/>
  <c r="Q78" i="6"/>
  <c r="P78" i="6"/>
  <c r="N78" i="6"/>
  <c r="M78" i="6" s="1"/>
  <c r="H78" i="6"/>
  <c r="G78" i="6" s="1"/>
  <c r="T77" i="6"/>
  <c r="S77" i="6" s="1"/>
  <c r="Q77" i="6"/>
  <c r="N77" i="6"/>
  <c r="M77" i="6" s="1"/>
  <c r="P77" i="6" s="1"/>
  <c r="K77" i="6"/>
  <c r="J77" i="6"/>
  <c r="H77" i="6"/>
  <c r="G77" i="6" s="1"/>
  <c r="T76" i="6"/>
  <c r="S76" i="6" s="1"/>
  <c r="N76" i="6"/>
  <c r="M76" i="6" s="1"/>
  <c r="K76" i="6"/>
  <c r="H76" i="6"/>
  <c r="G76" i="6" s="1"/>
  <c r="J76" i="6" s="1"/>
  <c r="V75" i="6"/>
  <c r="U75" i="6"/>
  <c r="U73" i="6" s="1"/>
  <c r="T75" i="6"/>
  <c r="S75" i="6"/>
  <c r="W75" i="6" s="1"/>
  <c r="Q75" i="6"/>
  <c r="O75" i="6"/>
  <c r="N75" i="6"/>
  <c r="M75" i="6"/>
  <c r="P75" i="6" s="1"/>
  <c r="I75" i="6"/>
  <c r="I73" i="6" s="1"/>
  <c r="H75" i="6"/>
  <c r="G75" i="6" s="1"/>
  <c r="T74" i="6"/>
  <c r="S74" i="6"/>
  <c r="P74" i="6"/>
  <c r="N74" i="6"/>
  <c r="M74" i="6"/>
  <c r="H74" i="6"/>
  <c r="R73" i="6"/>
  <c r="O73" i="6"/>
  <c r="L73" i="6"/>
  <c r="F73" i="6"/>
  <c r="E73" i="6"/>
  <c r="D73" i="6"/>
  <c r="C73" i="6"/>
  <c r="W72" i="6"/>
  <c r="T72" i="6"/>
  <c r="S72" i="6"/>
  <c r="V72" i="6" s="1"/>
  <c r="Q72" i="6"/>
  <c r="N72" i="6"/>
  <c r="M72" i="6" s="1"/>
  <c r="L72" i="6"/>
  <c r="J72" i="6"/>
  <c r="H72" i="6"/>
  <c r="G72" i="6" s="1"/>
  <c r="K72" i="6" s="1"/>
  <c r="S71" i="6"/>
  <c r="Q71" i="6"/>
  <c r="M71" i="6"/>
  <c r="P71" i="6" s="1"/>
  <c r="K71" i="6"/>
  <c r="J71" i="6"/>
  <c r="G71" i="6"/>
  <c r="T70" i="6"/>
  <c r="S70" i="6" s="1"/>
  <c r="Q70" i="6"/>
  <c r="N70" i="6"/>
  <c r="M70" i="6" s="1"/>
  <c r="P70" i="6" s="1"/>
  <c r="K70" i="6"/>
  <c r="J70" i="6"/>
  <c r="H70" i="6"/>
  <c r="G70" i="6" s="1"/>
  <c r="T69" i="6"/>
  <c r="S69" i="6" s="1"/>
  <c r="R69" i="6"/>
  <c r="P69" i="6"/>
  <c r="N69" i="6"/>
  <c r="M69" i="6"/>
  <c r="L69" i="6"/>
  <c r="Q69" i="6" s="1"/>
  <c r="K69" i="6"/>
  <c r="H69" i="6"/>
  <c r="G69" i="6" s="1"/>
  <c r="J69" i="6" s="1"/>
  <c r="U68" i="6"/>
  <c r="U67" i="6" s="1"/>
  <c r="T68" i="6"/>
  <c r="O68" i="6"/>
  <c r="O67" i="6" s="1"/>
  <c r="N68" i="6"/>
  <c r="I68" i="6"/>
  <c r="H68" i="6"/>
  <c r="R67" i="6"/>
  <c r="L67" i="6"/>
  <c r="H67" i="6"/>
  <c r="F67" i="6"/>
  <c r="E67" i="6"/>
  <c r="D67" i="6"/>
  <c r="C67" i="6"/>
  <c r="W66" i="6"/>
  <c r="U66" i="6"/>
  <c r="T66" i="6"/>
  <c r="S66" i="6"/>
  <c r="V66" i="6" s="1"/>
  <c r="O66" i="6"/>
  <c r="N66" i="6"/>
  <c r="M66" i="6" s="1"/>
  <c r="I66" i="6"/>
  <c r="I63" i="6" s="1"/>
  <c r="H66" i="6"/>
  <c r="G66" i="6" s="1"/>
  <c r="U65" i="6"/>
  <c r="U63" i="6" s="1"/>
  <c r="T65" i="6"/>
  <c r="O65" i="6"/>
  <c r="M65" i="6" s="1"/>
  <c r="N65" i="6"/>
  <c r="J65" i="6"/>
  <c r="I65" i="6"/>
  <c r="H65" i="6"/>
  <c r="G65" i="6"/>
  <c r="K65" i="6" s="1"/>
  <c r="T64" i="6"/>
  <c r="N64" i="6"/>
  <c r="M64" i="6"/>
  <c r="H64" i="6"/>
  <c r="G64" i="6"/>
  <c r="R63" i="6"/>
  <c r="O63" i="6"/>
  <c r="N63" i="6"/>
  <c r="L63" i="6"/>
  <c r="F63" i="6"/>
  <c r="E63" i="6"/>
  <c r="D63" i="6"/>
  <c r="C63" i="6"/>
  <c r="W62" i="6"/>
  <c r="V62" i="6"/>
  <c r="T62" i="6"/>
  <c r="S62" i="6"/>
  <c r="O62" i="6"/>
  <c r="N62" i="6"/>
  <c r="M62" i="6"/>
  <c r="P62" i="6" s="1"/>
  <c r="K62" i="6"/>
  <c r="H62" i="6"/>
  <c r="G62" i="6"/>
  <c r="J62" i="6" s="1"/>
  <c r="W61" i="6"/>
  <c r="S61" i="6"/>
  <c r="V61" i="6" s="1"/>
  <c r="N61" i="6"/>
  <c r="M61" i="6"/>
  <c r="H61" i="6"/>
  <c r="G61" i="6"/>
  <c r="T60" i="6"/>
  <c r="S60" i="6"/>
  <c r="N60" i="6"/>
  <c r="M60" i="6"/>
  <c r="H60" i="6"/>
  <c r="G60" i="6"/>
  <c r="T59" i="6"/>
  <c r="S59" i="6"/>
  <c r="N59" i="6"/>
  <c r="M59" i="6"/>
  <c r="H59" i="6"/>
  <c r="G59" i="6"/>
  <c r="U58" i="6"/>
  <c r="T58" i="6"/>
  <c r="R58" i="6"/>
  <c r="O58" i="6"/>
  <c r="L58" i="6"/>
  <c r="I58" i="6"/>
  <c r="H58" i="6"/>
  <c r="G58" i="6" s="1"/>
  <c r="F58" i="6"/>
  <c r="E58" i="6"/>
  <c r="D58" i="6"/>
  <c r="C58" i="6"/>
  <c r="W57" i="6"/>
  <c r="S57" i="6"/>
  <c r="V57" i="6" s="1"/>
  <c r="N57" i="6"/>
  <c r="J57" i="6"/>
  <c r="W56" i="6"/>
  <c r="V56" i="6"/>
  <c r="T56" i="6"/>
  <c r="S56" i="6" s="1"/>
  <c r="P56" i="6"/>
  <c r="N56" i="6"/>
  <c r="M56" i="6" s="1"/>
  <c r="Q56" i="6" s="1"/>
  <c r="H56" i="6"/>
  <c r="G56" i="6" s="1"/>
  <c r="W55" i="6"/>
  <c r="T55" i="6"/>
  <c r="S55" i="6" s="1"/>
  <c r="V55" i="6" s="1"/>
  <c r="Q55" i="6"/>
  <c r="P55" i="6"/>
  <c r="N55" i="6"/>
  <c r="M55" i="6" s="1"/>
  <c r="J55" i="6"/>
  <c r="H55" i="6"/>
  <c r="G55" i="6" s="1"/>
  <c r="K55" i="6" s="1"/>
  <c r="T54" i="6"/>
  <c r="N54" i="6"/>
  <c r="K54" i="6"/>
  <c r="J54" i="6"/>
  <c r="H54" i="6"/>
  <c r="G54" i="6" s="1"/>
  <c r="U53" i="6"/>
  <c r="R53" i="6"/>
  <c r="O53" i="6"/>
  <c r="L53" i="6"/>
  <c r="I53" i="6"/>
  <c r="H53" i="6"/>
  <c r="F53" i="6"/>
  <c r="E53" i="6"/>
  <c r="D53" i="6"/>
  <c r="C53" i="6"/>
  <c r="T52" i="6"/>
  <c r="S52" i="6"/>
  <c r="N52" i="6"/>
  <c r="M52" i="6"/>
  <c r="J52" i="6"/>
  <c r="H52" i="6"/>
  <c r="G52" i="6"/>
  <c r="K52" i="6" s="1"/>
  <c r="U51" i="6"/>
  <c r="T51" i="6"/>
  <c r="P51" i="6"/>
  <c r="O51" i="6"/>
  <c r="M51" i="6" s="1"/>
  <c r="Q51" i="6" s="1"/>
  <c r="N51" i="6"/>
  <c r="J51" i="6"/>
  <c r="I51" i="6"/>
  <c r="H51" i="6"/>
  <c r="G51" i="6"/>
  <c r="K51" i="6" s="1"/>
  <c r="W50" i="6"/>
  <c r="U50" i="6"/>
  <c r="T50" i="6"/>
  <c r="S50" i="6"/>
  <c r="V50" i="6" s="1"/>
  <c r="P50" i="6"/>
  <c r="O50" i="6"/>
  <c r="N50" i="6"/>
  <c r="M50" i="6" s="1"/>
  <c r="Q50" i="6" s="1"/>
  <c r="J50" i="6"/>
  <c r="I50" i="6"/>
  <c r="H50" i="6"/>
  <c r="G50" i="6"/>
  <c r="K50" i="6" s="1"/>
  <c r="W49" i="6"/>
  <c r="T49" i="6"/>
  <c r="S49" i="6"/>
  <c r="V49" i="6" s="1"/>
  <c r="Q49" i="6"/>
  <c r="N49" i="6"/>
  <c r="M49" i="6"/>
  <c r="P49" i="6" s="1"/>
  <c r="H49" i="6"/>
  <c r="G49" i="6"/>
  <c r="U48" i="6"/>
  <c r="T48" i="6"/>
  <c r="S48" i="6"/>
  <c r="O48" i="6"/>
  <c r="O47" i="6" s="1"/>
  <c r="N48" i="6"/>
  <c r="N47" i="6" s="1"/>
  <c r="M48" i="6"/>
  <c r="I48" i="6"/>
  <c r="I47" i="6" s="1"/>
  <c r="H48" i="6"/>
  <c r="U47" i="6"/>
  <c r="T47" i="6"/>
  <c r="R47" i="6"/>
  <c r="L47" i="6"/>
  <c r="F47" i="6"/>
  <c r="E47" i="6"/>
  <c r="D47" i="6"/>
  <c r="C47" i="6"/>
  <c r="V46" i="6"/>
  <c r="T46" i="6"/>
  <c r="S46" i="6"/>
  <c r="W46" i="6" s="1"/>
  <c r="N46" i="6"/>
  <c r="M46" i="6" s="1"/>
  <c r="H46" i="6"/>
  <c r="G46" i="6" s="1"/>
  <c r="T45" i="6"/>
  <c r="S45" i="6"/>
  <c r="P45" i="6"/>
  <c r="N45" i="6"/>
  <c r="M45" i="6"/>
  <c r="Q45" i="6" s="1"/>
  <c r="G45" i="6"/>
  <c r="J45" i="6" s="1"/>
  <c r="W44" i="6"/>
  <c r="T44" i="6"/>
  <c r="S44" i="6"/>
  <c r="V44" i="6" s="1"/>
  <c r="Q44" i="6"/>
  <c r="N44" i="6"/>
  <c r="M44" i="6"/>
  <c r="P44" i="6" s="1"/>
  <c r="K44" i="6"/>
  <c r="J44" i="6"/>
  <c r="G44" i="6"/>
  <c r="U43" i="6"/>
  <c r="T43" i="6"/>
  <c r="S43" i="6"/>
  <c r="W43" i="6" s="1"/>
  <c r="O43" i="6"/>
  <c r="N43" i="6"/>
  <c r="M43" i="6" s="1"/>
  <c r="I43" i="6"/>
  <c r="H43" i="6"/>
  <c r="G43" i="6"/>
  <c r="T42" i="6"/>
  <c r="S42" i="6"/>
  <c r="P42" i="6"/>
  <c r="N42" i="6"/>
  <c r="M42" i="6"/>
  <c r="Q42" i="6" s="1"/>
  <c r="I42" i="6"/>
  <c r="I41" i="6" s="1"/>
  <c r="H42" i="6"/>
  <c r="U41" i="6"/>
  <c r="T41" i="6"/>
  <c r="R41" i="6"/>
  <c r="O41" i="6"/>
  <c r="L41" i="6"/>
  <c r="H41" i="6"/>
  <c r="G41" i="6" s="1"/>
  <c r="K41" i="6" s="1"/>
  <c r="F41" i="6"/>
  <c r="E41" i="6"/>
  <c r="D41" i="6"/>
  <c r="C41" i="6"/>
  <c r="U40" i="6"/>
  <c r="T40" i="6"/>
  <c r="O40" i="6"/>
  <c r="M40" i="6" s="1"/>
  <c r="N40" i="6"/>
  <c r="J40" i="6"/>
  <c r="I40" i="6"/>
  <c r="H40" i="6"/>
  <c r="G40" i="6"/>
  <c r="K40" i="6" s="1"/>
  <c r="T39" i="6"/>
  <c r="N39" i="6"/>
  <c r="M39" i="6"/>
  <c r="H39" i="6"/>
  <c r="G39" i="6"/>
  <c r="U38" i="6"/>
  <c r="T38" i="6"/>
  <c r="S38" i="6"/>
  <c r="V38" i="6" s="1"/>
  <c r="O38" i="6"/>
  <c r="N38" i="6"/>
  <c r="I38" i="6"/>
  <c r="H38" i="6"/>
  <c r="G38" i="6" s="1"/>
  <c r="U37" i="6"/>
  <c r="T37" i="6"/>
  <c r="P37" i="6"/>
  <c r="O37" i="6"/>
  <c r="N37" i="6"/>
  <c r="M37" i="6"/>
  <c r="K37" i="6"/>
  <c r="I37" i="6"/>
  <c r="I36" i="6" s="1"/>
  <c r="H37" i="6"/>
  <c r="G37" i="6"/>
  <c r="J37" i="6" s="1"/>
  <c r="R36" i="6"/>
  <c r="O36" i="6"/>
  <c r="L36" i="6"/>
  <c r="F36" i="6"/>
  <c r="E36" i="6"/>
  <c r="D36" i="6"/>
  <c r="C36" i="6"/>
  <c r="V35" i="6"/>
  <c r="U35" i="6"/>
  <c r="S35" i="6" s="1"/>
  <c r="T35" i="6"/>
  <c r="P35" i="6"/>
  <c r="O35" i="6"/>
  <c r="N35" i="6"/>
  <c r="M35" i="6"/>
  <c r="X35" i="6" s="1"/>
  <c r="K35" i="6"/>
  <c r="I35" i="6"/>
  <c r="H35" i="6"/>
  <c r="G35" i="6" s="1"/>
  <c r="J35" i="6" s="1"/>
  <c r="T34" i="6"/>
  <c r="S34" i="6"/>
  <c r="N34" i="6"/>
  <c r="M34" i="6" s="1"/>
  <c r="H34" i="6"/>
  <c r="G34" i="6"/>
  <c r="T33" i="6"/>
  <c r="S33" i="6" s="1"/>
  <c r="N33" i="6"/>
  <c r="M33" i="6" s="1"/>
  <c r="H33" i="6"/>
  <c r="G33" i="6" s="1"/>
  <c r="T32" i="6"/>
  <c r="S32" i="6"/>
  <c r="N32" i="6"/>
  <c r="M32" i="6" s="1"/>
  <c r="H32" i="6"/>
  <c r="G32" i="6"/>
  <c r="U31" i="6"/>
  <c r="T31" i="6"/>
  <c r="N31" i="6"/>
  <c r="J31" i="6"/>
  <c r="H31" i="6"/>
  <c r="G31" i="6" s="1"/>
  <c r="K31" i="6" s="1"/>
  <c r="T30" i="6"/>
  <c r="S30" i="6" s="1"/>
  <c r="W30" i="6" s="1"/>
  <c r="N30" i="6"/>
  <c r="M30" i="6" s="1"/>
  <c r="Q30" i="6" s="1"/>
  <c r="H30" i="6"/>
  <c r="G30" i="6" s="1"/>
  <c r="K30" i="6" s="1"/>
  <c r="T29" i="6"/>
  <c r="S29" i="6" s="1"/>
  <c r="Q29" i="6"/>
  <c r="N29" i="6"/>
  <c r="M29" i="6" s="1"/>
  <c r="P29" i="6" s="1"/>
  <c r="K29" i="6"/>
  <c r="J29" i="6"/>
  <c r="H29" i="6"/>
  <c r="G29" i="6" s="1"/>
  <c r="U28" i="6"/>
  <c r="S28" i="6" s="1"/>
  <c r="W28" i="6" s="1"/>
  <c r="T28" i="6"/>
  <c r="O28" i="6"/>
  <c r="N28" i="6"/>
  <c r="M28" i="6"/>
  <c r="P28" i="6" s="1"/>
  <c r="I28" i="6"/>
  <c r="H28" i="6"/>
  <c r="G28" i="6"/>
  <c r="J28" i="6" s="1"/>
  <c r="U27" i="6"/>
  <c r="T27" i="6"/>
  <c r="O27" i="6"/>
  <c r="N27" i="6"/>
  <c r="M27" i="6"/>
  <c r="I27" i="6"/>
  <c r="H27" i="6"/>
  <c r="H26" i="6" s="1"/>
  <c r="G26" i="6" s="1"/>
  <c r="K26" i="6" s="1"/>
  <c r="G27" i="6"/>
  <c r="J27" i="6" s="1"/>
  <c r="U26" i="6"/>
  <c r="R26" i="6"/>
  <c r="O26" i="6"/>
  <c r="L26" i="6"/>
  <c r="I26" i="6"/>
  <c r="F26" i="6"/>
  <c r="E26" i="6"/>
  <c r="D26" i="6"/>
  <c r="C26" i="6"/>
  <c r="T25" i="6"/>
  <c r="S25" i="6"/>
  <c r="V25" i="6" s="1"/>
  <c r="O25" i="6"/>
  <c r="N25" i="6"/>
  <c r="M25" i="6"/>
  <c r="P25" i="6" s="1"/>
  <c r="I25" i="6"/>
  <c r="H25" i="6"/>
  <c r="G25" i="6"/>
  <c r="T24" i="6"/>
  <c r="S24" i="6"/>
  <c r="P24" i="6"/>
  <c r="N24" i="6"/>
  <c r="M24" i="6"/>
  <c r="Q24" i="6" s="1"/>
  <c r="H24" i="6"/>
  <c r="G24" i="6" s="1"/>
  <c r="K24" i="6" s="1"/>
  <c r="T23" i="6"/>
  <c r="S23" i="6"/>
  <c r="N23" i="6"/>
  <c r="M23" i="6"/>
  <c r="J23" i="6"/>
  <c r="H23" i="6"/>
  <c r="G23" i="6"/>
  <c r="K23" i="6" s="1"/>
  <c r="U22" i="6"/>
  <c r="T22" i="6"/>
  <c r="O22" i="6"/>
  <c r="M22" i="6" s="1"/>
  <c r="Q22" i="6" s="1"/>
  <c r="N22" i="6"/>
  <c r="I22" i="6"/>
  <c r="H22" i="6"/>
  <c r="G22" i="6"/>
  <c r="J22" i="6" s="1"/>
  <c r="W21" i="6"/>
  <c r="T21" i="6"/>
  <c r="S21" i="6"/>
  <c r="V21" i="6" s="1"/>
  <c r="Q21" i="6"/>
  <c r="N21" i="6"/>
  <c r="M21" i="6" s="1"/>
  <c r="P21" i="6" s="1"/>
  <c r="I21" i="6"/>
  <c r="I18" i="6" s="1"/>
  <c r="H21" i="6"/>
  <c r="G21" i="6" s="1"/>
  <c r="U20" i="6"/>
  <c r="U18" i="6" s="1"/>
  <c r="T20" i="6"/>
  <c r="O20" i="6"/>
  <c r="M20" i="6" s="1"/>
  <c r="N20" i="6"/>
  <c r="J20" i="6"/>
  <c r="I20" i="6"/>
  <c r="H20" i="6"/>
  <c r="G20" i="6"/>
  <c r="K20" i="6" s="1"/>
  <c r="W19" i="6"/>
  <c r="T19" i="6"/>
  <c r="S19" i="6" s="1"/>
  <c r="N19" i="6"/>
  <c r="M19" i="6"/>
  <c r="L19" i="6"/>
  <c r="H19" i="6"/>
  <c r="G19" i="6"/>
  <c r="T18" i="6"/>
  <c r="R18" i="6"/>
  <c r="O18" i="6"/>
  <c r="L18" i="6"/>
  <c r="F18" i="6"/>
  <c r="E18" i="6"/>
  <c r="D18" i="6"/>
  <c r="C18" i="6"/>
  <c r="U17" i="6"/>
  <c r="S17" i="6" s="1"/>
  <c r="V17" i="6" s="1"/>
  <c r="T17" i="6"/>
  <c r="O17" i="6"/>
  <c r="N17" i="6"/>
  <c r="I17" i="6"/>
  <c r="G17" i="6" s="1"/>
  <c r="K17" i="6" s="1"/>
  <c r="H17" i="6"/>
  <c r="W16" i="6"/>
  <c r="V16" i="6"/>
  <c r="T16" i="6"/>
  <c r="S16" i="6"/>
  <c r="P16" i="6"/>
  <c r="N16" i="6"/>
  <c r="M16" i="6" s="1"/>
  <c r="H16" i="6"/>
  <c r="G16" i="6" s="1"/>
  <c r="T15" i="6"/>
  <c r="P15" i="6"/>
  <c r="O15" i="6"/>
  <c r="N15" i="6"/>
  <c r="M15" i="6"/>
  <c r="Q15" i="6" s="1"/>
  <c r="I15" i="6"/>
  <c r="H15" i="6"/>
  <c r="G15" i="6" s="1"/>
  <c r="T14" i="6"/>
  <c r="S14" i="6"/>
  <c r="Q14" i="6"/>
  <c r="N14" i="6"/>
  <c r="M14" i="6"/>
  <c r="P14" i="6" s="1"/>
  <c r="H14" i="6"/>
  <c r="G14" i="6" s="1"/>
  <c r="J14" i="6" s="1"/>
  <c r="T13" i="6"/>
  <c r="S13" i="6"/>
  <c r="V13" i="6" s="1"/>
  <c r="N13" i="6"/>
  <c r="M13" i="6" s="1"/>
  <c r="H13" i="6"/>
  <c r="G13" i="6"/>
  <c r="J13" i="6" s="1"/>
  <c r="T12" i="6"/>
  <c r="N12" i="6"/>
  <c r="M12" i="6" s="1"/>
  <c r="H12" i="6"/>
  <c r="G12" i="6"/>
  <c r="W11" i="6"/>
  <c r="U11" i="6"/>
  <c r="T11" i="6"/>
  <c r="S11" i="6"/>
  <c r="V11" i="6" s="1"/>
  <c r="P11" i="6"/>
  <c r="O11" i="6"/>
  <c r="M11" i="6"/>
  <c r="Q11" i="6" s="1"/>
  <c r="I11" i="6"/>
  <c r="H11" i="6"/>
  <c r="U10" i="6"/>
  <c r="U8" i="6" s="1"/>
  <c r="T10" i="6"/>
  <c r="Q10" i="6"/>
  <c r="P10" i="6"/>
  <c r="O10" i="6"/>
  <c r="M10" i="6"/>
  <c r="J10" i="6"/>
  <c r="I10" i="6"/>
  <c r="H10" i="6"/>
  <c r="G10" i="6"/>
  <c r="K10" i="6" s="1"/>
  <c r="W9" i="6"/>
  <c r="T9" i="6"/>
  <c r="S9" i="6"/>
  <c r="V9" i="6" s="1"/>
  <c r="O9" i="6"/>
  <c r="M9" i="6" s="1"/>
  <c r="I9" i="6"/>
  <c r="H9" i="6"/>
  <c r="G9" i="6" s="1"/>
  <c r="R8" i="6"/>
  <c r="L8" i="6"/>
  <c r="F8" i="6"/>
  <c r="F118" i="6" s="1"/>
  <c r="E8" i="6"/>
  <c r="D8" i="6"/>
  <c r="C8" i="6"/>
  <c r="C118" i="6" s="1"/>
  <c r="X38" i="4"/>
  <c r="T38" i="4"/>
  <c r="P38" i="4"/>
  <c r="L38" i="4"/>
  <c r="K38" i="4"/>
  <c r="K37" i="4" s="1"/>
  <c r="J38" i="4"/>
  <c r="I38" i="4"/>
  <c r="D38" i="4"/>
  <c r="AA37" i="4"/>
  <c r="Z37" i="4"/>
  <c r="Y37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J37" i="4"/>
  <c r="I37" i="4"/>
  <c r="G37" i="4"/>
  <c r="F37" i="4"/>
  <c r="E37" i="4"/>
  <c r="D37" i="4" s="1"/>
  <c r="AA36" i="4"/>
  <c r="Z36" i="4"/>
  <c r="Z35" i="4" s="1"/>
  <c r="Y36" i="4"/>
  <c r="Y35" i="4" s="1"/>
  <c r="W36" i="4"/>
  <c r="V36" i="4"/>
  <c r="V35" i="4" s="1"/>
  <c r="U36" i="4"/>
  <c r="U35" i="4" s="1"/>
  <c r="P36" i="4"/>
  <c r="L36" i="4"/>
  <c r="K36" i="4"/>
  <c r="J36" i="4"/>
  <c r="I36" i="4"/>
  <c r="D36" i="4"/>
  <c r="D35" i="4" s="1"/>
  <c r="AA35" i="4"/>
  <c r="W35" i="4"/>
  <c r="S35" i="4"/>
  <c r="R35" i="4"/>
  <c r="Q35" i="4"/>
  <c r="P35" i="4"/>
  <c r="O35" i="4"/>
  <c r="N35" i="4"/>
  <c r="M35" i="4"/>
  <c r="L35" i="4"/>
  <c r="K35" i="4"/>
  <c r="I35" i="4"/>
  <c r="G35" i="4"/>
  <c r="F35" i="4"/>
  <c r="E35" i="4"/>
  <c r="AA34" i="4"/>
  <c r="AA33" i="4" s="1"/>
  <c r="Z34" i="4"/>
  <c r="Y34" i="4"/>
  <c r="Y33" i="4" s="1"/>
  <c r="W34" i="4"/>
  <c r="T34" i="4" s="1"/>
  <c r="T33" i="4" s="1"/>
  <c r="V34" i="4"/>
  <c r="U34" i="4"/>
  <c r="U33" i="4" s="1"/>
  <c r="P34" i="4"/>
  <c r="P33" i="4" s="1"/>
  <c r="L34" i="4"/>
  <c r="K34" i="4"/>
  <c r="J34" i="4"/>
  <c r="J33" i="4" s="1"/>
  <c r="I34" i="4"/>
  <c r="D34" i="4"/>
  <c r="Z33" i="4"/>
  <c r="W33" i="4"/>
  <c r="V33" i="4"/>
  <c r="S33" i="4"/>
  <c r="R33" i="4"/>
  <c r="Q33" i="4"/>
  <c r="O33" i="4"/>
  <c r="N33" i="4"/>
  <c r="M33" i="4"/>
  <c r="L33" i="4"/>
  <c r="K33" i="4"/>
  <c r="G33" i="4"/>
  <c r="F33" i="4"/>
  <c r="D33" i="4" s="1"/>
  <c r="E33" i="4"/>
  <c r="Z32" i="4"/>
  <c r="Z31" i="4" s="1"/>
  <c r="Y32" i="4"/>
  <c r="V32" i="4"/>
  <c r="V31" i="4" s="1"/>
  <c r="U32" i="4"/>
  <c r="U31" i="4" s="1"/>
  <c r="P32" i="4"/>
  <c r="L32" i="4"/>
  <c r="K32" i="4"/>
  <c r="J32" i="4"/>
  <c r="I32" i="4"/>
  <c r="D32" i="4"/>
  <c r="AA31" i="4"/>
  <c r="W31" i="4"/>
  <c r="S31" i="4"/>
  <c r="R31" i="4"/>
  <c r="Q31" i="4"/>
  <c r="P31" i="4"/>
  <c r="O31" i="4"/>
  <c r="N31" i="4"/>
  <c r="M31" i="4"/>
  <c r="L31" i="4"/>
  <c r="K31" i="4"/>
  <c r="I31" i="4"/>
  <c r="G31" i="4"/>
  <c r="D31" i="4" s="1"/>
  <c r="F31" i="4"/>
  <c r="E31" i="4"/>
  <c r="AA30" i="4"/>
  <c r="AA28" i="4" s="1"/>
  <c r="Z30" i="4"/>
  <c r="Y30" i="4"/>
  <c r="W30" i="4"/>
  <c r="W28" i="4" s="1"/>
  <c r="V30" i="4"/>
  <c r="U30" i="4"/>
  <c r="P30" i="4"/>
  <c r="L30" i="4"/>
  <c r="K30" i="4"/>
  <c r="K28" i="4" s="1"/>
  <c r="J30" i="4"/>
  <c r="J28" i="4" s="1"/>
  <c r="I30" i="4"/>
  <c r="H30" i="4" s="1"/>
  <c r="H28" i="4" s="1"/>
  <c r="D30" i="4"/>
  <c r="Z29" i="4"/>
  <c r="Z28" i="4" s="1"/>
  <c r="X29" i="4"/>
  <c r="V29" i="4"/>
  <c r="T29" i="4"/>
  <c r="P29" i="4"/>
  <c r="L29" i="4"/>
  <c r="Y28" i="4"/>
  <c r="V28" i="4"/>
  <c r="U28" i="4"/>
  <c r="S28" i="4"/>
  <c r="R28" i="4"/>
  <c r="Q28" i="4"/>
  <c r="P28" i="4"/>
  <c r="O28" i="4"/>
  <c r="N28" i="4"/>
  <c r="M28" i="4"/>
  <c r="L28" i="4"/>
  <c r="I28" i="4"/>
  <c r="G28" i="4"/>
  <c r="F28" i="4"/>
  <c r="E28" i="4"/>
  <c r="D28" i="4" s="1"/>
  <c r="AA27" i="4"/>
  <c r="Z27" i="4"/>
  <c r="Z26" i="4" s="1"/>
  <c r="Y27" i="4"/>
  <c r="Y26" i="4" s="1"/>
  <c r="W27" i="4"/>
  <c r="V27" i="4"/>
  <c r="V26" i="4" s="1"/>
  <c r="U27" i="4"/>
  <c r="U26" i="4" s="1"/>
  <c r="P27" i="4"/>
  <c r="L27" i="4"/>
  <c r="K27" i="4"/>
  <c r="J27" i="4"/>
  <c r="I27" i="4"/>
  <c r="D27" i="4"/>
  <c r="AA26" i="4"/>
  <c r="W26" i="4"/>
  <c r="S26" i="4"/>
  <c r="R26" i="4"/>
  <c r="Q26" i="4"/>
  <c r="P26" i="4"/>
  <c r="O26" i="4"/>
  <c r="O39" i="4" s="1"/>
  <c r="N26" i="4"/>
  <c r="M26" i="4"/>
  <c r="L26" i="4"/>
  <c r="K26" i="4"/>
  <c r="I26" i="4"/>
  <c r="G26" i="4"/>
  <c r="D26" i="4" s="1"/>
  <c r="F26" i="4"/>
  <c r="E26" i="4"/>
  <c r="AA25" i="4"/>
  <c r="X25" i="4" s="1"/>
  <c r="Z25" i="4"/>
  <c r="Y25" i="4"/>
  <c r="W25" i="4"/>
  <c r="T25" i="4" s="1"/>
  <c r="V25" i="4"/>
  <c r="U25" i="4"/>
  <c r="P25" i="4"/>
  <c r="L25" i="4"/>
  <c r="K25" i="4"/>
  <c r="J25" i="4"/>
  <c r="I25" i="4"/>
  <c r="H25" i="4" s="1"/>
  <c r="D25" i="4"/>
  <c r="AA24" i="4"/>
  <c r="Z24" i="4"/>
  <c r="X24" i="4" s="1"/>
  <c r="Y24" i="4"/>
  <c r="W24" i="4"/>
  <c r="V24" i="4"/>
  <c r="U24" i="4"/>
  <c r="P24" i="4"/>
  <c r="L24" i="4"/>
  <c r="L19" i="4" s="1"/>
  <c r="J24" i="4"/>
  <c r="I24" i="4"/>
  <c r="H24" i="4"/>
  <c r="D24" i="4"/>
  <c r="AA23" i="4"/>
  <c r="Z23" i="4"/>
  <c r="Y23" i="4"/>
  <c r="X23" i="4"/>
  <c r="W23" i="4"/>
  <c r="V23" i="4"/>
  <c r="U23" i="4"/>
  <c r="T23" i="4"/>
  <c r="P23" i="4"/>
  <c r="L23" i="4"/>
  <c r="K23" i="4"/>
  <c r="J23" i="4"/>
  <c r="H23" i="4" s="1"/>
  <c r="I23" i="4"/>
  <c r="D23" i="4"/>
  <c r="AA22" i="4"/>
  <c r="X22" i="4" s="1"/>
  <c r="Z22" i="4"/>
  <c r="Y22" i="4"/>
  <c r="W22" i="4"/>
  <c r="T22" i="4" s="1"/>
  <c r="V22" i="4"/>
  <c r="U22" i="4"/>
  <c r="P22" i="4"/>
  <c r="L22" i="4"/>
  <c r="K22" i="4"/>
  <c r="J22" i="4"/>
  <c r="I22" i="4"/>
  <c r="H22" i="4" s="1"/>
  <c r="D22" i="4"/>
  <c r="Z21" i="4"/>
  <c r="Y21" i="4"/>
  <c r="X21" i="4" s="1"/>
  <c r="V21" i="4"/>
  <c r="U21" i="4"/>
  <c r="T21" i="4" s="1"/>
  <c r="P21" i="4"/>
  <c r="L21" i="4"/>
  <c r="K21" i="4"/>
  <c r="J21" i="4"/>
  <c r="I21" i="4"/>
  <c r="D21" i="4"/>
  <c r="AA20" i="4"/>
  <c r="AA19" i="4" s="1"/>
  <c r="Z20" i="4"/>
  <c r="Y20" i="4"/>
  <c r="W20" i="4"/>
  <c r="T20" i="4" s="1"/>
  <c r="V20" i="4"/>
  <c r="U20" i="4"/>
  <c r="P20" i="4"/>
  <c r="P19" i="4" s="1"/>
  <c r="L20" i="4"/>
  <c r="K20" i="4"/>
  <c r="J20" i="4"/>
  <c r="J19" i="4" s="1"/>
  <c r="I20" i="4"/>
  <c r="D20" i="4"/>
  <c r="Z19" i="4"/>
  <c r="W19" i="4"/>
  <c r="V19" i="4"/>
  <c r="S19" i="4"/>
  <c r="R19" i="4"/>
  <c r="Q19" i="4"/>
  <c r="O19" i="4"/>
  <c r="N19" i="4"/>
  <c r="M19" i="4"/>
  <c r="K19" i="4"/>
  <c r="G19" i="4"/>
  <c r="F19" i="4"/>
  <c r="D19" i="4" s="1"/>
  <c r="E19" i="4"/>
  <c r="AA18" i="4"/>
  <c r="AA17" i="4" s="1"/>
  <c r="Z18" i="4"/>
  <c r="X18" i="4" s="1"/>
  <c r="X17" i="4" s="1"/>
  <c r="Y18" i="4"/>
  <c r="W18" i="4"/>
  <c r="W17" i="4" s="1"/>
  <c r="V18" i="4"/>
  <c r="U18" i="4"/>
  <c r="P18" i="4"/>
  <c r="P17" i="4" s="1"/>
  <c r="L18" i="4"/>
  <c r="L17" i="4" s="1"/>
  <c r="K18" i="4"/>
  <c r="J18" i="4"/>
  <c r="I18" i="4"/>
  <c r="I17" i="4" s="1"/>
  <c r="H18" i="4"/>
  <c r="H17" i="4" s="1"/>
  <c r="D18" i="4"/>
  <c r="Z17" i="4"/>
  <c r="Y17" i="4"/>
  <c r="V17" i="4"/>
  <c r="U17" i="4"/>
  <c r="S17" i="4"/>
  <c r="R17" i="4"/>
  <c r="Q17" i="4"/>
  <c r="O17" i="4"/>
  <c r="N17" i="4"/>
  <c r="M17" i="4"/>
  <c r="K17" i="4"/>
  <c r="J17" i="4"/>
  <c r="G17" i="4"/>
  <c r="F17" i="4"/>
  <c r="E17" i="4"/>
  <c r="AA16" i="4"/>
  <c r="Z16" i="4"/>
  <c r="Y16" i="4"/>
  <c r="X16" i="4" s="1"/>
  <c r="W16" i="4"/>
  <c r="V16" i="4"/>
  <c r="U16" i="4"/>
  <c r="T16" i="4" s="1"/>
  <c r="P16" i="4"/>
  <c r="L16" i="4"/>
  <c r="K16" i="4"/>
  <c r="H16" i="4" s="1"/>
  <c r="J16" i="4"/>
  <c r="I16" i="4"/>
  <c r="D16" i="4"/>
  <c r="AA15" i="4"/>
  <c r="Z15" i="4"/>
  <c r="Y15" i="4"/>
  <c r="X15" i="4"/>
  <c r="W15" i="4"/>
  <c r="V15" i="4"/>
  <c r="U15" i="4"/>
  <c r="T15" i="4"/>
  <c r="P15" i="4"/>
  <c r="L15" i="4"/>
  <c r="K15" i="4"/>
  <c r="J15" i="4"/>
  <c r="H15" i="4" s="1"/>
  <c r="I15" i="4"/>
  <c r="D15" i="4"/>
  <c r="AA14" i="4"/>
  <c r="Z14" i="4"/>
  <c r="Y14" i="4"/>
  <c r="X14" i="4"/>
  <c r="W14" i="4"/>
  <c r="V14" i="4"/>
  <c r="U14" i="4"/>
  <c r="T14" i="4"/>
  <c r="P14" i="4"/>
  <c r="L14" i="4"/>
  <c r="K14" i="4"/>
  <c r="J14" i="4"/>
  <c r="I14" i="4"/>
  <c r="D14" i="4"/>
  <c r="AA13" i="4"/>
  <c r="Z13" i="4"/>
  <c r="X13" i="4" s="1"/>
  <c r="Y13" i="4"/>
  <c r="W13" i="4"/>
  <c r="V13" i="4"/>
  <c r="T13" i="4" s="1"/>
  <c r="U13" i="4"/>
  <c r="P13" i="4"/>
  <c r="L13" i="4"/>
  <c r="J13" i="4"/>
  <c r="I13" i="4"/>
  <c r="H13" i="4"/>
  <c r="D13" i="4"/>
  <c r="AA12" i="4"/>
  <c r="Z12" i="4"/>
  <c r="Y12" i="4"/>
  <c r="X12" i="4"/>
  <c r="W12" i="4"/>
  <c r="V12" i="4"/>
  <c r="V9" i="4" s="1"/>
  <c r="V39" i="4" s="1"/>
  <c r="U12" i="4"/>
  <c r="U9" i="4" s="1"/>
  <c r="T12" i="4"/>
  <c r="P12" i="4"/>
  <c r="L12" i="4"/>
  <c r="K12" i="4"/>
  <c r="J12" i="4"/>
  <c r="H12" i="4" s="1"/>
  <c r="I12" i="4"/>
  <c r="D12" i="4"/>
  <c r="AA11" i="4"/>
  <c r="AA9" i="4" s="1"/>
  <c r="Z11" i="4"/>
  <c r="Y11" i="4"/>
  <c r="W11" i="4"/>
  <c r="T11" i="4" s="1"/>
  <c r="V11" i="4"/>
  <c r="U11" i="4"/>
  <c r="P11" i="4"/>
  <c r="P9" i="4" s="1"/>
  <c r="P39" i="4" s="1"/>
  <c r="L11" i="4"/>
  <c r="K11" i="4"/>
  <c r="K9" i="4" s="1"/>
  <c r="K39" i="4" s="1"/>
  <c r="J11" i="4"/>
  <c r="J9" i="4" s="1"/>
  <c r="I11" i="4"/>
  <c r="H11" i="4" s="1"/>
  <c r="D11" i="4"/>
  <c r="X10" i="4"/>
  <c r="T10" i="4"/>
  <c r="P10" i="4"/>
  <c r="L10" i="4"/>
  <c r="I10" i="4"/>
  <c r="H10" i="4"/>
  <c r="D10" i="4"/>
  <c r="W9" i="4"/>
  <c r="W39" i="4" s="1"/>
  <c r="S9" i="4"/>
  <c r="S39" i="4" s="1"/>
  <c r="R9" i="4"/>
  <c r="R39" i="4" s="1"/>
  <c r="Q9" i="4"/>
  <c r="O9" i="4"/>
  <c r="N9" i="4"/>
  <c r="N39" i="4" s="1"/>
  <c r="M9" i="4"/>
  <c r="M39" i="4" s="1"/>
  <c r="G9" i="4"/>
  <c r="G39" i="4" s="1"/>
  <c r="F9" i="4"/>
  <c r="E9" i="4"/>
  <c r="P12" i="6" l="1"/>
  <c r="Q12" i="6"/>
  <c r="P13" i="6"/>
  <c r="Q13" i="6"/>
  <c r="Q33" i="6"/>
  <c r="P33" i="6"/>
  <c r="J9" i="6"/>
  <c r="K9" i="6"/>
  <c r="G8" i="6"/>
  <c r="J15" i="6"/>
  <c r="K15" i="6"/>
  <c r="Q93" i="6"/>
  <c r="P93" i="6"/>
  <c r="P9" i="6"/>
  <c r="M8" i="6"/>
  <c r="Q9" i="6"/>
  <c r="F130" i="6"/>
  <c r="K8" i="6"/>
  <c r="S15" i="6"/>
  <c r="K22" i="6"/>
  <c r="W23" i="6"/>
  <c r="V23" i="6"/>
  <c r="M26" i="6"/>
  <c r="Q27" i="6"/>
  <c r="Q28" i="6"/>
  <c r="W32" i="6"/>
  <c r="V32" i="6"/>
  <c r="Q34" i="6"/>
  <c r="P34" i="6"/>
  <c r="P39" i="6"/>
  <c r="Q39" i="6"/>
  <c r="V48" i="6"/>
  <c r="W48" i="6"/>
  <c r="M57" i="6"/>
  <c r="N58" i="6"/>
  <c r="Q62" i="6"/>
  <c r="K63" i="6"/>
  <c r="J63" i="6"/>
  <c r="W70" i="6"/>
  <c r="V70" i="6"/>
  <c r="Q76" i="6"/>
  <c r="P76" i="6"/>
  <c r="K78" i="6"/>
  <c r="J78" i="6"/>
  <c r="M83" i="6"/>
  <c r="O82" i="6"/>
  <c r="J86" i="6"/>
  <c r="K86" i="6"/>
  <c r="K94" i="6"/>
  <c r="J94" i="6"/>
  <c r="S97" i="6"/>
  <c r="T96" i="6"/>
  <c r="Q101" i="6"/>
  <c r="P101" i="6"/>
  <c r="W102" i="6"/>
  <c r="V102" i="6"/>
  <c r="P116" i="6"/>
  <c r="Q116" i="6"/>
  <c r="L118" i="6"/>
  <c r="R118" i="6"/>
  <c r="I8" i="6"/>
  <c r="J12" i="6"/>
  <c r="K12" i="6"/>
  <c r="K14" i="6"/>
  <c r="V14" i="6"/>
  <c r="W14" i="6"/>
  <c r="W17" i="6"/>
  <c r="M18" i="6"/>
  <c r="Q19" i="6"/>
  <c r="J21" i="6"/>
  <c r="K21" i="6"/>
  <c r="J25" i="6"/>
  <c r="K25" i="6"/>
  <c r="W29" i="6"/>
  <c r="V29" i="6"/>
  <c r="M31" i="6"/>
  <c r="N26" i="6"/>
  <c r="K32" i="6"/>
  <c r="J32" i="6"/>
  <c r="W33" i="6"/>
  <c r="V33" i="6"/>
  <c r="W34" i="6"/>
  <c r="V34" i="6"/>
  <c r="M38" i="6"/>
  <c r="N36" i="6"/>
  <c r="P43" i="6"/>
  <c r="Q43" i="6"/>
  <c r="K46" i="6"/>
  <c r="J46" i="6"/>
  <c r="J47" i="6"/>
  <c r="P48" i="6"/>
  <c r="Q48" i="6"/>
  <c r="M47" i="6"/>
  <c r="X47" i="6" s="1"/>
  <c r="Q58" i="6"/>
  <c r="P64" i="6"/>
  <c r="M63" i="6"/>
  <c r="Q64" i="6"/>
  <c r="J66" i="6"/>
  <c r="K66" i="6"/>
  <c r="S68" i="6"/>
  <c r="T67" i="6"/>
  <c r="W74" i="6"/>
  <c r="V74" i="6"/>
  <c r="S73" i="6"/>
  <c r="Y73" i="6" s="1"/>
  <c r="W76" i="6"/>
  <c r="V76" i="6"/>
  <c r="W98" i="6"/>
  <c r="V98" i="6"/>
  <c r="P99" i="6"/>
  <c r="K100" i="6"/>
  <c r="J100" i="6"/>
  <c r="W101" i="6"/>
  <c r="V101" i="6"/>
  <c r="V104" i="6"/>
  <c r="Y104" i="6"/>
  <c r="W104" i="6"/>
  <c r="V109" i="6"/>
  <c r="W109" i="6"/>
  <c r="S114" i="6"/>
  <c r="T111" i="6"/>
  <c r="Q117" i="6"/>
  <c r="P117" i="6"/>
  <c r="X117" i="6"/>
  <c r="D118" i="6"/>
  <c r="H8" i="6"/>
  <c r="N8" i="6"/>
  <c r="S10" i="6"/>
  <c r="S12" i="6"/>
  <c r="K13" i="6"/>
  <c r="K16" i="6"/>
  <c r="J16" i="6"/>
  <c r="K19" i="6"/>
  <c r="J19" i="6"/>
  <c r="N18" i="6"/>
  <c r="Q20" i="6"/>
  <c r="P20" i="6"/>
  <c r="Q23" i="6"/>
  <c r="P23" i="6"/>
  <c r="W25" i="6"/>
  <c r="J26" i="6"/>
  <c r="P26" i="6"/>
  <c r="V30" i="6"/>
  <c r="K33" i="6"/>
  <c r="J33" i="6"/>
  <c r="K34" i="6"/>
  <c r="J34" i="6"/>
  <c r="M41" i="6"/>
  <c r="J43" i="6"/>
  <c r="K43" i="6"/>
  <c r="Q46" i="6"/>
  <c r="P46" i="6"/>
  <c r="Q47" i="6"/>
  <c r="W52" i="6"/>
  <c r="V52" i="6"/>
  <c r="K58" i="6"/>
  <c r="J58" i="6"/>
  <c r="M58" i="6"/>
  <c r="X58" i="6" s="1"/>
  <c r="G68" i="6"/>
  <c r="I67" i="6"/>
  <c r="G67" i="6" s="1"/>
  <c r="W69" i="6"/>
  <c r="V69" i="6"/>
  <c r="W73" i="6"/>
  <c r="T73" i="6"/>
  <c r="K79" i="6"/>
  <c r="J79" i="6"/>
  <c r="I82" i="6"/>
  <c r="W86" i="6"/>
  <c r="V86" i="6"/>
  <c r="S90" i="6"/>
  <c r="T87" i="6"/>
  <c r="Q92" i="6"/>
  <c r="M91" i="6"/>
  <c r="P92" i="6"/>
  <c r="J95" i="6"/>
  <c r="K95" i="6"/>
  <c r="N96" i="6"/>
  <c r="P109" i="6"/>
  <c r="Q109" i="6"/>
  <c r="O8" i="6"/>
  <c r="T8" i="6"/>
  <c r="W13" i="6"/>
  <c r="J17" i="6"/>
  <c r="H18" i="6"/>
  <c r="G18" i="6" s="1"/>
  <c r="K18" i="6" s="1"/>
  <c r="V19" i="6"/>
  <c r="S20" i="6"/>
  <c r="P22" i="6"/>
  <c r="J24" i="6"/>
  <c r="W24" i="6"/>
  <c r="V24" i="6"/>
  <c r="Q25" i="6"/>
  <c r="K27" i="6"/>
  <c r="P27" i="6"/>
  <c r="K28" i="6"/>
  <c r="V28" i="6"/>
  <c r="J30" i="6"/>
  <c r="Q32" i="6"/>
  <c r="P32" i="6"/>
  <c r="W35" i="6"/>
  <c r="Y35" i="6"/>
  <c r="Q37" i="6"/>
  <c r="K38" i="6"/>
  <c r="J38" i="6"/>
  <c r="W45" i="6"/>
  <c r="V45" i="6"/>
  <c r="S41" i="6"/>
  <c r="P47" i="6"/>
  <c r="J49" i="6"/>
  <c r="K49" i="6"/>
  <c r="K59" i="6"/>
  <c r="J59" i="6"/>
  <c r="S58" i="6"/>
  <c r="W59" i="6"/>
  <c r="V59" i="6"/>
  <c r="Q60" i="6"/>
  <c r="P60" i="6"/>
  <c r="K61" i="6"/>
  <c r="J61" i="6"/>
  <c r="V73" i="6"/>
  <c r="J75" i="6"/>
  <c r="K75" i="6"/>
  <c r="W77" i="6"/>
  <c r="V77" i="6"/>
  <c r="Q79" i="6"/>
  <c r="P79" i="6"/>
  <c r="U106" i="6"/>
  <c r="S107" i="6"/>
  <c r="S27" i="6"/>
  <c r="T26" i="6"/>
  <c r="S31" i="6"/>
  <c r="Q35" i="6"/>
  <c r="H36" i="6"/>
  <c r="G36" i="6" s="1"/>
  <c r="W38" i="6"/>
  <c r="Q40" i="6"/>
  <c r="P40" i="6"/>
  <c r="W42" i="6"/>
  <c r="V42" i="6"/>
  <c r="V43" i="6"/>
  <c r="S54" i="6"/>
  <c r="T53" i="6"/>
  <c r="K56" i="6"/>
  <c r="J56" i="6"/>
  <c r="Q59" i="6"/>
  <c r="P59" i="6"/>
  <c r="K60" i="6"/>
  <c r="J60" i="6"/>
  <c r="W60" i="6"/>
  <c r="V60" i="6"/>
  <c r="Q61" i="6"/>
  <c r="P61" i="6"/>
  <c r="Q65" i="6"/>
  <c r="P65" i="6"/>
  <c r="M68" i="6"/>
  <c r="N67" i="6"/>
  <c r="W71" i="6"/>
  <c r="V71" i="6"/>
  <c r="N73" i="6"/>
  <c r="G82" i="6"/>
  <c r="K82" i="6" s="1"/>
  <c r="U82" i="6"/>
  <c r="K93" i="6"/>
  <c r="J93" i="6"/>
  <c r="Q97" i="6"/>
  <c r="M96" i="6"/>
  <c r="P97" i="6"/>
  <c r="K99" i="6"/>
  <c r="J99" i="6"/>
  <c r="K101" i="6"/>
  <c r="J101" i="6"/>
  <c r="K103" i="6"/>
  <c r="J103" i="6"/>
  <c r="Q103" i="6"/>
  <c r="V103" i="6"/>
  <c r="S108" i="6"/>
  <c r="T106" i="6"/>
  <c r="V117" i="6"/>
  <c r="Y117" i="6"/>
  <c r="W117" i="6"/>
  <c r="G11" i="6"/>
  <c r="M17" i="6"/>
  <c r="P19" i="6"/>
  <c r="S22" i="6"/>
  <c r="P30" i="6"/>
  <c r="U36" i="6"/>
  <c r="U118" i="6" s="1"/>
  <c r="S37" i="6"/>
  <c r="J39" i="6"/>
  <c r="K39" i="6"/>
  <c r="S39" i="6"/>
  <c r="T36" i="6"/>
  <c r="S40" i="6"/>
  <c r="G48" i="6"/>
  <c r="H47" i="6"/>
  <c r="G47" i="6" s="1"/>
  <c r="K47" i="6" s="1"/>
  <c r="Q52" i="6"/>
  <c r="P52" i="6"/>
  <c r="G53" i="6"/>
  <c r="K53" i="6" s="1"/>
  <c r="J64" i="6"/>
  <c r="K64" i="6"/>
  <c r="T63" i="6"/>
  <c r="S64" i="6"/>
  <c r="S65" i="6"/>
  <c r="Q66" i="6"/>
  <c r="P66" i="6"/>
  <c r="G74" i="6"/>
  <c r="H73" i="6"/>
  <c r="K84" i="6"/>
  <c r="J84" i="6"/>
  <c r="N91" i="6"/>
  <c r="Q98" i="6"/>
  <c r="P98" i="6"/>
  <c r="Q104" i="6"/>
  <c r="P104" i="6"/>
  <c r="X104" i="6"/>
  <c r="M115" i="6"/>
  <c r="N111" i="6"/>
  <c r="J41" i="6"/>
  <c r="J53" i="6"/>
  <c r="M54" i="6"/>
  <c r="N53" i="6"/>
  <c r="W58" i="6"/>
  <c r="P63" i="6"/>
  <c r="H63" i="6"/>
  <c r="G63" i="6" s="1"/>
  <c r="P72" i="6"/>
  <c r="Q74" i="6"/>
  <c r="M73" i="6"/>
  <c r="X73" i="6" s="1"/>
  <c r="Q91" i="6"/>
  <c r="K92" i="6"/>
  <c r="J92" i="6"/>
  <c r="W94" i="6"/>
  <c r="V94" i="6"/>
  <c r="G98" i="6"/>
  <c r="H96" i="6"/>
  <c r="M106" i="6"/>
  <c r="X106" i="6" s="1"/>
  <c r="Q107" i="6"/>
  <c r="K108" i="6"/>
  <c r="J108" i="6"/>
  <c r="K109" i="6"/>
  <c r="J109" i="6"/>
  <c r="W115" i="6"/>
  <c r="V115" i="6"/>
  <c r="G42" i="6"/>
  <c r="N41" i="6"/>
  <c r="S51" i="6"/>
  <c r="G83" i="6"/>
  <c r="S85" i="6"/>
  <c r="S87" i="6"/>
  <c r="Y87" i="6" s="1"/>
  <c r="G91" i="6"/>
  <c r="H91" i="6"/>
  <c r="W92" i="6"/>
  <c r="S91" i="6"/>
  <c r="Y91" i="6" s="1"/>
  <c r="W95" i="6"/>
  <c r="V100" i="6"/>
  <c r="W105" i="6"/>
  <c r="Y105" i="6"/>
  <c r="J112" i="6"/>
  <c r="M114" i="6"/>
  <c r="G115" i="6"/>
  <c r="H111" i="6"/>
  <c r="G116" i="6"/>
  <c r="Q96" i="6"/>
  <c r="G104" i="6"/>
  <c r="X105" i="6"/>
  <c r="Q105" i="6"/>
  <c r="Q106" i="6"/>
  <c r="H106" i="6"/>
  <c r="G106" i="6" s="1"/>
  <c r="G117" i="6"/>
  <c r="P106" i="6"/>
  <c r="AA39" i="4"/>
  <c r="H20" i="4"/>
  <c r="H19" i="4" s="1"/>
  <c r="I19" i="4"/>
  <c r="I9" i="4"/>
  <c r="I39" i="4" s="1"/>
  <c r="Y9" i="4"/>
  <c r="T9" i="4"/>
  <c r="X11" i="4"/>
  <c r="X9" i="4" s="1"/>
  <c r="X39" i="4" s="1"/>
  <c r="X20" i="4"/>
  <c r="X19" i="4" s="1"/>
  <c r="H34" i="4"/>
  <c r="H33" i="4" s="1"/>
  <c r="I33" i="4"/>
  <c r="D9" i="4"/>
  <c r="D39" i="4" s="1"/>
  <c r="E39" i="4"/>
  <c r="Z9" i="4"/>
  <c r="Z39" i="4" s="1"/>
  <c r="U19" i="4"/>
  <c r="U39" i="4" s="1"/>
  <c r="Y19" i="4"/>
  <c r="T30" i="4"/>
  <c r="T28" i="4" s="1"/>
  <c r="X30" i="4"/>
  <c r="X28" i="4" s="1"/>
  <c r="X32" i="4"/>
  <c r="X31" i="4" s="1"/>
  <c r="Y31" i="4"/>
  <c r="X34" i="4"/>
  <c r="X33" i="4" s="1"/>
  <c r="F39" i="4"/>
  <c r="Q39" i="4"/>
  <c r="L9" i="4"/>
  <c r="L39" i="4" s="1"/>
  <c r="H14" i="4"/>
  <c r="H9" i="4" s="1"/>
  <c r="H39" i="4" s="1"/>
  <c r="D17" i="4"/>
  <c r="T18" i="4"/>
  <c r="T17" i="4" s="1"/>
  <c r="H21" i="4"/>
  <c r="T24" i="4"/>
  <c r="T19" i="4" s="1"/>
  <c r="J26" i="4"/>
  <c r="H26" i="4" s="1"/>
  <c r="H27" i="4"/>
  <c r="T27" i="4"/>
  <c r="T26" i="4" s="1"/>
  <c r="X27" i="4"/>
  <c r="X26" i="4" s="1"/>
  <c r="J31" i="4"/>
  <c r="H32" i="4"/>
  <c r="H31" i="4" s="1"/>
  <c r="T32" i="4"/>
  <c r="T31" i="4" s="1"/>
  <c r="J35" i="4"/>
  <c r="J39" i="4" s="1"/>
  <c r="H36" i="4"/>
  <c r="H35" i="4" s="1"/>
  <c r="T36" i="4"/>
  <c r="T35" i="4" s="1"/>
  <c r="X36" i="4"/>
  <c r="X35" i="4" s="1"/>
  <c r="H38" i="4"/>
  <c r="H37" i="4" s="1"/>
  <c r="F36" i="5"/>
  <c r="G27" i="5"/>
  <c r="I27" i="5"/>
  <c r="C85" i="5"/>
  <c r="D85" i="5"/>
  <c r="C36" i="5"/>
  <c r="D36" i="5"/>
  <c r="E40" i="9"/>
  <c r="K67" i="6" l="1"/>
  <c r="J67" i="6"/>
  <c r="K116" i="6"/>
  <c r="J116" i="6"/>
  <c r="W91" i="6"/>
  <c r="W65" i="6"/>
  <c r="V65" i="6"/>
  <c r="W40" i="6"/>
  <c r="V40" i="6"/>
  <c r="W22" i="6"/>
  <c r="V22" i="6"/>
  <c r="W27" i="6"/>
  <c r="S26" i="6"/>
  <c r="V27" i="6"/>
  <c r="V87" i="6"/>
  <c r="V12" i="6"/>
  <c r="W12" i="6"/>
  <c r="N118" i="6"/>
  <c r="N130" i="6" s="1"/>
  <c r="X18" i="6"/>
  <c r="P18" i="6"/>
  <c r="W97" i="6"/>
  <c r="S96" i="6"/>
  <c r="V97" i="6"/>
  <c r="P73" i="6"/>
  <c r="Q57" i="6"/>
  <c r="P57" i="6"/>
  <c r="M118" i="6"/>
  <c r="M130" i="6" s="1"/>
  <c r="X8" i="6"/>
  <c r="P8" i="6"/>
  <c r="K117" i="6"/>
  <c r="J117" i="6"/>
  <c r="G111" i="6"/>
  <c r="W85" i="6"/>
  <c r="V85" i="6"/>
  <c r="S82" i="6"/>
  <c r="K42" i="6"/>
  <c r="J42" i="6"/>
  <c r="K98" i="6"/>
  <c r="J98" i="6"/>
  <c r="G96" i="6"/>
  <c r="Q115" i="6"/>
  <c r="P115" i="6"/>
  <c r="K74" i="6"/>
  <c r="G73" i="6"/>
  <c r="J74" i="6"/>
  <c r="V64" i="6"/>
  <c r="S63" i="6"/>
  <c r="W64" i="6"/>
  <c r="W37" i="6"/>
  <c r="S36" i="6"/>
  <c r="V37" i="6"/>
  <c r="W108" i="6"/>
  <c r="V108" i="6"/>
  <c r="Q18" i="6"/>
  <c r="W87" i="6"/>
  <c r="Y41" i="6"/>
  <c r="W41" i="6"/>
  <c r="T118" i="6"/>
  <c r="K68" i="6"/>
  <c r="J68" i="6"/>
  <c r="P41" i="6"/>
  <c r="X41" i="6"/>
  <c r="H118" i="6"/>
  <c r="H130" i="6" s="1"/>
  <c r="V68" i="6"/>
  <c r="S67" i="6"/>
  <c r="W68" i="6"/>
  <c r="R120" i="6"/>
  <c r="R130" i="6"/>
  <c r="Q73" i="6"/>
  <c r="X26" i="6"/>
  <c r="Q26" i="6"/>
  <c r="V15" i="6"/>
  <c r="W15" i="6"/>
  <c r="K106" i="6"/>
  <c r="J106" i="6"/>
  <c r="K104" i="6"/>
  <c r="J104" i="6"/>
  <c r="K115" i="6"/>
  <c r="J115" i="6"/>
  <c r="K83" i="6"/>
  <c r="J83" i="6"/>
  <c r="K48" i="6"/>
  <c r="J48" i="6"/>
  <c r="V39" i="6"/>
  <c r="W39" i="6"/>
  <c r="Q17" i="6"/>
  <c r="P17" i="6"/>
  <c r="W31" i="6"/>
  <c r="V31" i="6"/>
  <c r="W107" i="6"/>
  <c r="S106" i="6"/>
  <c r="V107" i="6"/>
  <c r="W20" i="6"/>
  <c r="V20" i="6"/>
  <c r="O118" i="6"/>
  <c r="V90" i="6"/>
  <c r="W90" i="6"/>
  <c r="J18" i="6"/>
  <c r="V91" i="6"/>
  <c r="X63" i="6"/>
  <c r="Q63" i="6"/>
  <c r="P38" i="6"/>
  <c r="Q38" i="6"/>
  <c r="L130" i="6"/>
  <c r="L120" i="6"/>
  <c r="Q118" i="6"/>
  <c r="P83" i="6"/>
  <c r="Q83" i="6"/>
  <c r="M82" i="6"/>
  <c r="G118" i="6"/>
  <c r="Q114" i="6"/>
  <c r="P114" i="6"/>
  <c r="M111" i="6"/>
  <c r="K91" i="6"/>
  <c r="J91" i="6"/>
  <c r="W51" i="6"/>
  <c r="V51" i="6"/>
  <c r="J82" i="6"/>
  <c r="P54" i="6"/>
  <c r="M53" i="6"/>
  <c r="Q54" i="6"/>
  <c r="Q41" i="6"/>
  <c r="K11" i="6"/>
  <c r="J11" i="6"/>
  <c r="P96" i="6"/>
  <c r="X96" i="6"/>
  <c r="Q68" i="6"/>
  <c r="P68" i="6"/>
  <c r="M67" i="6"/>
  <c r="P58" i="6"/>
  <c r="W54" i="6"/>
  <c r="V54" i="6"/>
  <c r="S53" i="6"/>
  <c r="V41" i="6"/>
  <c r="K36" i="6"/>
  <c r="J36" i="6"/>
  <c r="Y58" i="6"/>
  <c r="V58" i="6"/>
  <c r="M36" i="6"/>
  <c r="S18" i="6"/>
  <c r="J8" i="6"/>
  <c r="X91" i="6"/>
  <c r="P91" i="6"/>
  <c r="W10" i="6"/>
  <c r="S8" i="6"/>
  <c r="V10" i="6"/>
  <c r="W114" i="6"/>
  <c r="S111" i="6"/>
  <c r="V114" i="6"/>
  <c r="Q31" i="6"/>
  <c r="P31" i="6"/>
  <c r="I118" i="6"/>
  <c r="Q8" i="6"/>
  <c r="S47" i="6"/>
  <c r="Y39" i="4"/>
  <c r="T39" i="4"/>
  <c r="M26" i="7"/>
  <c r="L26" i="7"/>
  <c r="K26" i="7"/>
  <c r="J26" i="7"/>
  <c r="I26" i="7"/>
  <c r="H26" i="7"/>
  <c r="G26" i="7"/>
  <c r="F26" i="7"/>
  <c r="D26" i="7"/>
  <c r="C26" i="7"/>
  <c r="B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E26" i="7" s="1"/>
  <c r="W47" i="6" l="1"/>
  <c r="Y47" i="6"/>
  <c r="V47" i="6"/>
  <c r="G130" i="6"/>
  <c r="K118" i="6"/>
  <c r="V63" i="6"/>
  <c r="Y63" i="6"/>
  <c r="W63" i="6"/>
  <c r="Y82" i="6"/>
  <c r="W82" i="6"/>
  <c r="V82" i="6"/>
  <c r="S118" i="6"/>
  <c r="Y8" i="6"/>
  <c r="V8" i="6"/>
  <c r="W8" i="6"/>
  <c r="Y53" i="6"/>
  <c r="W53" i="6"/>
  <c r="V53" i="6"/>
  <c r="X67" i="6"/>
  <c r="Q67" i="6"/>
  <c r="P67" i="6"/>
  <c r="X111" i="6"/>
  <c r="Q111" i="6"/>
  <c r="P111" i="6"/>
  <c r="P82" i="6"/>
  <c r="X82" i="6"/>
  <c r="Q82" i="6"/>
  <c r="T130" i="6"/>
  <c r="T119" i="6"/>
  <c r="Y36" i="6"/>
  <c r="V36" i="6"/>
  <c r="W36" i="6"/>
  <c r="Y96" i="6"/>
  <c r="W96" i="6"/>
  <c r="V96" i="6"/>
  <c r="Y111" i="6"/>
  <c r="W111" i="6"/>
  <c r="V111" i="6"/>
  <c r="Y18" i="6"/>
  <c r="V18" i="6"/>
  <c r="W18" i="6"/>
  <c r="P53" i="6"/>
  <c r="X53" i="6"/>
  <c r="X118" i="6" s="1"/>
  <c r="X120" i="6" s="1"/>
  <c r="Q53" i="6"/>
  <c r="Y67" i="6"/>
  <c r="W67" i="6"/>
  <c r="V67" i="6"/>
  <c r="Y26" i="6"/>
  <c r="V26" i="6"/>
  <c r="W26" i="6"/>
  <c r="X36" i="6"/>
  <c r="P36" i="6"/>
  <c r="P118" i="6" s="1"/>
  <c r="Q36" i="6"/>
  <c r="Y106" i="6"/>
  <c r="W106" i="6"/>
  <c r="V106" i="6"/>
  <c r="K73" i="6"/>
  <c r="J73" i="6"/>
  <c r="J118" i="6" s="1"/>
  <c r="J96" i="6"/>
  <c r="K96" i="6"/>
  <c r="K111" i="6"/>
  <c r="J111" i="6"/>
  <c r="R38" i="1"/>
  <c r="V44" i="1"/>
  <c r="U44" i="1"/>
  <c r="T44" i="1"/>
  <c r="M44" i="1"/>
  <c r="V39" i="1"/>
  <c r="U39" i="1"/>
  <c r="T39" i="1"/>
  <c r="T40" i="1" s="1"/>
  <c r="Q39" i="1"/>
  <c r="P39" i="1"/>
  <c r="N39" i="1"/>
  <c r="M39" i="1"/>
  <c r="I39" i="1"/>
  <c r="H39" i="1"/>
  <c r="F39" i="1"/>
  <c r="E39" i="1"/>
  <c r="D39" i="1"/>
  <c r="C39" i="1"/>
  <c r="V38" i="1"/>
  <c r="U38" i="1"/>
  <c r="U40" i="1" s="1"/>
  <c r="T38" i="1"/>
  <c r="S38" i="1"/>
  <c r="Q38" i="1"/>
  <c r="P38" i="1"/>
  <c r="P40" i="1" s="1"/>
  <c r="O38" i="1"/>
  <c r="N38" i="1"/>
  <c r="N40" i="1" s="1"/>
  <c r="M38" i="1"/>
  <c r="L38" i="1"/>
  <c r="K38" i="1"/>
  <c r="J38" i="1"/>
  <c r="I38" i="1"/>
  <c r="H38" i="1"/>
  <c r="G38" i="1"/>
  <c r="F38" i="1"/>
  <c r="F40" i="1" s="1"/>
  <c r="E38" i="1"/>
  <c r="D38" i="1"/>
  <c r="C38" i="1"/>
  <c r="C40" i="1" s="1"/>
  <c r="B38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V32" i="1"/>
  <c r="V34" i="1" s="1"/>
  <c r="U32" i="1"/>
  <c r="U34" i="1" s="1"/>
  <c r="T32" i="1"/>
  <c r="T34" i="1" s="1"/>
  <c r="S32" i="1"/>
  <c r="R32" i="1"/>
  <c r="R34" i="1" s="1"/>
  <c r="Q32" i="1"/>
  <c r="Q34" i="1" s="1"/>
  <c r="P32" i="1"/>
  <c r="P34" i="1" s="1"/>
  <c r="O32" i="1"/>
  <c r="N32" i="1"/>
  <c r="N34" i="1" s="1"/>
  <c r="M32" i="1"/>
  <c r="M34" i="1" s="1"/>
  <c r="L32" i="1"/>
  <c r="L34" i="1" s="1"/>
  <c r="K32" i="1"/>
  <c r="J32" i="1"/>
  <c r="J34" i="1" s="1"/>
  <c r="I32" i="1"/>
  <c r="H32" i="1"/>
  <c r="G32" i="1"/>
  <c r="E32" i="1"/>
  <c r="D32" i="1"/>
  <c r="B32" i="1"/>
  <c r="B34" i="1" s="1"/>
  <c r="G34" i="1" l="1"/>
  <c r="K34" i="1"/>
  <c r="O34" i="1"/>
  <c r="S34" i="1"/>
  <c r="M40" i="1"/>
  <c r="Q40" i="1"/>
  <c r="V40" i="1"/>
  <c r="S130" i="6"/>
  <c r="W118" i="6"/>
  <c r="T120" i="6"/>
  <c r="T121" i="6" s="1"/>
  <c r="T122" i="6" s="1"/>
  <c r="T123" i="6" s="1"/>
  <c r="T124" i="6" s="1"/>
  <c r="T125" i="6" s="1"/>
  <c r="T126" i="6" s="1"/>
  <c r="V118" i="6"/>
  <c r="Y118" i="6"/>
  <c r="Y120" i="6" s="1"/>
  <c r="I40" i="9"/>
  <c r="D40" i="9"/>
  <c r="C40" i="9"/>
  <c r="J40" i="9" l="1"/>
  <c r="H40" i="9"/>
  <c r="F40" i="9"/>
  <c r="J39" i="9"/>
  <c r="H39" i="9"/>
  <c r="K39" i="9"/>
  <c r="L39" i="9" s="1"/>
  <c r="J38" i="9"/>
  <c r="H38" i="9"/>
  <c r="F38" i="9"/>
  <c r="J37" i="9"/>
  <c r="H37" i="9"/>
  <c r="F37" i="9"/>
  <c r="J36" i="9"/>
  <c r="H36" i="9"/>
  <c r="F36" i="9"/>
  <c r="J35" i="9"/>
  <c r="H35" i="9"/>
  <c r="F35" i="9"/>
  <c r="J34" i="9"/>
  <c r="H34" i="9"/>
  <c r="F34" i="9"/>
  <c r="K34" i="9"/>
  <c r="L34" i="9" s="1"/>
  <c r="J33" i="9"/>
  <c r="H33" i="9"/>
  <c r="F33" i="9"/>
  <c r="J32" i="9"/>
  <c r="H32" i="9"/>
  <c r="F32" i="9"/>
  <c r="J31" i="9"/>
  <c r="H31" i="9"/>
  <c r="F31" i="9"/>
  <c r="J30" i="9"/>
  <c r="H30" i="9"/>
  <c r="F30" i="9"/>
  <c r="J29" i="9"/>
  <c r="H29" i="9"/>
  <c r="F29" i="9"/>
  <c r="J28" i="9"/>
  <c r="H28" i="9"/>
  <c r="F28" i="9"/>
  <c r="J27" i="9"/>
  <c r="H27" i="9"/>
  <c r="F27" i="9"/>
  <c r="J26" i="9"/>
  <c r="H26" i="9"/>
  <c r="F26" i="9"/>
  <c r="J25" i="9"/>
  <c r="H25" i="9"/>
  <c r="F25" i="9"/>
  <c r="J24" i="9"/>
  <c r="H24" i="9"/>
  <c r="F24" i="9"/>
  <c r="K24" i="9"/>
  <c r="L24" i="9" s="1"/>
  <c r="J23" i="9"/>
  <c r="H23" i="9"/>
  <c r="F23" i="9"/>
  <c r="J22" i="9"/>
  <c r="H22" i="9"/>
  <c r="F22" i="9"/>
  <c r="J21" i="9"/>
  <c r="H21" i="9"/>
  <c r="F21" i="9"/>
  <c r="K21" i="9"/>
  <c r="L21" i="9" s="1"/>
  <c r="J20" i="9"/>
  <c r="H20" i="9"/>
  <c r="F20" i="9"/>
  <c r="K19" i="9"/>
  <c r="L19" i="9" s="1"/>
  <c r="J19" i="9"/>
  <c r="H19" i="9"/>
  <c r="F19" i="9"/>
  <c r="J18" i="9"/>
  <c r="H18" i="9"/>
  <c r="F18" i="9"/>
  <c r="J17" i="9"/>
  <c r="H17" i="9"/>
  <c r="F17" i="9"/>
  <c r="J16" i="9"/>
  <c r="H16" i="9"/>
  <c r="F16" i="9"/>
  <c r="J15" i="9"/>
  <c r="H15" i="9"/>
  <c r="F15" i="9"/>
  <c r="J14" i="9"/>
  <c r="H14" i="9"/>
  <c r="F14" i="9"/>
  <c r="J13" i="9"/>
  <c r="H13" i="9"/>
  <c r="F13" i="9"/>
  <c r="J12" i="9"/>
  <c r="H12" i="9"/>
  <c r="F12" i="9"/>
  <c r="J11" i="9"/>
  <c r="H11" i="9"/>
  <c r="F11" i="9"/>
  <c r="J10" i="9"/>
  <c r="H10" i="9"/>
  <c r="F10" i="9"/>
  <c r="J9" i="9"/>
  <c r="H9" i="9"/>
  <c r="K9" i="9"/>
  <c r="L9" i="9" l="1"/>
  <c r="F9" i="9"/>
  <c r="F39" i="9"/>
  <c r="I10" i="5" l="1"/>
  <c r="I11" i="5"/>
  <c r="I12" i="5"/>
  <c r="I13" i="5"/>
  <c r="I14" i="5"/>
  <c r="I15" i="5"/>
  <c r="I16" i="5"/>
  <c r="I17" i="5"/>
  <c r="I18" i="5"/>
  <c r="I20" i="5"/>
  <c r="I22" i="5"/>
  <c r="I23" i="5"/>
  <c r="I25" i="5"/>
  <c r="I26" i="5"/>
  <c r="I28" i="5"/>
  <c r="I29" i="5"/>
  <c r="I30" i="5"/>
  <c r="I31" i="5"/>
  <c r="I32" i="5"/>
  <c r="I33" i="5"/>
  <c r="I34" i="5"/>
  <c r="I35" i="5"/>
  <c r="I37" i="5"/>
  <c r="I38" i="5"/>
  <c r="I39" i="5"/>
  <c r="I40" i="5"/>
  <c r="I42" i="5"/>
  <c r="I44" i="5"/>
  <c r="I46" i="5"/>
  <c r="I47" i="5"/>
  <c r="I48" i="5"/>
  <c r="I49" i="5"/>
  <c r="I50" i="5"/>
  <c r="I51" i="5"/>
  <c r="I52" i="5"/>
  <c r="I53" i="5"/>
  <c r="I55" i="5"/>
  <c r="I56" i="5"/>
  <c r="I58" i="5"/>
  <c r="I59" i="5"/>
  <c r="I60" i="5"/>
  <c r="I61" i="5"/>
  <c r="I62" i="5"/>
  <c r="I63" i="5"/>
  <c r="I64" i="5"/>
  <c r="I66" i="5"/>
  <c r="I67" i="5"/>
  <c r="I68" i="5"/>
  <c r="I69" i="5"/>
  <c r="I70" i="5"/>
  <c r="I72" i="5"/>
  <c r="I73" i="5"/>
  <c r="I74" i="5"/>
  <c r="I76" i="5"/>
  <c r="I79" i="5"/>
  <c r="I81" i="5"/>
  <c r="I82" i="5"/>
  <c r="I83" i="5"/>
  <c r="I84" i="5"/>
  <c r="G10" i="5"/>
  <c r="G11" i="5"/>
  <c r="G12" i="5"/>
  <c r="G13" i="5"/>
  <c r="G14" i="5"/>
  <c r="G15" i="5"/>
  <c r="G16" i="5"/>
  <c r="G17" i="5"/>
  <c r="G18" i="5"/>
  <c r="G20" i="5"/>
  <c r="G22" i="5"/>
  <c r="G23" i="5"/>
  <c r="G25" i="5"/>
  <c r="G26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2" i="5"/>
  <c r="G44" i="5"/>
  <c r="G46" i="5"/>
  <c r="G47" i="5"/>
  <c r="G48" i="5"/>
  <c r="G49" i="5"/>
  <c r="G50" i="5"/>
  <c r="G51" i="5"/>
  <c r="G52" i="5"/>
  <c r="G53" i="5"/>
  <c r="G55" i="5"/>
  <c r="G56" i="5"/>
  <c r="G58" i="5"/>
  <c r="G59" i="5"/>
  <c r="G60" i="5"/>
  <c r="G61" i="5"/>
  <c r="G62" i="5"/>
  <c r="G63" i="5"/>
  <c r="G64" i="5"/>
  <c r="G66" i="5"/>
  <c r="G67" i="5"/>
  <c r="G68" i="5"/>
  <c r="G69" i="5"/>
  <c r="G70" i="5"/>
  <c r="G72" i="5"/>
  <c r="G73" i="5"/>
  <c r="G74" i="5"/>
  <c r="G76" i="5"/>
  <c r="G79" i="5"/>
  <c r="G81" i="5"/>
  <c r="G82" i="5"/>
  <c r="G83" i="5"/>
  <c r="E10" i="5"/>
  <c r="E11" i="5"/>
  <c r="E12" i="5"/>
  <c r="E13" i="5"/>
  <c r="E14" i="5"/>
  <c r="E15" i="5"/>
  <c r="E16" i="5"/>
  <c r="E17" i="5"/>
  <c r="E18" i="5"/>
  <c r="E20" i="5"/>
  <c r="E22" i="5"/>
  <c r="E23" i="5"/>
  <c r="E25" i="5"/>
  <c r="E26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2" i="5"/>
  <c r="E43" i="5"/>
  <c r="E44" i="5"/>
  <c r="E46" i="5"/>
  <c r="E47" i="5"/>
  <c r="E48" i="5"/>
  <c r="E49" i="5"/>
  <c r="E50" i="5"/>
  <c r="E51" i="5"/>
  <c r="E52" i="5"/>
  <c r="E53" i="5"/>
  <c r="E55" i="5"/>
  <c r="E56" i="5"/>
  <c r="E58" i="5"/>
  <c r="E59" i="5"/>
  <c r="E60" i="5"/>
  <c r="E61" i="5"/>
  <c r="E62" i="5"/>
  <c r="E63" i="5"/>
  <c r="E64" i="5"/>
  <c r="E66" i="5"/>
  <c r="E67" i="5"/>
  <c r="E68" i="5"/>
  <c r="E69" i="5"/>
  <c r="E70" i="5"/>
  <c r="E72" i="5"/>
  <c r="E73" i="5"/>
  <c r="E74" i="5"/>
  <c r="E76" i="5"/>
  <c r="E79" i="5"/>
  <c r="E81" i="5"/>
  <c r="E82" i="5"/>
  <c r="E83" i="5"/>
  <c r="B80" i="5" l="1"/>
  <c r="H80" i="5"/>
  <c r="F80" i="5"/>
  <c r="C80" i="5"/>
  <c r="D80" i="5"/>
  <c r="H78" i="5"/>
  <c r="F78" i="5"/>
  <c r="C78" i="5"/>
  <c r="D78" i="5"/>
  <c r="B78" i="5"/>
  <c r="H75" i="5"/>
  <c r="F75" i="5"/>
  <c r="C75" i="5"/>
  <c r="D75" i="5"/>
  <c r="B75" i="5"/>
  <c r="H71" i="5"/>
  <c r="F71" i="5"/>
  <c r="I71" i="5" s="1"/>
  <c r="C71" i="5"/>
  <c r="D71" i="5"/>
  <c r="B71" i="5"/>
  <c r="H65" i="5"/>
  <c r="F65" i="5"/>
  <c r="C65" i="5"/>
  <c r="D65" i="5"/>
  <c r="B65" i="5"/>
  <c r="H57" i="5"/>
  <c r="F57" i="5"/>
  <c r="C57" i="5"/>
  <c r="D57" i="5"/>
  <c r="B57" i="5"/>
  <c r="H54" i="5"/>
  <c r="F54" i="5"/>
  <c r="I54" i="5" s="1"/>
  <c r="C54" i="5"/>
  <c r="D54" i="5"/>
  <c r="B54" i="5"/>
  <c r="H45" i="5"/>
  <c r="F45" i="5"/>
  <c r="C45" i="5"/>
  <c r="D45" i="5"/>
  <c r="B45" i="5"/>
  <c r="H41" i="5"/>
  <c r="F41" i="5"/>
  <c r="C41" i="5"/>
  <c r="D41" i="5"/>
  <c r="B41" i="5"/>
  <c r="H36" i="5"/>
  <c r="I36" i="5" s="1"/>
  <c r="B36" i="5"/>
  <c r="H24" i="5"/>
  <c r="F24" i="5"/>
  <c r="C24" i="5"/>
  <c r="D24" i="5"/>
  <c r="B24" i="5"/>
  <c r="H21" i="5"/>
  <c r="F21" i="5"/>
  <c r="C21" i="5"/>
  <c r="D21" i="5"/>
  <c r="B21" i="5"/>
  <c r="H19" i="5"/>
  <c r="F19" i="5"/>
  <c r="I19" i="5" s="1"/>
  <c r="C19" i="5"/>
  <c r="D19" i="5"/>
  <c r="B19" i="5"/>
  <c r="B9" i="5"/>
  <c r="C9" i="5"/>
  <c r="H9" i="5"/>
  <c r="F9" i="5"/>
  <c r="D9" i="5"/>
  <c r="E9" i="5" s="1"/>
  <c r="I80" i="5" l="1"/>
  <c r="I78" i="5"/>
  <c r="I75" i="5"/>
  <c r="I65" i="5"/>
  <c r="I57" i="5"/>
  <c r="I45" i="5"/>
  <c r="I41" i="5"/>
  <c r="H85" i="5"/>
  <c r="I24" i="5"/>
  <c r="I21" i="5"/>
  <c r="I9" i="5"/>
  <c r="F85" i="5"/>
  <c r="G80" i="5"/>
  <c r="E80" i="5"/>
  <c r="G78" i="5"/>
  <c r="E78" i="5"/>
  <c r="G75" i="5"/>
  <c r="E75" i="5"/>
  <c r="G71" i="5"/>
  <c r="E71" i="5"/>
  <c r="E65" i="5"/>
  <c r="G65" i="5"/>
  <c r="G57" i="5"/>
  <c r="E57" i="5"/>
  <c r="G54" i="5"/>
  <c r="E54" i="5"/>
  <c r="G45" i="5"/>
  <c r="E45" i="5"/>
  <c r="E41" i="5"/>
  <c r="G41" i="5"/>
  <c r="G24" i="5"/>
  <c r="E24" i="5"/>
  <c r="G21" i="5"/>
  <c r="E21" i="5"/>
  <c r="E19" i="5"/>
  <c r="G19" i="5"/>
  <c r="B89" i="5"/>
  <c r="G9" i="5"/>
  <c r="B87" i="5"/>
  <c r="B85" i="5"/>
  <c r="F89" i="5" l="1"/>
  <c r="J84" i="5"/>
  <c r="J80" i="5"/>
  <c r="K80" i="5" s="1"/>
  <c r="J78" i="5"/>
  <c r="K78" i="5" s="1"/>
  <c r="J71" i="5"/>
  <c r="K71" i="5" s="1"/>
  <c r="K65" i="5"/>
  <c r="L65" i="5" s="1"/>
  <c r="J45" i="5"/>
  <c r="K45" i="5" s="1"/>
  <c r="J41" i="5"/>
  <c r="K41" i="5" s="1"/>
  <c r="J21" i="5"/>
  <c r="K21" i="5" s="1"/>
  <c r="J19" i="5"/>
  <c r="K19" i="5" s="1"/>
  <c r="D89" i="5" l="1"/>
  <c r="G89" i="5" s="1"/>
  <c r="J24" i="5"/>
  <c r="K24" i="5" s="1"/>
  <c r="H87" i="5"/>
  <c r="J75" i="5"/>
  <c r="K75" i="5" s="1"/>
  <c r="J9" i="5"/>
  <c r="J57" i="5"/>
  <c r="K57" i="5" s="1"/>
  <c r="C87" i="5"/>
  <c r="F87" i="5"/>
  <c r="F90" i="5"/>
  <c r="H89" i="5"/>
  <c r="D87" i="5"/>
  <c r="J54" i="5"/>
  <c r="K54" i="5" s="1"/>
  <c r="B90" i="5"/>
  <c r="J36" i="5"/>
  <c r="K36" i="5" s="1"/>
  <c r="C89" i="5"/>
  <c r="B88" i="5"/>
  <c r="E89" i="5" l="1"/>
  <c r="E87" i="5"/>
  <c r="I85" i="5"/>
  <c r="C90" i="5"/>
  <c r="C88" i="5"/>
  <c r="E85" i="5"/>
  <c r="H90" i="5"/>
  <c r="I89" i="5"/>
  <c r="J85" i="5"/>
  <c r="K9" i="5"/>
  <c r="K85" i="5" s="1"/>
  <c r="I87" i="5"/>
  <c r="H88" i="5"/>
  <c r="F88" i="5"/>
  <c r="G87" i="5"/>
  <c r="D88" i="5"/>
  <c r="G85" i="5"/>
  <c r="D90" i="5"/>
  <c r="J88" i="5" l="1"/>
  <c r="J89" i="5" s="1"/>
  <c r="J86" i="5"/>
  <c r="J87" i="5" s="1"/>
</calcChain>
</file>

<file path=xl/comments1.xml><?xml version="1.0" encoding="utf-8"?>
<comments xmlns="http://schemas.openxmlformats.org/spreadsheetml/2006/main">
  <authors>
    <author>Ирина Пономарёва</author>
    <author>Сметанина Людмила Витальевна</author>
  </authors>
  <commentList>
    <comment ref="C32" authorId="0" shapeId="0">
      <text>
        <r>
          <rPr>
            <b/>
            <sz val="9"/>
            <color indexed="81"/>
            <rFont val="Tahoma"/>
            <family val="2"/>
            <charset val="204"/>
          </rPr>
          <t>Ирина Пономарёва:</t>
        </r>
        <r>
          <rPr>
            <sz val="9"/>
            <color indexed="81"/>
            <rFont val="Tahoma"/>
            <family val="2"/>
            <charset val="204"/>
          </rPr>
          <t xml:space="preserve">
368*1000/1153,7=318,9 тыс.руб</t>
        </r>
      </text>
    </comment>
    <comment ref="C33" authorId="0" shapeId="0">
      <text>
        <r>
          <rPr>
            <b/>
            <sz val="9"/>
            <color indexed="81"/>
            <rFont val="Tahoma"/>
            <family val="2"/>
            <charset val="204"/>
          </rPr>
          <t>Ирина Пономарёва:</t>
        </r>
        <r>
          <rPr>
            <sz val="9"/>
            <color indexed="81"/>
            <rFont val="Tahoma"/>
            <family val="2"/>
            <charset val="204"/>
          </rPr>
          <t xml:space="preserve">
67588,4*1000/143500=470,999</t>
        </r>
      </text>
    </comment>
    <comment ref="F33" authorId="0" shapeId="0">
      <text>
        <r>
          <rPr>
            <b/>
            <sz val="9"/>
            <color indexed="81"/>
            <rFont val="Tahoma"/>
            <family val="2"/>
            <charset val="204"/>
          </rPr>
          <t>Ирина Пономарёва: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34" authorId="0" shapeId="0">
      <text>
        <r>
          <rPr>
            <b/>
            <sz val="9"/>
            <color indexed="81"/>
            <rFont val="Tahoma"/>
            <family val="2"/>
            <charset val="204"/>
          </rPr>
          <t>Ирина Пономарёва:</t>
        </r>
        <r>
          <rPr>
            <sz val="9"/>
            <color indexed="81"/>
            <rFont val="Tahoma"/>
            <family val="2"/>
            <charset val="204"/>
          </rPr>
          <t xml:space="preserve">
318,958/470,999=0,677</t>
        </r>
      </text>
    </comment>
    <comment ref="U39" authorId="0" shapeId="0">
      <text>
        <r>
          <rPr>
            <b/>
            <sz val="9"/>
            <color indexed="81"/>
            <rFont val="Tahoma"/>
            <family val="2"/>
            <charset val="204"/>
          </rPr>
          <t>Ирина Пономарёва:</t>
        </r>
        <r>
          <rPr>
            <sz val="9"/>
            <color indexed="81"/>
            <rFont val="Tahoma"/>
            <family val="2"/>
            <charset val="204"/>
          </rPr>
          <t xml:space="preserve">
изменились данные по РФ (прислал Бачериков 22.10.13 в 15ч30мин</t>
        </r>
      </text>
    </comment>
    <comment ref="V39" authorId="0" shapeId="0">
      <text>
        <r>
          <rPr>
            <b/>
            <sz val="9"/>
            <color indexed="81"/>
            <rFont val="Tahoma"/>
            <family val="2"/>
            <charset val="204"/>
          </rPr>
          <t>Ирина Пономарёва:</t>
        </r>
        <r>
          <rPr>
            <sz val="9"/>
            <color indexed="81"/>
            <rFont val="Tahoma"/>
            <family val="2"/>
            <charset val="204"/>
          </rPr>
          <t xml:space="preserve">
изменились данные по РФ (прислал Бачериков 22.10.13 в 15ч30мин</t>
        </r>
      </text>
    </comment>
    <comment ref="M44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расчет суммы с учетом индексов
</t>
        </r>
      </text>
    </comment>
    <comment ref="T44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расчет суммы с учетом индексов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V1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расхождение по программе соловков</t>
        </r>
      </text>
    </comment>
    <comment ref="V12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отсутствует финансирование в программе обеспечение общественного порядка в 2018 и 2019</t>
        </r>
      </text>
    </comment>
  </commentList>
</comments>
</file>

<file path=xl/sharedStrings.xml><?xml version="1.0" encoding="utf-8"?>
<sst xmlns="http://schemas.openxmlformats.org/spreadsheetml/2006/main" count="697" uniqueCount="573">
  <si>
    <t>Наименование</t>
  </si>
  <si>
    <t>Архангельская область</t>
  </si>
  <si>
    <t>Российская Федерация</t>
  </si>
  <si>
    <t>Индекс потребительских цен (декабрь к декабрю) (в %)</t>
  </si>
  <si>
    <t>Инвестиции в основной капитал  (в % к предыдущему году)</t>
  </si>
  <si>
    <t>Оборот розничной торговли  (в % к предыдущему году)</t>
  </si>
  <si>
    <t>Реальные располагаемые доходы населения (в % к предыдущему году)</t>
  </si>
  <si>
    <t>Общая численность  населения (среднегодовая), тыс.чел.</t>
  </si>
  <si>
    <t>Численность населения  с денежными доходами ниже прожиточного минимума к общей численности населения (в %)</t>
  </si>
  <si>
    <t>ВВП (ВРП) на душу населения (тыс.руб.)</t>
  </si>
  <si>
    <t>Отношение ВРП на душу населения по Архангельской области к ВВП на душу населения</t>
  </si>
  <si>
    <t>Инфляция (ИПЦ) дек./дек. предыдущего года</t>
  </si>
  <si>
    <t>млн.руб.</t>
  </si>
  <si>
    <t>%</t>
  </si>
  <si>
    <t>отчет 2014 год</t>
  </si>
  <si>
    <t>оценка 2015 года</t>
  </si>
  <si>
    <t>прогноз 2016 год</t>
  </si>
  <si>
    <t>прогноз 2017 год</t>
  </si>
  <si>
    <t>прогноз 2018 год</t>
  </si>
  <si>
    <t>А</t>
  </si>
  <si>
    <t>ВРП и ВВП (млрд.руб.)</t>
  </si>
  <si>
    <t>Темпы роста ВРП Архангельской области и ВВП Российской Федерации (в % к предыдущему году)</t>
  </si>
  <si>
    <t>Номинальная начисленная среднемесячная заработная плата на одного работника, рублей</t>
  </si>
  <si>
    <t>Отношение среднемесячной заработной платы по Архангельской области к среднемесячной заработной плате по Российской Федерации</t>
  </si>
  <si>
    <t>прогноз 2019 год</t>
  </si>
  <si>
    <t>оценка 2016 год</t>
  </si>
  <si>
    <t>2019 год</t>
  </si>
  <si>
    <t>Раздел</t>
  </si>
  <si>
    <t>Под-раз-дел</t>
  </si>
  <si>
    <t>Всего</t>
  </si>
  <si>
    <t>в т.ч.</t>
  </si>
  <si>
    <t>выплаты персона-лу</t>
  </si>
  <si>
    <t>закупки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</si>
  <si>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</si>
  <si>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</si>
  <si>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</si>
  <si>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</si>
  <si>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</si>
  <si>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</si>
  <si>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</si>
  <si>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</si>
  <si>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</si>
  <si>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</si>
  <si>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</si>
  <si>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Общеэкономические вопросы</t>
  </si>
  <si>
    <t>Топливно-энергетический комплекс</t>
  </si>
  <si>
    <t>Сельское хозяйство и рыболовство</t>
  </si>
  <si>
    <t>Транспорт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</si>
  <si>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</si>
  <si>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</si>
  <si>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</si>
  <si>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</si>
  <si>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</si>
  <si>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Другие вопросы в области образования</t>
  </si>
  <si>
    <t>Культура, кинематография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</si>
  <si>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</si>
  <si>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</si>
  <si>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</si>
  <si>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Средства массовой информации</t>
  </si>
  <si>
    <t>Другие вопросы в области средств массовой информации</t>
  </si>
  <si>
    <t>ИТОГО</t>
  </si>
  <si>
    <t>прочие расходы</t>
  </si>
  <si>
    <t xml:space="preserve">Отчет 2015 года </t>
  </si>
  <si>
    <t>Оценка 2016 года</t>
  </si>
  <si>
    <t>Проект бюджета</t>
  </si>
  <si>
    <t>Физическая культура и спорт</t>
  </si>
  <si>
    <t>Условно утвержденные расходы</t>
  </si>
  <si>
    <t>Итого</t>
  </si>
  <si>
    <t>Из общей суммы расходов:</t>
  </si>
  <si>
    <t>- расходы на социальную сферу</t>
  </si>
  <si>
    <t>удельный вес в общей сумме расходов, %</t>
  </si>
  <si>
    <t>- расходы на национальную экономику и ЖКХ</t>
  </si>
  <si>
    <t>Проверка</t>
  </si>
  <si>
    <t>Целевая статья</t>
  </si>
  <si>
    <t>Отчет 2014 года</t>
  </si>
  <si>
    <t>Утверждено по программе на 2019 год (за счет средств областного бюджета)</t>
  </si>
  <si>
    <t>Недостаток (-), излишек (+) ассигнований на финансовое обеспечение мероприятий программ в 2019 году согласно Законопроекту</t>
  </si>
  <si>
    <t>Утверждено программой обл+федер. бюджет 2018 год</t>
  </si>
  <si>
    <t>Утверждено программой обл+федер. бюджет 2019 год</t>
  </si>
  <si>
    <t>сумма</t>
  </si>
  <si>
    <t>3=1-2</t>
  </si>
  <si>
    <t>4=1/2*100</t>
  </si>
  <si>
    <t>7=5-6</t>
  </si>
  <si>
    <t>8=5/6*100-100</t>
  </si>
  <si>
    <t>11=9-10</t>
  </si>
  <si>
    <t>12=9/10*100-100</t>
  </si>
  <si>
    <t>01 0 00 00000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</si>
  <si>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</si>
  <si>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01 1 00 00000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</si>
  <si>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</si>
  <si>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01 2 00 00000</t>
  </si>
  <si>
    <t>Подпрограмма "Охрана здоровья матери и ребенка"</t>
  </si>
  <si>
    <t>01 4 00 00000</t>
  </si>
  <si>
    <t>Подпрограмма "Развитие медицинской реабилитации и санаторно-курортного лечения, в том числе детей"</t>
  </si>
  <si>
    <t>01 5 00 00000</t>
  </si>
  <si>
    <t>Подпрограмма "Оказание паллиативной помощи, в том числе детям"</t>
  </si>
  <si>
    <t>01 6 00 00000</t>
  </si>
  <si>
    <t>Подпрограмма "Кадровое обеспечение системы здравоохранения"</t>
  </si>
  <si>
    <t>01 7 00 00000</t>
  </si>
  <si>
    <t>Подпрограмма "Совершенствование системы лекарственного обеспечения, в том числе в амбулаторных условиях"</t>
  </si>
  <si>
    <t>01 8 00 00000</t>
  </si>
  <si>
    <t>Подпрограмма "Совершенствование системы территориального планирования Архангельской области"</t>
  </si>
  <si>
    <t>01 Б 00 00000</t>
  </si>
  <si>
    <t>02 0 00 00000</t>
  </si>
  <si>
    <t>Подпрограмма "Развитие дошкольного, общего и дополнительного образования детей"</t>
  </si>
  <si>
    <t>02 1 00 00000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</si>
  <si>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</si>
  <si>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02 2 00 00000</t>
  </si>
  <si>
    <t>Подпрограмма "Развитие среднего профессионального образования"</t>
  </si>
  <si>
    <t>02 3 00 00000</t>
  </si>
  <si>
    <t>Подпрограмма "Совершенствование системы предоставления услуг в сфере образования"</t>
  </si>
  <si>
    <t>02 4 00 00000</t>
  </si>
  <si>
    <t>Подпрограмма "Развитие научного потенциала Архангельской области"</t>
  </si>
  <si>
    <t>02 5 00 00000</t>
  </si>
  <si>
    <t>Подпрограмма "Наследие М.В. Ломоносова в социально-экономическом и социокультурном развитии Архангельской области"</t>
  </si>
  <si>
    <t>02 6 00 00000</t>
  </si>
  <si>
    <t>Подпрограмма "Строительство и капитальный ремонт объектов инфраструктуры системы образования в Архангельской области"</t>
  </si>
  <si>
    <t>02 7 00 00000</t>
  </si>
  <si>
    <t>03 0 00 00000</t>
  </si>
  <si>
    <t>Подпрограмма "Организация работы по социальному обслуживанию граждан и социальной защите населения в Архангельской области"</t>
  </si>
  <si>
    <t>03 1 00 00000</t>
  </si>
  <si>
    <t>Подпрограмма "Меры социальной поддержки отдельным категориям граждан, проживающим на территории Архангельской области"</t>
  </si>
  <si>
    <t>03 2 00 00000</t>
  </si>
  <si>
    <t>Подпрограмма "Развитие системы отдыха и оздоровления детей"</t>
  </si>
  <si>
    <t>03 4 00 00000</t>
  </si>
  <si>
    <t>Подпрограмма "Семья и дети в Архангельской области"</t>
  </si>
  <si>
    <t>03 5 00 00000</t>
  </si>
  <si>
    <t>Подпрограмма "Повышение качества жизни граждан пожилого возраста и инвалидов в Архангельской области"</t>
  </si>
  <si>
    <t>03 6 00 00000</t>
  </si>
  <si>
    <t>Подпрограмма "Приоритетные социально значимые мероприятия в сфере социальной политики Архангельской области"</t>
  </si>
  <si>
    <t>03 7 00 00000</t>
  </si>
  <si>
    <t>Подпрограмма "Доступная среда"</t>
  </si>
  <si>
    <t>03 8 00 00000</t>
  </si>
  <si>
    <t>Подпрограмма "Право быть равным"</t>
  </si>
  <si>
    <t>03 9 00 00000</t>
  </si>
  <si>
    <t>04 0 00 00000</t>
  </si>
  <si>
    <t>05 0 00 00000</t>
  </si>
  <si>
    <t>Подпрограмма "Развитие агропромышленного комплекса Архангельской области на 2013 – 2020 годы"</t>
  </si>
  <si>
    <t>05 1 00 00000</t>
  </si>
  <si>
    <t>Подпрограмма "Развитие рыбохозяйственного комплекса Архангельской области"</t>
  </si>
  <si>
    <t>05 2 00 00000</t>
  </si>
  <si>
    <t>Подпрограмма "Создание условий для реализации государственной программы"</t>
  </si>
  <si>
    <t>05 3 00 00000</t>
  </si>
  <si>
    <t>Подпрограмма "Развитие мелиорации земель сельскохозяйственного назначения Архангельской области"</t>
  </si>
  <si>
    <t>05 4 00 00000</t>
  </si>
  <si>
    <t>06 0 00 00000</t>
  </si>
  <si>
    <t>Подпрограмма "Создание условий для обеспечения доступным и комфортным жильем жителей Архангельской области"</t>
  </si>
  <si>
    <t>06 1 00 00000</t>
  </si>
  <si>
    <t>Подпрограмма "Обеспечение жильем молодых семей"</t>
  </si>
  <si>
    <t>06 2 00 00000</t>
  </si>
  <si>
    <t>Подпрограмма "Развитие промышленности строительных материалов в Архангельской области"</t>
  </si>
  <si>
    <t>06 4 00 00000</t>
  </si>
  <si>
    <t>07 0 00 00000</t>
  </si>
  <si>
    <t>Подпрограмма "Активная политика занятости и социальная поддержка безработных граждан (2014 – 2020 годы)"</t>
  </si>
  <si>
    <t>07 1 00 00000</t>
  </si>
  <si>
    <t>Подпрограмма "Улучшение условий и охраны труда в Архангельской области (2014 – 2020 годы)"</t>
  </si>
  <si>
    <t>07 2 00 00000</t>
  </si>
  <si>
    <t>Подпрограмма "Повышение мобильности трудовых ресурсов (2015 – 2017 годы)"</t>
  </si>
  <si>
    <t>Подпрограмма "Оказание содействия добровольному переселению в Архангельскую область соотечественников, проживающих за рубежом (2016 – 2020 годы)"</t>
  </si>
  <si>
    <t>07 6 00 00000</t>
  </si>
  <si>
    <t>08 0 00 00000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</si>
  <si>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</si>
  <si>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08 1 00 00000</t>
  </si>
  <si>
    <t>Подпрограмма "Профилактика преступлений и иных правонарушений в Архангельской области"</t>
  </si>
  <si>
    <t>08 2 00 00000</t>
  </si>
  <si>
    <t>Подпрограмма "Профилактика экстремизма и терроризма в Архангельской области"</t>
  </si>
  <si>
    <t>09 0 00 00000</t>
  </si>
  <si>
    <t>Подпрограмма "Пожарная безопасность в Архангельской области"</t>
  </si>
  <si>
    <t>09 1 00 00000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</si>
  <si>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</si>
  <si>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09 2 00 00000</t>
  </si>
  <si>
    <t>Подпрограмма "Обеспечение реализации государственной программы в Архангельской области"</t>
  </si>
  <si>
    <t>09 3 00 00000</t>
  </si>
  <si>
    <t>Подпрограмма "Построение (развитие), внедрение и эксплуатация аппаратно-программного комплекса "Безопасный город" в Архангельской области"</t>
  </si>
  <si>
    <t>09 4 00 00000</t>
  </si>
  <si>
    <t>10 0 00 00000</t>
  </si>
  <si>
    <t>Подпрограмма "Охрана окружающей среды и обеспечение экологической безопасности Архангельской области"</t>
  </si>
  <si>
    <t>10 1 00 00000</t>
  </si>
  <si>
    <t>Подпрограмма "Воспроизводство и использование природных ресурсов"</t>
  </si>
  <si>
    <t>10 2 00 00000</t>
  </si>
  <si>
    <t>Подпрограмма "Развитие водохозяйственного комплекса Архангельской области"</t>
  </si>
  <si>
    <t>10 3 00 00000</t>
  </si>
  <si>
    <t>11 0 00 00000</t>
  </si>
  <si>
    <t>Подпрограмма "Спорт Беломорья (2014 – 2020 годы)"</t>
  </si>
  <si>
    <t>11 1 00 00000</t>
  </si>
  <si>
    <t>Подпрограмма "Молодежь Архангельской области (2014 – 2020 годы)"</t>
  </si>
  <si>
    <t>11 2 00 00000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</si>
  <si>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(2014 – 2020 годы)"</t>
  </si>
  <si>
    <t>11 3 00 00000</t>
  </si>
  <si>
    <t>Подпрограмма "Развитие внутреннего и въездного туризма в Архангельской области (2014 – 2020 годы)"</t>
  </si>
  <si>
    <t>11 5 00 00000</t>
  </si>
  <si>
    <t>12 0 00 00000</t>
  </si>
  <si>
    <t>Подпрограмма "Формирование благоприятной среды для развития инвестиционной деятельности"</t>
  </si>
  <si>
    <t>12 1 00 00000</t>
  </si>
  <si>
    <t>Подпрограмма "Развитие субъектов малого и среднего предпринимательства в Архангельской области"</t>
  </si>
  <si>
    <t>12 2 00 00000</t>
  </si>
  <si>
    <t>Подпрограмма "Совершенствование системы управления экономическим развитием Архангельской области"</t>
  </si>
  <si>
    <t>12 3 00 00000</t>
  </si>
  <si>
    <t>Подпрограмма "Совершенствование организации государственных закупок в Архангельской области"</t>
  </si>
  <si>
    <t>12 4 00 00000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</si>
  <si>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</si>
  <si>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>12 5 00 00000</t>
  </si>
  <si>
    <t>Подпрограмма "Развитие промышленности Архангельской области"</t>
  </si>
  <si>
    <t>12 6 00 00000</t>
  </si>
  <si>
    <t>14 0 00 00000</t>
  </si>
  <si>
    <t>15 0 00 00000</t>
  </si>
  <si>
    <t>Подпрограмма "Обеспечение использования лесов"</t>
  </si>
  <si>
    <t>15 1 00 00000</t>
  </si>
  <si>
    <t>Подпрограмма "Воспроизводство лесов"</t>
  </si>
  <si>
    <t>15 2 00 00000</t>
  </si>
  <si>
    <t>Подпрограмма "Охрана и защита лесов"</t>
  </si>
  <si>
    <t>15 3 00 00000</t>
  </si>
  <si>
    <t>Подпрограмма "Обеспечение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</si>
  <si>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15 4 00 00000</t>
  </si>
  <si>
    <t>17 0 00 00000</t>
  </si>
  <si>
    <t>Подпрограмма "Энергосбережение и повышение энергетической эффективности в Архангельской области"</t>
  </si>
  <si>
    <t>17 1 00 00000</t>
  </si>
  <si>
    <t>Подпрограмма "Формирование и реализация региональной политики в сфере энергетики и жилищно-коммунального хозяйства Архангельской области"</t>
  </si>
  <si>
    <t>17 3 00 00000</t>
  </si>
  <si>
    <t>18 0 00 00000</t>
  </si>
  <si>
    <t>Подпрограмма "Государственная поддержка социально ориентированных некоммерческих организаций"</t>
  </si>
  <si>
    <t>18 1 00 00000</t>
  </si>
  <si>
    <t>Подпрограмма "Развитие территориального общественного самоуправления в Архангельской области)"</t>
  </si>
  <si>
    <t>18 2 00 00000</t>
  </si>
  <si>
    <t>Подпрограмма "Обеспечение реализации государственной программы"</t>
  </si>
  <si>
    <t>18 3 00 00000</t>
  </si>
  <si>
    <t>Подпрограмма "Укрепление единства российской нации и этнокультурное развитие народов России, проживающих на территории Архангельской области"</t>
  </si>
  <si>
    <t>18 4 00 00000</t>
  </si>
  <si>
    <t>19 0 00 00000</t>
  </si>
  <si>
    <t>Подпрограмма "Проведение сбалансированной государственной тарифной политики на транспорте"</t>
  </si>
  <si>
    <t>19 1 00 00000</t>
  </si>
  <si>
    <t>Подпрограмма "Развитие общественного пассажирского транспорта и транспортной инфраструктуры Архангельской области"</t>
  </si>
  <si>
    <t>19 2 00 00000</t>
  </si>
  <si>
    <t>Подпрограмма "Развитие и совершенствование сети автомобильных дорог общего пользования регионального значения"</t>
  </si>
  <si>
    <t>19 3 00 00000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</si>
  <si>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</si>
  <si>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19 4 00 00000</t>
  </si>
  <si>
    <t>Подпрограмма "Создание условий для реализации государственной программы и осуществления иных расходов"</t>
  </si>
  <si>
    <t>19 5 00 00000</t>
  </si>
  <si>
    <t>Подпрограмма "Повышение безопасности дорожного движения в Архангельской области"</t>
  </si>
  <si>
    <t>19 6 00 00000</t>
  </si>
  <si>
    <t>20 0 00 00000</t>
  </si>
  <si>
    <t>21 0 00 00000</t>
  </si>
  <si>
    <t>22 0 00 00000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</si>
  <si>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</si>
  <si>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22 1 00 00000</t>
  </si>
  <si>
    <t>Подпрограмма "Управление государственным долгом Архангельской области"</t>
  </si>
  <si>
    <t>22 2 00 00000</t>
  </si>
  <si>
    <t>Подпрограмма "Поддержание устойчивого исполнения бюджетов муниципальных образований Архангельской области"</t>
  </si>
  <si>
    <t>22 3 00 00000</t>
  </si>
  <si>
    <t>Подпрограмма "Осуществление внутреннего государственного финансового контроля и контроля в сфере закупок товаров, работ, услуг"</t>
  </si>
  <si>
    <t>22 4 00 00000</t>
  </si>
  <si>
    <t>23 0 00 00000</t>
  </si>
  <si>
    <t>Подпрограмма "Развитие кадрового потенциала органов государственной власти,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</si>
  <si>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23 1 00 00000</t>
  </si>
  <si>
    <t>Подпрограмма "Обеспечение доступности и качества предоставления государственных и муниципальных услуг по принципу "одного окна", в том числе на базе многофункциональных центров"</t>
  </si>
  <si>
    <t>23 2 00 00000</t>
  </si>
  <si>
    <t>Подпрограмма "Создание систем электронного правительства, развитие информационного общества Архангельской области"</t>
  </si>
  <si>
    <t>23 3 00 00000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</si>
  <si>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</si>
  <si>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23 4 00 00000</t>
  </si>
  <si>
    <t>Подпрограмма "Развитие отдельных направлений системы государственного управления Архангельской области"</t>
  </si>
  <si>
    <t>23 5 00 00000</t>
  </si>
  <si>
    <t>24 0 00 00000</t>
  </si>
  <si>
    <t>Федеральные средства</t>
  </si>
  <si>
    <t>Итого по программе (ф.б+о.б.)</t>
  </si>
  <si>
    <t>Количество бюджетных и автономных учреждений (ед.)</t>
  </si>
  <si>
    <t>Министерство строительства и архитектуры АО</t>
  </si>
  <si>
    <t>Министерство природных ресурсов и лесопромышленного комплекса АО</t>
  </si>
  <si>
    <t>Министерство здравоохранения АО</t>
  </si>
  <si>
    <t>Инспекция по охране объектов культурного наследия АО</t>
  </si>
  <si>
    <t>Министерство культуры АО</t>
  </si>
  <si>
    <t>Министерство связи и информационных технологий АО</t>
  </si>
  <si>
    <t>Министерство образования и науки АО</t>
  </si>
  <si>
    <t>Министерство агропромышленного комплекса и торговли АО</t>
  </si>
  <si>
    <t>Министерство экономического развития АО</t>
  </si>
  <si>
    <t>Министерство труда, занятости и социального развития АО</t>
  </si>
  <si>
    <t>Агентство государственной противопожарной службы и гражданской защиты АО</t>
  </si>
  <si>
    <t>Администрация Губернатора и Правительства АО</t>
  </si>
  <si>
    <t>Контрактное агентство АО</t>
  </si>
  <si>
    <t>Инспекция по ветеринарному надзору АО</t>
  </si>
  <si>
    <t>млн.рублей</t>
  </si>
  <si>
    <t>Приложение 1.2</t>
  </si>
  <si>
    <t>(потом скрыть)_Данные прогноза социально-экономического развития Архангельской области и НАО  на 2015 год и плановый период до 2017 года  (к проекту бюджета на 2015 год и плановый период до 2017 года)</t>
  </si>
  <si>
    <t>оценка 2014 года</t>
  </si>
  <si>
    <t>оценка 2012г.</t>
  </si>
  <si>
    <t>прогноз 2011 г.**</t>
  </si>
  <si>
    <t>оценка 2011 г.*</t>
  </si>
  <si>
    <t>прогноз 2013 г.</t>
  </si>
  <si>
    <t>прогноз 2015 год</t>
  </si>
  <si>
    <t>2013 г.*</t>
  </si>
  <si>
    <t>2014 г.*</t>
  </si>
  <si>
    <t>отчет 2016 год</t>
  </si>
  <si>
    <t>оценка 2017 год</t>
  </si>
  <si>
    <t>прогноз 2020 год</t>
  </si>
  <si>
    <t>Х</t>
  </si>
  <si>
    <t>106,5-107,0</t>
  </si>
  <si>
    <t>104,5-105,5</t>
  </si>
  <si>
    <t>104,0-105,0</t>
  </si>
  <si>
    <t>6,5--7</t>
  </si>
  <si>
    <t>4,5--5,5</t>
  </si>
  <si>
    <t>4--5</t>
  </si>
  <si>
    <t>105-106</t>
  </si>
  <si>
    <t>104-105</t>
  </si>
  <si>
    <t>2020 год</t>
  </si>
  <si>
    <t>% к показателям 2019 года</t>
  </si>
  <si>
    <t>4=3/2*100</t>
  </si>
  <si>
    <t>6=5/3*100</t>
  </si>
  <si>
    <t>8=7/5*100</t>
  </si>
  <si>
    <t>Утверждено на 2017 год (в ред. от 09.10.2017 № 553-37-ОЗ)</t>
  </si>
  <si>
    <t>Проект на 2019</t>
  </si>
  <si>
    <t>Проект на 2020</t>
  </si>
  <si>
    <t>Профессиональная подготовка, переподготовка и повышение квалификации</t>
  </si>
  <si>
    <t>Другие вопросы в области физической культуры и спорта</t>
  </si>
  <si>
    <t>Б</t>
  </si>
  <si>
    <t>В</t>
  </si>
  <si>
    <t>Сведения о финансовом обеспечении реализации государственных программ Архангельской области в 2018 - 2020 годах</t>
  </si>
  <si>
    <t>Утверждено по программе на 2020 год (за счет средств областного бюджета)</t>
  </si>
  <si>
    <t>Недостаток (-), излишек (+) ассигнований на финансовое обеспечение мероприятий программ в 2020 году согласно Законопроекту</t>
  </si>
  <si>
    <t>Подпрограмма "Развитие информатизации в здравоохранении"</t>
  </si>
  <si>
    <t xml:space="preserve">Подпрограмма "Развитие промышленности строительных материалов   Архангельской области"
</t>
  </si>
  <si>
    <t>Подпрограмма "Содействие занятости инвалидов, в том числе инвалидов молодого возраста при получении ими профессионального образования и последующем трудоустройстве, а также инвалидов, нуждающихся в сопровождаемом содействии их занятости (2018-2020 годы)"</t>
  </si>
  <si>
    <t>Подпрограмма "Противодействие коррупции в Архангельской области"</t>
  </si>
  <si>
    <t>Подпрограмма "Газификация Архангельской области"</t>
  </si>
  <si>
    <t>Проект на 2019 год</t>
  </si>
  <si>
    <t>Проект на 2020 год</t>
  </si>
  <si>
    <t>Доходы государственных бюджетных и автономных учреждениях за счет субсидии на государственное задание (в тыс.руб.)</t>
  </si>
  <si>
    <t>Наименование главного распорядителя средств областного бюджета</t>
  </si>
  <si>
    <t>Утверждено по программе на 2019 год (за счет средств федерального бюджета)</t>
  </si>
  <si>
    <t>Объем финансирования на 2020 год согласно законопроекту</t>
  </si>
  <si>
    <t>Утверждено по программе на 2020 год (за счет средств областного и федерального бюджета)</t>
  </si>
  <si>
    <t>Утверждено по программе на 2020 год (за счет средств федерального бюджета)</t>
  </si>
  <si>
    <t>а</t>
  </si>
  <si>
    <t>б</t>
  </si>
  <si>
    <t>в</t>
  </si>
  <si>
    <t>г</t>
  </si>
  <si>
    <t>д</t>
  </si>
  <si>
    <t>е</t>
  </si>
  <si>
    <t>Функциональная структура расходов областного бюджета в 2017 - 2021 годах</t>
  </si>
  <si>
    <t>Наименование раздела / подраздела</t>
  </si>
  <si>
    <t xml:space="preserve">Отчет 2017 года </t>
  </si>
  <si>
    <t>Ожидаемое исполнение 2018 года</t>
  </si>
  <si>
    <t>% к показателям оценки 2018 года</t>
  </si>
  <si>
    <t>2021 год</t>
  </si>
  <si>
    <t>% к показателям 2020 года</t>
  </si>
  <si>
    <t>НАЛОГОВЫЕ И НЕНАЛОГОВЫЕ ДОХОДЫ</t>
  </si>
  <si>
    <t>НАЛОГИ НА ПРИБЫЛЬ, ДОХОДЫ</t>
  </si>
  <si>
    <t>Прибыль прибыльных организаций (Архангельская область без НАО), млн.руб.</t>
  </si>
  <si>
    <t>Прибыль прибыльных организаций (НАО), млн.руб.</t>
  </si>
  <si>
    <t>Налог на прибыль организаций</t>
  </si>
  <si>
    <t>Фонд начисленной  заработной платы всех работников (Архангельская область без НАО), млн. руб.</t>
  </si>
  <si>
    <t>Фонд начисленной  заработной платы всех работников (НАО), млн. руб.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</si>
  <si>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</si>
  <si>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</si>
  <si>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</si>
  <si>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</si>
  <si>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</si>
  <si>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</si>
  <si>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</si>
  <si>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</si>
  <si>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</si>
  <si>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Налог на добычу полезных ископаемых</t>
  </si>
  <si>
    <t>Регулярные платежи за добычу полезных ископаемых (роялти) при выполнении соглашений о разделе продукции</t>
  </si>
  <si>
    <t>Сборы за пользование объектами животного мира и за пользование объектами водных биологических ресурсов</t>
  </si>
  <si>
    <t>ГОСУДАРСТВЕННАЯ ПОШЛИНА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</si>
  <si>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(при обращении через многофункциональные центры)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</si>
  <si>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</si>
  <si>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</si>
  <si>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</si>
  <si>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</si>
  <si>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</si>
  <si>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</si>
  <si>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</si>
  <si>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</si>
  <si>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</si>
  <si>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</si>
  <si>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</si>
  <si>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</si>
  <si>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</si>
  <si>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</si>
  <si>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</si>
  <si>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01. ОБЩЕГОСУДАРСТВЕННЫЕ ВОПРОСЫ</t>
  </si>
  <si>
    <t>0102. Функционирование высшего должностного лица субъекта Российской Федерации и муниципального образования</t>
  </si>
  <si>
    <t>0103.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</si>
  <si>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0104.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</si>
  <si>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0105. Судебная система</t>
  </si>
  <si>
    <t>0106. Обеспечение деятельности финансовых, налоговых и таможенных органов и органов финансового (финансово-бюджетного) надзора</t>
  </si>
  <si>
    <t>0107. Обеспечение проведения выборов и референдумов</t>
  </si>
  <si>
    <t>0111. Резервные фонды</t>
  </si>
  <si>
    <t>0112. Прикладные научные исследования в области общегосударственных вопросов</t>
  </si>
  <si>
    <t>0113. Другие общегосударственные вопросы</t>
  </si>
  <si>
    <t>0203. Мобилизационная и вневойсковая подготовка</t>
  </si>
  <si>
    <t>02. НАЦИОНАЛЬНАЯ ОБОРОНА</t>
  </si>
  <si>
    <t>03. НАЦИОНАЛЬНАЯ БЕЗОПАСНОСТЬ И ПРАВООХРАНИТЕЛЬНАЯ ДЕЯТЕЛЬНОСТЬ</t>
  </si>
  <si>
    <t>0309. Защита населения и территории от чрезвычайных ситуаций природного и техногенного характера, гражданская оборона</t>
  </si>
  <si>
    <t>0310. Обеспечение пожарной безопасности</t>
  </si>
  <si>
    <t>04. НАЦИОНАЛЬНАЯ ЭКОНОМИКА</t>
  </si>
  <si>
    <t>0401. Общеэкономические вопросы</t>
  </si>
  <si>
    <t>0402. Топливно-энергетический комплекс</t>
  </si>
  <si>
    <t>0405. Сельское хозяйство и рыболовство</t>
  </si>
  <si>
    <t>0406. Водное хозяйство</t>
  </si>
  <si>
    <t>0407. Лесное хозяйство</t>
  </si>
  <si>
    <t>0408. Транспорт</t>
  </si>
  <si>
    <t>0409. Дорожное хозяйство (дорожные фонды)</t>
  </si>
  <si>
    <t>0410. Связь и информатика</t>
  </si>
  <si>
    <t>0411. Прикладные научные исследования в области национальной экономики</t>
  </si>
  <si>
    <t>0412. Другие вопросы в области национальной экономики</t>
  </si>
  <si>
    <t>05. ЖИЛИЩНО-КОММУНАЛЬНОЕ ХОЗЯЙСТВО</t>
  </si>
  <si>
    <t>0501. Жилищное хозяйство</t>
  </si>
  <si>
    <t>0502. Коммунальное хозяйство</t>
  </si>
  <si>
    <t>0503. Благоустройство</t>
  </si>
  <si>
    <t>0505. Другие вопросы в области жилищно-коммунального хозяйства</t>
  </si>
  <si>
    <t>06. ОХРАНА ОКРУЖАЮЩЕЙ СРЕДЫ</t>
  </si>
  <si>
    <t>0603. охрана объектов растительного и животного мира и среды их обитания</t>
  </si>
  <si>
    <t>0604. Прикладные научные исследования в области охраны окружающей среды</t>
  </si>
  <si>
    <t>0605. Другие вопросы в области охраны окружающей среды</t>
  </si>
  <si>
    <t>07. ОБРАЗОВАНИЕ</t>
  </si>
  <si>
    <t>0701. Дошкольное образование</t>
  </si>
  <si>
    <t>0702. Общее образование</t>
  </si>
  <si>
    <t>0703. Дополнительное образование детей</t>
  </si>
  <si>
    <t>0704. Среднее профессиональное образование</t>
  </si>
  <si>
    <t>0705. Профессиональная подготовка, переподготовка и повышение квалификации</t>
  </si>
  <si>
    <t>0707. Молодежная политика</t>
  </si>
  <si>
    <t>0708. Прикладные научные исследования в области образования</t>
  </si>
  <si>
    <t>0709. Другие вопросы в области образования</t>
  </si>
  <si>
    <t>08. КУЛЬТУРА, КИНЕМАГОРАФИЯ</t>
  </si>
  <si>
    <t>0801. Культура</t>
  </si>
  <si>
    <t>0804. Другие вопросы в области культуры, кинематографии</t>
  </si>
  <si>
    <t>09. ЗДРАВООХРАНЕНИЕ</t>
  </si>
  <si>
    <t>0901. Стационарная медицинская помощь</t>
  </si>
  <si>
    <t>0902. Амбулаторная помощь</t>
  </si>
  <si>
    <t>0903. Медицинская помощь в дневных стационарах всех типов</t>
  </si>
  <si>
    <t>0904. Скорая медицинская помощь</t>
  </si>
  <si>
    <t>0905. Санаторно-оздоровительная помощь</t>
  </si>
  <si>
    <t>0906. Заготовка, переработка, хранение и обеспечение безопасности донорской крови и ее компонентов</t>
  </si>
  <si>
    <t>0909. Другие вопросы в области здравоохранения</t>
  </si>
  <si>
    <t>10. СОЦИАЛЬНАЯ ПОЛИТИКА</t>
  </si>
  <si>
    <t>1001. Пенсионное обеспечение</t>
  </si>
  <si>
    <t>1002. Социальное обслуживание населения</t>
  </si>
  <si>
    <t>1003. Социальное обеспечение населения</t>
  </si>
  <si>
    <t>1004. Охрана семьи и детства</t>
  </si>
  <si>
    <t>1006. Другие вопросы в области социальной политики</t>
  </si>
  <si>
    <t>11. ФИЗИЧЕСКАЯ КУЛЬТУРА И СПОРТ</t>
  </si>
  <si>
    <t>1102. Массовый спорт</t>
  </si>
  <si>
    <t>1103. Спорт высших достижений</t>
  </si>
  <si>
    <t>1105. Другие вопросы в области физической культуры и спорта</t>
  </si>
  <si>
    <t>12. СРЕДСТВА МАССОВОЙ ИНФОРМАЦИИ</t>
  </si>
  <si>
    <t>1202. Периодическая печать и издательства</t>
  </si>
  <si>
    <t>1204. Другие вопросы в области средств массовой информации</t>
  </si>
  <si>
    <t>13. ОБСЛУЖИВАНИЕ ГОСУДАРСТВЕННОГО И МУНЦИПАЛЬНОГО ДОЛГА</t>
  </si>
  <si>
    <t>1301. Обслуживание государственного внутреннего и муниципального долга</t>
  </si>
  <si>
    <t>14. МЕБЮДЖЕТНЫЕ ТРАНСФЕРТЫ ОБЩЕГО ХАРАКТЕРА БЮДЖЕТАМ БЮДЖЕТНОЙ СИСТЕМЫ РОССИЙСКОЙ ФЕДЕРАЦИИ</t>
  </si>
  <si>
    <t>1401. Дотации на выравнивание бюджетной обеспеченности субъектов Российской Федерации и муниципальных образований</t>
  </si>
  <si>
    <t>1402. Иные дотации</t>
  </si>
  <si>
    <t>1403. Прочие межбюджетные трансферты общего характера</t>
  </si>
  <si>
    <t>Итого налоговые доходы</t>
  </si>
  <si>
    <t>Итого неналоговые доходы</t>
  </si>
  <si>
    <t>Доходы областного бюджета в 2017 - 2021 годах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</si>
  <si>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</si>
  <si>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</si>
  <si>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</t>
  </si>
  <si>
    <t>Субсидии</t>
  </si>
  <si>
    <t>Субвенции</t>
  </si>
  <si>
    <t>Иные межбюджетные трансферты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</si>
  <si>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</si>
  <si>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</si>
  <si>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ДОХОДЫ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</si>
  <si>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</si>
  <si>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</si>
  <si>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Удельный вес в общей сумме доходов, %</t>
  </si>
  <si>
    <t>из нее:</t>
  </si>
  <si>
    <t>из них:</t>
  </si>
  <si>
    <t>ПРОЧИЕ БЕЗВОЗМЕЗДНЫЕ ПОСТУПЛЕНИЯ</t>
  </si>
  <si>
    <t>Расходы на содержание государственных органов и обеспечение их функций в 2017 - 2021 годах за счет средств областного бюджета</t>
  </si>
  <si>
    <t>Расходы главных распорядителей средств областного бюджета в 2017 - 2021 годах</t>
  </si>
  <si>
    <t>Министерство строительства и архитектуры Архангельской области</t>
  </si>
  <si>
    <t>Министерство топливно-энергетического комплекса и жилищно-коммунального хозяйства Архангельской области</t>
  </si>
  <si>
    <t>Министерство природных ресурсов и лесопромышленного комплекса Архангельской области</t>
  </si>
  <si>
    <t>Министерство здравоохранения Архангельской области</t>
  </si>
  <si>
    <t>Инспекция по охране объектов культурного наследия Архангельской области</t>
  </si>
  <si>
    <t>Министерство культуры Архангельской области</t>
  </si>
  <si>
    <t>Министерство связи и информационных технологий Архангельской области</t>
  </si>
  <si>
    <t>Министерство образования и науки Архангельской области</t>
  </si>
  <si>
    <t>Министерство агропромышленного комплекса и торговли Архангельской области</t>
  </si>
  <si>
    <t>Министерство финансов Архангельской области</t>
  </si>
  <si>
    <t>Министерство транспорта Архангельской области</t>
  </si>
  <si>
    <t>Министерство экономического развития Архангельской области</t>
  </si>
  <si>
    <t>Министерство труда, занятости и социального развития Архангельской области</t>
  </si>
  <si>
    <t>Министерство имущественных отношений Архангельской области</t>
  </si>
  <si>
    <t>Агентство государственной противопожарной службы и гражданской защиты Архангельской области</t>
  </si>
  <si>
    <t>Агентство по спорту Архангельской области</t>
  </si>
  <si>
    <t>Уполномоченный по правам человека в Архангельской области</t>
  </si>
  <si>
    <t>Администрация губернатора архангельской области и правительства Архангельской области</t>
  </si>
  <si>
    <t>Контрольно-счетная палата Архангельской области</t>
  </si>
  <si>
    <t>Агентство по тарифам и ценам Архангельской области</t>
  </si>
  <si>
    <t>Избирательная комиссия Архангельской области</t>
  </si>
  <si>
    <t>Архангельское областное собрание депутатов</t>
  </si>
  <si>
    <t>Агентство по развитию Соловецкого архипелага Архангельской области</t>
  </si>
  <si>
    <t>Агентство записи актов гражданского состояния Архангельской области</t>
  </si>
  <si>
    <t>Государственная жилищная инспекция Архангельской области</t>
  </si>
  <si>
    <t>Агентство по организационному обеспечению деятельности мировых судей Архангельской области</t>
  </si>
  <si>
    <t>Контрольно-ревизионная инспекция Архангельской области</t>
  </si>
  <si>
    <t>Инспекция государственного строительного надзора Архангельской области</t>
  </si>
  <si>
    <t>Контрактное агентство Архангельской области</t>
  </si>
  <si>
    <t>Инспекция по ветеринарному надзору Архангельской области</t>
  </si>
  <si>
    <t>Агентство стратегических разработок Архангельской области</t>
  </si>
  <si>
    <t>Наименование ГРБС</t>
  </si>
  <si>
    <t>Код главы</t>
  </si>
  <si>
    <t>Исполнено за 2017</t>
  </si>
  <si>
    <t>Проект на 2021</t>
  </si>
  <si>
    <t>Проект на 2021 год</t>
  </si>
  <si>
    <t>Субсидии на финансовое обеспечение выполнения государственного задания на оказание государственных услуг (выполнение работ) за счет средств областного бюджета в 2017 - 2021 годах</t>
  </si>
  <si>
    <t>Основные показатели социально-экономического развития Архангельской области и Российской Федерации на период 2017 - 2021 годов</t>
  </si>
  <si>
    <t>Данные прогноза социально-экономического развития Архангельской области на 2018 год и плановый период до 2020 года (к проекту бюджета на 2018 год и плановый период до 2020 года)</t>
  </si>
  <si>
    <t>Данные прогноза социально-экономического развития Архангельской области на 2019 год и плановый период 2020 и 2021 годов (к проекту бюджета на 2019 год и плановый период до 2021 года)</t>
  </si>
  <si>
    <t>отчет 2017 год</t>
  </si>
  <si>
    <t>оценка 2018 год</t>
  </si>
  <si>
    <t>прогноз 2021 год</t>
  </si>
  <si>
    <t>Исполнено за 2017 год (ф. 0503127)</t>
  </si>
  <si>
    <t>План на 2018 год (бюдж. роспись на 01.10.2018)</t>
  </si>
  <si>
    <t>Министерство транспорта АО</t>
  </si>
  <si>
    <t>Министерство имущественных отношений АО</t>
  </si>
  <si>
    <t>Агентство по спорту АО</t>
  </si>
  <si>
    <t>Изменения к плану на 2018 год, (+,-)</t>
  </si>
  <si>
    <t>на 01.01.2018 (ф. 0503161)</t>
  </si>
  <si>
    <t>на 01.10.2018 (ф. 0503161)</t>
  </si>
  <si>
    <t>тыс.руб.</t>
  </si>
  <si>
    <t>4=3-2</t>
  </si>
  <si>
    <t>5=3/2</t>
  </si>
  <si>
    <t>0404. Воспроизводство минерально-сырьевой базы</t>
  </si>
  <si>
    <t>-</t>
  </si>
  <si>
    <t>Уточненная сводная бюджетная роспись на 2018 год по состоянию на 30.09.2018</t>
  </si>
  <si>
    <t>Объем финансирования на 2019 год  согласно Законопроекту</t>
  </si>
  <si>
    <t>Утверждено по программе на 2019 год (за счет средств областногои федерального бюджета)</t>
  </si>
  <si>
    <t>Объем финансирования на 2021 год согласно законопроекту</t>
  </si>
  <si>
    <t>Утверждено по программе на 2021 год (за счет средств областного и федерального бюджета)</t>
  </si>
  <si>
    <t>Утверждено по программе на 2021 год (за счет средств областного бюджета)</t>
  </si>
  <si>
    <t>Утверждено по программе на 2021 год (за счет средств федерального бюджета)</t>
  </si>
  <si>
    <t>Недостаток (-), излишек (+) ассигнований на финансовое обеспечение мероприятий программ в 2021 году согласно Законопроекту</t>
  </si>
  <si>
    <t>Государственная программа Архангельской области "Развитие здравоохранения Архангельской области (2013 – 2024 годы)"</t>
  </si>
  <si>
    <t>Государственная программа Архангельской области "Развитие образования и науки Архангельской области (2013 – 2025 годы)"</t>
  </si>
  <si>
    <t>Государственная программа Архангельской области "Социальная поддержка граждан в Архангельской области (2013 – 2024 годы)"</t>
  </si>
  <si>
    <t>Государственная программа Архангельской области "Культура Русского Севера (2013 – 2024годы)"</t>
  </si>
  <si>
    <t>Государственная программа развития сельского хозяйства и регулирования рынков сельскохозяйственной продукции, сырья и продовольствия Архангельской области на 2013 – 2021 годы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</si>
  <si>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(2014 – 2024 годы)"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</si>
  <si>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2024 годы)"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</si>
  <si>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2021 годы)"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</si>
  <si>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2021 годы)"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</si>
  <si>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2024 годы)"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</si>
  <si>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 – 2024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</si>
  <si>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2024 годы)"</t>
  </si>
  <si>
    <t>Государственная программа Архангельской области "Формирование современной городской среды в Архангельской области (2018 – 2024 годы)"</t>
  </si>
  <si>
    <t>Государственная программа Архангельской области "Развитие торговли в Архангельской области (2014 – 2021 годы)"</t>
  </si>
  <si>
    <t>Государственная программа Архангельской области "Развитие лесного комплекса Архангельской области (2014 – 2024 годы)"</t>
  </si>
  <si>
    <t>Государственная программа Архангельской области "Развитие энергетики и жилищно-коммунального хозяйства Архангельской области (2014 – 2024 годы)"</t>
  </si>
  <si>
    <t>Государственная программа Архангельской области "Развитие местного самоуправления в Архангельской области и государственная поддержка социально ориентированных некоммерческих организаций (2014 – 2021 годы)"</t>
  </si>
  <si>
    <t>Государственная программа Архангельской области "Развитие транспортной системы Архангельской области (2014 – 2024 годы)"</t>
  </si>
  <si>
    <t>Подпрограмма "Комплексное расвитие объединенной дорожной сети Архангельской области и Архангельской агломерации"</t>
  </si>
  <si>
    <t>Государственная программа Архангельской области "Развитие инфраструктуры Соловецкого архипелага (2014 – 2021 годы)"</t>
  </si>
  <si>
    <t>Государственная программа Архангельской области "Развитие имущественно-земельных отношений Архангельской области (2014 – 2021 годы)"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</si>
  <si>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2024 годы)"</t>
  </si>
  <si>
    <t>Государственная программа Архангельской области "Эффективное государственное управление в Архангельской области (2014 – 2021 годы)"</t>
  </si>
  <si>
    <t>Государственная программа Архангельской области "Устойчивое развитие сельских территорий Архангельской области (2014 – 2021 годы)"</t>
  </si>
  <si>
    <t>Приложение № 15</t>
  </si>
  <si>
    <t>Приложение по программам</t>
  </si>
  <si>
    <t>Отклонение</t>
  </si>
  <si>
    <t>Приложение № 1</t>
  </si>
  <si>
    <t>Приложение № 2</t>
  </si>
  <si>
    <t>Приложение № 3</t>
  </si>
  <si>
    <t>Приложение № 6</t>
  </si>
  <si>
    <t>Приложение № 7</t>
  </si>
  <si>
    <t>Приложение № 4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</si>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</sst>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#,##0.0"/>
    <numFmt numFmtId="165" formatCode="0.0"/>
    <numFmt numFmtId="166" formatCode="#,##0.000"/>
    <numFmt numFmtId="167" formatCode="0.000"/>
    <numFmt numFmtId="168" formatCode="#,##0.0_ ;[Red]\-#,##0.0\ "/>
    <numFmt numFmtId="169" formatCode="00"/>
    <numFmt numFmtId="170" formatCode="0.0%"/>
    <numFmt numFmtId="171" formatCode="#,##0_ ;[Red]\-#,##0\ "/>
    <numFmt numFmtId="172" formatCode="#,##0.00_ ;[Red]\-#,##0.00\ "/>
    <numFmt numFmtId="173" formatCode="_(* #,##0.0_);_(* \(#,##0.0\);_(* &quot;-&quot;??_);_(@_)"/>
    <numFmt numFmtId="174" formatCode="#,##0.000_ ;[Red]\-#,##0.000\ "/>
    <numFmt numFmtId="175" formatCode="000"/>
  </numFmts>
  <fonts count="25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rgb="FF0070C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name val="Arial"/>
      <family val="2"/>
      <charset val="204"/>
    </font>
    <font>
      <i/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9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</borders>
  <cellStyleXfs count="9">
    <xf numFmtId="0" fontId="0" fillId="0" borderId="0"/>
    <xf numFmtId="0" fontId="9" fillId="0" borderId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</cellStyleXfs>
  <cellXfs count="371">
    <xf numFmtId="0" fontId="0" fillId="0" borderId="0" xfId="0"/>
    <xf numFmtId="0" fontId="9" fillId="0" borderId="3" xfId="1" applyFont="1" applyFill="1" applyBorder="1"/>
    <xf numFmtId="164" fontId="9" fillId="0" borderId="4" xfId="1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horizontal="center"/>
    </xf>
    <xf numFmtId="0" fontId="16" fillId="0" borderId="0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right" vertical="center"/>
      <protection locked="0"/>
    </xf>
    <xf numFmtId="164" fontId="9" fillId="0" borderId="4" xfId="1" applyNumberFormat="1" applyFont="1" applyFill="1" applyBorder="1" applyAlignment="1">
      <alignment horizontal="right"/>
    </xf>
    <xf numFmtId="4" fontId="12" fillId="0" borderId="4" xfId="0" applyNumberFormat="1" applyFont="1" applyFill="1" applyBorder="1" applyAlignment="1" applyProtection="1">
      <alignment horizontal="right" vertical="center"/>
      <protection locked="0"/>
    </xf>
    <xf numFmtId="4" fontId="9" fillId="0" borderId="4" xfId="1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 applyProtection="1">
      <alignment vertical="center"/>
      <protection locked="0"/>
    </xf>
    <xf numFmtId="4" fontId="9" fillId="0" borderId="4" xfId="1" applyNumberFormat="1" applyFont="1" applyFill="1" applyBorder="1" applyAlignment="1">
      <alignment vertical="center"/>
    </xf>
    <xf numFmtId="0" fontId="9" fillId="0" borderId="4" xfId="1" applyFont="1" applyFill="1" applyBorder="1" applyAlignment="1">
      <alignment horizontal="center"/>
    </xf>
    <xf numFmtId="166" fontId="9" fillId="0" borderId="4" xfId="1" applyNumberFormat="1" applyFont="1" applyFill="1" applyBorder="1" applyAlignment="1"/>
    <xf numFmtId="167" fontId="9" fillId="0" borderId="4" xfId="1" applyNumberFormat="1" applyFont="1" applyFill="1" applyBorder="1" applyAlignment="1"/>
    <xf numFmtId="167" fontId="9" fillId="0" borderId="7" xfId="1" applyNumberFormat="1" applyFont="1" applyFill="1" applyBorder="1" applyAlignment="1">
      <alignment horizontal="right"/>
    </xf>
    <xf numFmtId="0" fontId="19" fillId="0" borderId="3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center" vertical="center" wrapText="1"/>
    </xf>
    <xf numFmtId="49" fontId="19" fillId="0" borderId="3" xfId="1" applyNumberFormat="1" applyFont="1" applyFill="1" applyBorder="1" applyAlignment="1">
      <alignment horizontal="left" vertical="center" wrapText="1"/>
    </xf>
    <xf numFmtId="0" fontId="19" fillId="0" borderId="8" xfId="1" applyFont="1" applyFill="1" applyBorder="1" applyAlignment="1">
      <alignment horizontal="left" vertical="center" wrapText="1"/>
    </xf>
    <xf numFmtId="0" fontId="9" fillId="0" borderId="0" xfId="1" applyFont="1" applyFill="1"/>
    <xf numFmtId="0" fontId="9" fillId="0" borderId="0" xfId="1" applyFont="1" applyFill="1" applyAlignment="1">
      <alignment horizontal="center"/>
    </xf>
    <xf numFmtId="172" fontId="10" fillId="0" borderId="0" xfId="1" applyNumberFormat="1" applyFont="1" applyFill="1" applyAlignment="1">
      <alignment horizontal="center"/>
    </xf>
    <xf numFmtId="172" fontId="16" fillId="0" borderId="0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vertical="center" wrapText="1"/>
    </xf>
    <xf numFmtId="172" fontId="11" fillId="0" borderId="4" xfId="1" applyNumberFormat="1" applyFont="1" applyFill="1" applyBorder="1" applyAlignment="1">
      <alignment horizontal="center" vertical="center" wrapText="1"/>
    </xf>
    <xf numFmtId="172" fontId="11" fillId="0" borderId="5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/>
    </xf>
    <xf numFmtId="171" fontId="9" fillId="0" borderId="4" xfId="1" applyNumberFormat="1" applyFont="1" applyFill="1" applyBorder="1" applyAlignment="1">
      <alignment horizontal="center"/>
    </xf>
    <xf numFmtId="171" fontId="9" fillId="0" borderId="5" xfId="1" applyNumberFormat="1" applyFont="1" applyFill="1" applyBorder="1" applyAlignment="1">
      <alignment horizontal="center"/>
    </xf>
    <xf numFmtId="172" fontId="12" fillId="0" borderId="4" xfId="0" applyNumberFormat="1" applyFont="1" applyFill="1" applyBorder="1" applyAlignment="1" applyProtection="1">
      <alignment horizontal="right" vertical="center"/>
      <protection locked="0"/>
    </xf>
    <xf numFmtId="172" fontId="9" fillId="0" borderId="4" xfId="0" applyNumberFormat="1" applyFont="1" applyFill="1" applyBorder="1" applyAlignment="1" applyProtection="1">
      <alignment horizontal="right" vertical="center"/>
      <protection locked="0"/>
    </xf>
    <xf numFmtId="172" fontId="9" fillId="0" borderId="5" xfId="0" applyNumberFormat="1" applyFont="1" applyFill="1" applyBorder="1" applyAlignment="1" applyProtection="1">
      <alignment horizontal="right" vertical="center"/>
      <protection locked="0"/>
    </xf>
    <xf numFmtId="172" fontId="9" fillId="0" borderId="4" xfId="1" applyNumberFormat="1" applyFont="1" applyFill="1" applyBorder="1" applyAlignment="1">
      <alignment horizontal="right"/>
    </xf>
    <xf numFmtId="172" fontId="9" fillId="0" borderId="4" xfId="1" applyNumberFormat="1" applyFont="1" applyFill="1" applyBorder="1" applyAlignment="1">
      <alignment horizontal="right" vertical="center"/>
    </xf>
    <xf numFmtId="172" fontId="9" fillId="0" borderId="5" xfId="1" applyNumberFormat="1" applyFont="1" applyFill="1" applyBorder="1" applyAlignment="1">
      <alignment horizontal="right" vertical="center"/>
    </xf>
    <xf numFmtId="164" fontId="9" fillId="0" borderId="4" xfId="0" applyNumberFormat="1" applyFont="1" applyFill="1" applyBorder="1" applyAlignment="1" applyProtection="1">
      <alignment horizontal="right" vertical="center"/>
      <protection locked="0"/>
    </xf>
    <xf numFmtId="0" fontId="9" fillId="0" borderId="4" xfId="1" applyFont="1" applyFill="1" applyBorder="1" applyAlignment="1">
      <alignment horizontal="right"/>
    </xf>
    <xf numFmtId="165" fontId="9" fillId="0" borderId="4" xfId="0" applyNumberFormat="1" applyFont="1" applyFill="1" applyBorder="1" applyAlignment="1" applyProtection="1">
      <alignment vertical="center"/>
      <protection locked="0"/>
    </xf>
    <xf numFmtId="165" fontId="9" fillId="0" borderId="4" xfId="1" applyNumberFormat="1" applyFont="1" applyFill="1" applyBorder="1" applyAlignment="1"/>
    <xf numFmtId="172" fontId="9" fillId="0" borderId="4" xfId="0" applyNumberFormat="1" applyFont="1" applyFill="1" applyBorder="1" applyAlignment="1" applyProtection="1">
      <alignment vertical="center"/>
      <protection locked="0"/>
    </xf>
    <xf numFmtId="172" fontId="9" fillId="0" borderId="5" xfId="0" applyNumberFormat="1" applyFont="1" applyFill="1" applyBorder="1" applyAlignment="1" applyProtection="1">
      <alignment vertical="center"/>
      <protection locked="0"/>
    </xf>
    <xf numFmtId="164" fontId="9" fillId="0" borderId="4" xfId="0" applyNumberFormat="1" applyFont="1" applyFill="1" applyBorder="1" applyAlignment="1" applyProtection="1">
      <alignment vertical="center"/>
      <protection locked="0"/>
    </xf>
    <xf numFmtId="0" fontId="9" fillId="0" borderId="4" xfId="1" applyFont="1" applyFill="1" applyBorder="1" applyAlignment="1"/>
    <xf numFmtId="172" fontId="9" fillId="0" borderId="4" xfId="1" applyNumberFormat="1" applyFont="1" applyFill="1" applyBorder="1" applyAlignment="1">
      <alignment vertical="center"/>
    </xf>
    <xf numFmtId="172" fontId="9" fillId="0" borderId="5" xfId="1" applyNumberFormat="1" applyFont="1" applyFill="1" applyBorder="1" applyAlignment="1">
      <alignment vertical="center"/>
    </xf>
    <xf numFmtId="165" fontId="9" fillId="0" borderId="4" xfId="1" applyNumberFormat="1" applyFont="1" applyFill="1" applyBorder="1" applyAlignment="1">
      <alignment vertical="center"/>
    </xf>
    <xf numFmtId="173" fontId="9" fillId="0" borderId="4" xfId="3" applyNumberFormat="1" applyFont="1" applyFill="1" applyBorder="1" applyAlignment="1" applyProtection="1">
      <alignment horizontal="right" vertical="center"/>
      <protection locked="0"/>
    </xf>
    <xf numFmtId="173" fontId="9" fillId="0" borderId="4" xfId="3" applyNumberFormat="1" applyFont="1" applyFill="1" applyBorder="1" applyAlignment="1">
      <alignment horizontal="right"/>
    </xf>
    <xf numFmtId="165" fontId="9" fillId="0" borderId="4" xfId="0" applyNumberFormat="1" applyFont="1" applyFill="1" applyBorder="1" applyAlignment="1" applyProtection="1">
      <alignment horizontal="right" vertical="center"/>
      <protection locked="0"/>
    </xf>
    <xf numFmtId="165" fontId="12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9" fillId="0" borderId="4" xfId="1" applyNumberFormat="1" applyFont="1" applyFill="1" applyBorder="1" applyAlignment="1">
      <alignment horizontal="right"/>
    </xf>
    <xf numFmtId="172" fontId="12" fillId="0" borderId="5" xfId="0" applyNumberFormat="1" applyFont="1" applyFill="1" applyBorder="1" applyAlignment="1" applyProtection="1">
      <alignment horizontal="right" vertical="center"/>
      <protection locked="0"/>
    </xf>
    <xf numFmtId="165" fontId="9" fillId="0" borderId="4" xfId="1" applyNumberFormat="1" applyFont="1" applyFill="1" applyBorder="1" applyAlignment="1">
      <alignment vertical="center" wrapText="1"/>
    </xf>
    <xf numFmtId="0" fontId="9" fillId="0" borderId="3" xfId="1" applyFont="1" applyFill="1" applyBorder="1" applyAlignment="1">
      <alignment wrapText="1"/>
    </xf>
    <xf numFmtId="172" fontId="9" fillId="0" borderId="4" xfId="1" applyNumberFormat="1" applyFont="1" applyFill="1" applyBorder="1" applyAlignment="1"/>
    <xf numFmtId="172" fontId="9" fillId="0" borderId="5" xfId="1" applyNumberFormat="1" applyFont="1" applyFill="1" applyBorder="1" applyAlignment="1"/>
    <xf numFmtId="4" fontId="9" fillId="0" borderId="4" xfId="1" applyNumberFormat="1" applyFont="1" applyFill="1" applyBorder="1" applyAlignment="1">
      <alignment horizontal="right" vertical="center" wrapText="1"/>
    </xf>
    <xf numFmtId="4" fontId="9" fillId="0" borderId="3" xfId="1" applyNumberFormat="1" applyFont="1" applyFill="1" applyBorder="1" applyAlignment="1">
      <alignment vertical="center"/>
    </xf>
    <xf numFmtId="0" fontId="9" fillId="0" borderId="8" xfId="1" applyFont="1" applyFill="1" applyBorder="1" applyAlignment="1">
      <alignment wrapText="1"/>
    </xf>
    <xf numFmtId="172" fontId="9" fillId="0" borderId="7" xfId="1" applyNumberFormat="1" applyFont="1" applyFill="1" applyBorder="1" applyAlignment="1">
      <alignment horizontal="right"/>
    </xf>
    <xf numFmtId="0" fontId="9" fillId="0" borderId="6" xfId="1" applyFont="1" applyFill="1" applyBorder="1"/>
    <xf numFmtId="2" fontId="9" fillId="0" borderId="4" xfId="1" applyNumberFormat="1" applyFont="1" applyFill="1" applyBorder="1" applyAlignment="1">
      <alignment horizontal="right"/>
    </xf>
    <xf numFmtId="172" fontId="11" fillId="0" borderId="4" xfId="1" applyNumberFormat="1" applyFont="1" applyFill="1" applyBorder="1" applyAlignment="1">
      <alignment horizontal="right"/>
    </xf>
    <xf numFmtId="0" fontId="9" fillId="0" borderId="6" xfId="1" applyFont="1" applyFill="1" applyBorder="1" applyAlignment="1">
      <alignment wrapText="1"/>
    </xf>
    <xf numFmtId="2" fontId="9" fillId="0" borderId="4" xfId="1" applyNumberFormat="1" applyFont="1" applyFill="1" applyBorder="1" applyAlignment="1">
      <alignment horizontal="center"/>
    </xf>
    <xf numFmtId="0" fontId="9" fillId="0" borderId="16" xfId="1" applyFont="1" applyFill="1" applyBorder="1"/>
    <xf numFmtId="0" fontId="9" fillId="0" borderId="7" xfId="1" applyFont="1" applyFill="1" applyBorder="1" applyAlignment="1">
      <alignment horizontal="right"/>
    </xf>
    <xf numFmtId="0" fontId="9" fillId="0" borderId="7" xfId="1" applyFont="1" applyFill="1" applyBorder="1" applyAlignment="1">
      <alignment horizontal="center"/>
    </xf>
    <xf numFmtId="16" fontId="9" fillId="0" borderId="7" xfId="1" applyNumberFormat="1" applyFont="1" applyFill="1" applyBorder="1" applyAlignment="1">
      <alignment horizontal="right"/>
    </xf>
    <xf numFmtId="16" fontId="9" fillId="0" borderId="7" xfId="1" applyNumberFormat="1" applyFont="1" applyFill="1" applyBorder="1" applyAlignment="1">
      <alignment horizontal="center"/>
    </xf>
    <xf numFmtId="172" fontId="9" fillId="0" borderId="17" xfId="1" applyNumberFormat="1" applyFont="1" applyFill="1" applyBorder="1" applyAlignment="1">
      <alignment horizontal="right"/>
    </xf>
    <xf numFmtId="172" fontId="9" fillId="0" borderId="0" xfId="1" applyNumberFormat="1" applyFont="1" applyFill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5" xfId="0" applyFont="1" applyBorder="1" applyAlignment="1">
      <alignment horizontal="center" vertical="center" wrapText="1"/>
    </xf>
    <xf numFmtId="164" fontId="8" fillId="0" borderId="0" xfId="0" applyNumberFormat="1" applyFont="1"/>
    <xf numFmtId="164" fontId="8" fillId="2" borderId="4" xfId="0" applyNumberFormat="1" applyFont="1" applyFill="1" applyBorder="1" applyAlignment="1">
      <alignment horizontal="right" vertical="center" wrapText="1"/>
    </xf>
    <xf numFmtId="164" fontId="8" fillId="0" borderId="4" xfId="0" applyNumberFormat="1" applyFont="1" applyBorder="1" applyAlignment="1">
      <alignment horizontal="right" vertical="center" wrapText="1"/>
    </xf>
    <xf numFmtId="164" fontId="8" fillId="0" borderId="5" xfId="0" applyNumberFormat="1" applyFont="1" applyBorder="1" applyAlignment="1">
      <alignment horizontal="right" vertical="center" wrapText="1"/>
    </xf>
    <xf numFmtId="4" fontId="20" fillId="0" borderId="4" xfId="0" applyNumberFormat="1" applyFont="1" applyBorder="1" applyAlignment="1">
      <alignment vertical="center"/>
    </xf>
    <xf numFmtId="164" fontId="17" fillId="0" borderId="4" xfId="0" applyNumberFormat="1" applyFont="1" applyBorder="1" applyAlignment="1">
      <alignment horizontal="right" vertical="center"/>
    </xf>
    <xf numFmtId="164" fontId="17" fillId="2" borderId="4" xfId="0" applyNumberFormat="1" applyFont="1" applyFill="1" applyBorder="1" applyAlignment="1">
      <alignment horizontal="right" vertical="center" wrapText="1"/>
    </xf>
    <xf numFmtId="164" fontId="17" fillId="0" borderId="4" xfId="0" applyNumberFormat="1" applyFont="1" applyBorder="1" applyAlignment="1">
      <alignment horizontal="right" vertical="center" wrapText="1"/>
    </xf>
    <xf numFmtId="164" fontId="17" fillId="0" borderId="5" xfId="0" applyNumberFormat="1" applyFont="1" applyBorder="1" applyAlignment="1">
      <alignment horizontal="right" vertical="center" wrapText="1"/>
    </xf>
    <xf numFmtId="164" fontId="17" fillId="0" borderId="6" xfId="0" applyNumberFormat="1" applyFont="1" applyBorder="1" applyAlignment="1">
      <alignment horizontal="center"/>
    </xf>
    <xf numFmtId="164" fontId="17" fillId="0" borderId="4" xfId="0" applyNumberFormat="1" applyFont="1" applyBorder="1" applyAlignment="1">
      <alignment horizontal="center"/>
    </xf>
    <xf numFmtId="168" fontId="8" fillId="0" borderId="0" xfId="0" applyNumberFormat="1" applyFont="1"/>
    <xf numFmtId="0" fontId="17" fillId="0" borderId="0" xfId="0" applyFont="1" applyFill="1" applyBorder="1" applyAlignment="1">
      <alignment horizontal="center" vertical="center" wrapText="1"/>
    </xf>
    <xf numFmtId="164" fontId="17" fillId="2" borderId="4" xfId="5" applyNumberFormat="1" applyFont="1" applyFill="1" applyBorder="1" applyAlignment="1">
      <alignment horizontal="center"/>
    </xf>
    <xf numFmtId="164" fontId="17" fillId="2" borderId="6" xfId="5" applyNumberFormat="1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left" vertical="center" wrapText="1" inden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0" xfId="1" applyFont="1" applyFill="1" applyAlignment="1">
      <alignment horizontal="center"/>
    </xf>
    <xf numFmtId="0" fontId="9" fillId="0" borderId="3" xfId="1" applyFont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/>
    </xf>
    <xf numFmtId="168" fontId="9" fillId="0" borderId="3" xfId="1" applyNumberFormat="1" applyFont="1" applyFill="1" applyBorder="1" applyAlignment="1">
      <alignment vertical="center" wrapText="1"/>
    </xf>
    <xf numFmtId="164" fontId="9" fillId="0" borderId="4" xfId="1" applyNumberFormat="1" applyFont="1" applyFill="1" applyBorder="1" applyAlignment="1">
      <alignment vertical="center"/>
    </xf>
    <xf numFmtId="168" fontId="9" fillId="0" borderId="3" xfId="1" applyNumberFormat="1" applyFont="1" applyFill="1" applyBorder="1" applyAlignment="1">
      <alignment horizontal="left" vertical="center" wrapText="1" indent="2"/>
    </xf>
    <xf numFmtId="164" fontId="9" fillId="0" borderId="4" xfId="1" applyNumberFormat="1" applyFont="1" applyFill="1" applyBorder="1" applyAlignment="1">
      <alignment horizontal="center" vertical="center"/>
    </xf>
    <xf numFmtId="168" fontId="24" fillId="0" borderId="3" xfId="1" applyNumberFormat="1" applyFont="1" applyFill="1" applyBorder="1" applyAlignment="1">
      <alignment vertical="center" wrapText="1"/>
    </xf>
    <xf numFmtId="168" fontId="9" fillId="0" borderId="3" xfId="1" applyNumberFormat="1" applyFont="1" applyFill="1" applyBorder="1" applyAlignment="1">
      <alignment horizontal="left" vertical="center" wrapText="1" indent="1"/>
    </xf>
    <xf numFmtId="168" fontId="24" fillId="0" borderId="3" xfId="1" applyNumberFormat="1" applyFont="1" applyFill="1" applyBorder="1" applyAlignment="1">
      <alignment horizontal="left" vertical="center" wrapText="1"/>
    </xf>
    <xf numFmtId="168" fontId="9" fillId="0" borderId="3" xfId="1" applyNumberFormat="1" applyFont="1" applyFill="1" applyBorder="1" applyAlignment="1">
      <alignment horizontal="left" vertical="center" wrapText="1"/>
    </xf>
    <xf numFmtId="168" fontId="9" fillId="0" borderId="3" xfId="1" applyNumberFormat="1" applyFont="1" applyFill="1" applyBorder="1"/>
    <xf numFmtId="168" fontId="9" fillId="0" borderId="4" xfId="1" applyNumberFormat="1" applyFont="1" applyFill="1" applyBorder="1" applyAlignment="1">
      <alignment vertical="center"/>
    </xf>
    <xf numFmtId="168" fontId="11" fillId="0" borderId="3" xfId="1" applyNumberFormat="1" applyFont="1" applyFill="1" applyBorder="1" applyAlignment="1">
      <alignment vertical="center" wrapText="1"/>
    </xf>
    <xf numFmtId="164" fontId="11" fillId="0" borderId="4" xfId="1" applyNumberFormat="1" applyFont="1" applyFill="1" applyBorder="1" applyAlignment="1">
      <alignment vertical="center"/>
    </xf>
    <xf numFmtId="168" fontId="11" fillId="0" borderId="3" xfId="1" applyNumberFormat="1" applyFont="1" applyFill="1" applyBorder="1" applyAlignment="1">
      <alignment horizontal="left" vertical="center" wrapText="1"/>
    </xf>
    <xf numFmtId="168" fontId="9" fillId="0" borderId="3" xfId="1" applyNumberFormat="1" applyFont="1" applyFill="1" applyBorder="1" applyAlignment="1">
      <alignment horizontal="left" indent="1"/>
    </xf>
    <xf numFmtId="168" fontId="9" fillId="0" borderId="8" xfId="1" applyNumberFormat="1" applyFont="1" applyFill="1" applyBorder="1" applyAlignment="1">
      <alignment horizontal="left" indent="1"/>
    </xf>
    <xf numFmtId="164" fontId="11" fillId="0" borderId="4" xfId="1" applyNumberFormat="1" applyFont="1" applyFill="1" applyBorder="1" applyAlignment="1">
      <alignment horizontal="right" vertical="center"/>
    </xf>
    <xf numFmtId="168" fontId="9" fillId="0" borderId="4" xfId="1" applyNumberFormat="1" applyFont="1" applyFill="1" applyBorder="1" applyAlignment="1">
      <alignment horizontal="right" vertical="center"/>
    </xf>
    <xf numFmtId="164" fontId="11" fillId="0" borderId="5" xfId="1" applyNumberFormat="1" applyFont="1" applyFill="1" applyBorder="1" applyAlignment="1">
      <alignment horizontal="right" vertical="center"/>
    </xf>
    <xf numFmtId="164" fontId="9" fillId="0" borderId="5" xfId="1" applyNumberFormat="1" applyFont="1" applyFill="1" applyBorder="1" applyAlignment="1">
      <alignment horizontal="right" vertical="center"/>
    </xf>
    <xf numFmtId="165" fontId="9" fillId="0" borderId="7" xfId="1" applyNumberFormat="1" applyFont="1" applyFill="1" applyBorder="1" applyAlignment="1">
      <alignment horizontal="right"/>
    </xf>
    <xf numFmtId="164" fontId="8" fillId="0" borderId="7" xfId="0" applyNumberFormat="1" applyFont="1" applyBorder="1" applyAlignment="1">
      <alignment horizontal="right" vertical="center" wrapText="1"/>
    </xf>
    <xf numFmtId="164" fontId="8" fillId="2" borderId="7" xfId="0" applyNumberFormat="1" applyFont="1" applyFill="1" applyBorder="1" applyAlignment="1">
      <alignment horizontal="right" vertical="center" wrapText="1"/>
    </xf>
    <xf numFmtId="164" fontId="8" fillId="0" borderId="9" xfId="0" applyNumberFormat="1" applyFont="1" applyBorder="1" applyAlignment="1">
      <alignment horizontal="right" vertical="center" wrapText="1"/>
    </xf>
    <xf numFmtId="0" fontId="19" fillId="0" borderId="30" xfId="1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5" fontId="19" fillId="0" borderId="6" xfId="1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right"/>
    </xf>
    <xf numFmtId="0" fontId="17" fillId="0" borderId="0" xfId="0" applyFont="1" applyBorder="1" applyAlignment="1">
      <alignment horizontal="center" vertical="center" wrapText="1"/>
    </xf>
    <xf numFmtId="171" fontId="9" fillId="0" borderId="4" xfId="0" applyNumberFormat="1" applyFont="1" applyFill="1" applyBorder="1" applyAlignment="1">
      <alignment vertical="center" wrapText="1"/>
    </xf>
    <xf numFmtId="171" fontId="9" fillId="0" borderId="5" xfId="0" applyNumberFormat="1" applyFont="1" applyFill="1" applyBorder="1" applyAlignment="1">
      <alignment vertical="center" wrapText="1"/>
    </xf>
    <xf numFmtId="0" fontId="17" fillId="3" borderId="8" xfId="0" applyFont="1" applyFill="1" applyBorder="1" applyAlignment="1">
      <alignment vertical="center" wrapText="1"/>
    </xf>
    <xf numFmtId="168" fontId="17" fillId="3" borderId="7" xfId="0" applyNumberFormat="1" applyFont="1" applyFill="1" applyBorder="1" applyAlignment="1">
      <alignment vertical="center" wrapText="1"/>
    </xf>
    <xf numFmtId="171" fontId="17" fillId="3" borderId="7" xfId="0" applyNumberFormat="1" applyFont="1" applyFill="1" applyBorder="1" applyAlignment="1">
      <alignment vertical="center" wrapText="1"/>
    </xf>
    <xf numFmtId="171" fontId="17" fillId="3" borderId="9" xfId="0" applyNumberFormat="1" applyFont="1" applyFill="1" applyBorder="1" applyAlignment="1">
      <alignment vertical="center" wrapText="1"/>
    </xf>
    <xf numFmtId="168" fontId="21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168" fontId="5" fillId="0" borderId="0" xfId="0" applyNumberFormat="1" applyFont="1" applyAlignment="1">
      <alignment vertical="center" wrapText="1"/>
    </xf>
    <xf numFmtId="168" fontId="5" fillId="0" borderId="0" xfId="0" applyNumberFormat="1" applyFont="1" applyFill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3" xfId="0" applyNumberFormat="1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center" wrapText="1"/>
    </xf>
    <xf numFmtId="0" fontId="17" fillId="0" borderId="4" xfId="0" applyNumberFormat="1" applyFont="1" applyFill="1" applyBorder="1" applyAlignment="1">
      <alignment horizontal="center" vertical="center" wrapText="1"/>
    </xf>
    <xf numFmtId="0" fontId="17" fillId="0" borderId="5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68" fontId="5" fillId="0" borderId="4" xfId="0" applyNumberFormat="1" applyFont="1" applyBorder="1" applyAlignment="1">
      <alignment vertical="center" wrapText="1"/>
    </xf>
    <xf numFmtId="168" fontId="5" fillId="0" borderId="4" xfId="0" applyNumberFormat="1" applyFont="1" applyFill="1" applyBorder="1" applyAlignment="1">
      <alignment vertical="center" wrapText="1"/>
    </xf>
    <xf numFmtId="171" fontId="5" fillId="0" borderId="4" xfId="0" applyNumberFormat="1" applyFont="1" applyBorder="1" applyAlignment="1">
      <alignment vertical="center" wrapText="1"/>
    </xf>
    <xf numFmtId="171" fontId="5" fillId="0" borderId="5" xfId="0" applyNumberFormat="1" applyFont="1" applyBorder="1" applyAlignment="1">
      <alignment vertical="center" wrapText="1"/>
    </xf>
    <xf numFmtId="171" fontId="5" fillId="0" borderId="4" xfId="0" applyNumberFormat="1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171" fontId="5" fillId="0" borderId="5" xfId="0" applyNumberFormat="1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0" xfId="0" applyNumberFormat="1" applyFont="1"/>
    <xf numFmtId="164" fontId="4" fillId="2" borderId="4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164" fontId="4" fillId="0" borderId="5" xfId="0" applyNumberFormat="1" applyFont="1" applyBorder="1" applyAlignment="1">
      <alignment horizontal="right" vertical="center" wrapText="1"/>
    </xf>
    <xf numFmtId="168" fontId="4" fillId="0" borderId="0" xfId="0" applyNumberFormat="1" applyFont="1"/>
    <xf numFmtId="164" fontId="4" fillId="0" borderId="4" xfId="0" applyNumberFormat="1" applyFont="1" applyBorder="1" applyAlignment="1">
      <alignment horizontal="right"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11" xfId="0" applyNumberFormat="1" applyFont="1" applyFill="1" applyBorder="1" applyAlignment="1">
      <alignment horizontal="center"/>
    </xf>
    <xf numFmtId="49" fontId="4" fillId="0" borderId="3" xfId="0" applyNumberFormat="1" applyFont="1" applyBorder="1" applyAlignment="1">
      <alignment horizontal="left" wrapText="1"/>
    </xf>
    <xf numFmtId="164" fontId="4" fillId="0" borderId="7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0" fontId="3" fillId="0" borderId="0" xfId="7" applyFont="1" applyBorder="1" applyAlignment="1">
      <alignment vertical="center" wrapText="1"/>
    </xf>
    <xf numFmtId="168" fontId="3" fillId="0" borderId="0" xfId="7" applyNumberFormat="1" applyFont="1" applyBorder="1" applyAlignment="1">
      <alignment vertical="center" wrapText="1"/>
    </xf>
    <xf numFmtId="168" fontId="3" fillId="0" borderId="0" xfId="7" applyNumberFormat="1" applyFont="1" applyBorder="1" applyAlignment="1">
      <alignment horizontal="right" vertical="center"/>
    </xf>
    <xf numFmtId="0" fontId="17" fillId="0" borderId="0" xfId="7" applyFont="1" applyBorder="1" applyAlignment="1">
      <alignment horizontal="center" vertical="center" wrapText="1"/>
    </xf>
    <xf numFmtId="0" fontId="17" fillId="0" borderId="14" xfId="8" applyFont="1" applyBorder="1" applyAlignment="1">
      <alignment horizontal="center" vertical="center" wrapText="1"/>
    </xf>
    <xf numFmtId="0" fontId="17" fillId="0" borderId="22" xfId="8" applyFont="1" applyBorder="1" applyAlignment="1">
      <alignment horizontal="center" vertical="center" wrapText="1"/>
    </xf>
    <xf numFmtId="0" fontId="3" fillId="0" borderId="21" xfId="8" applyFont="1" applyBorder="1" applyAlignment="1">
      <alignment horizontal="center" vertical="center" wrapText="1"/>
    </xf>
    <xf numFmtId="0" fontId="3" fillId="2" borderId="14" xfId="8" applyFont="1" applyFill="1" applyBorder="1" applyAlignment="1">
      <alignment horizontal="center" vertical="center" wrapText="1"/>
    </xf>
    <xf numFmtId="0" fontId="3" fillId="0" borderId="14" xfId="8" applyFont="1" applyBorder="1" applyAlignment="1">
      <alignment horizontal="center" vertical="center" wrapText="1"/>
    </xf>
    <xf numFmtId="0" fontId="3" fillId="0" borderId="22" xfId="8" applyFont="1" applyBorder="1" applyAlignment="1">
      <alignment horizontal="center" vertical="center" wrapText="1"/>
    </xf>
    <xf numFmtId="0" fontId="17" fillId="2" borderId="21" xfId="8" applyFont="1" applyFill="1" applyBorder="1" applyAlignment="1">
      <alignment vertical="center" wrapText="1"/>
    </xf>
    <xf numFmtId="169" fontId="17" fillId="2" borderId="14" xfId="8" applyNumberFormat="1" applyFont="1" applyFill="1" applyBorder="1" applyAlignment="1">
      <alignment horizontal="center" vertical="center" wrapText="1"/>
    </xf>
    <xf numFmtId="168" fontId="17" fillId="2" borderId="14" xfId="8" applyNumberFormat="1" applyFont="1" applyFill="1" applyBorder="1" applyAlignment="1">
      <alignment vertical="center" wrapText="1"/>
    </xf>
    <xf numFmtId="168" fontId="17" fillId="2" borderId="22" xfId="8" applyNumberFormat="1" applyFont="1" applyFill="1" applyBorder="1" applyAlignment="1">
      <alignment vertical="center" wrapText="1"/>
    </xf>
    <xf numFmtId="170" fontId="17" fillId="0" borderId="0" xfId="7" applyNumberFormat="1" applyFont="1" applyBorder="1" applyAlignment="1">
      <alignment vertical="center" wrapText="1"/>
    </xf>
    <xf numFmtId="168" fontId="17" fillId="0" borderId="0" xfId="7" applyNumberFormat="1" applyFont="1" applyBorder="1" applyAlignment="1">
      <alignment vertical="center" wrapText="1"/>
    </xf>
    <xf numFmtId="0" fontId="3" fillId="2" borderId="21" xfId="8" applyFont="1" applyFill="1" applyBorder="1" applyAlignment="1">
      <alignment vertical="center" wrapText="1"/>
    </xf>
    <xf numFmtId="169" fontId="3" fillId="2" borderId="14" xfId="8" applyNumberFormat="1" applyFont="1" applyFill="1" applyBorder="1" applyAlignment="1">
      <alignment horizontal="center" vertical="center" wrapText="1"/>
    </xf>
    <xf numFmtId="168" fontId="3" fillId="2" borderId="14" xfId="8" applyNumberFormat="1" applyFont="1" applyFill="1" applyBorder="1" applyAlignment="1">
      <alignment vertical="center" wrapText="1"/>
    </xf>
    <xf numFmtId="168" fontId="3" fillId="2" borderId="22" xfId="8" applyNumberFormat="1" applyFont="1" applyFill="1" applyBorder="1" applyAlignment="1">
      <alignment vertical="center" wrapText="1"/>
    </xf>
    <xf numFmtId="170" fontId="3" fillId="0" borderId="0" xfId="7" applyNumberFormat="1" applyFont="1" applyBorder="1" applyAlignment="1">
      <alignment vertical="center" wrapText="1"/>
    </xf>
    <xf numFmtId="4" fontId="3" fillId="2" borderId="14" xfId="8" applyNumberFormat="1" applyFont="1" applyFill="1" applyBorder="1" applyAlignment="1">
      <alignment vertical="center"/>
    </xf>
    <xf numFmtId="168" fontId="0" fillId="2" borderId="38" xfId="0" applyNumberFormat="1" applyFont="1" applyFill="1" applyBorder="1" applyAlignment="1">
      <alignment vertical="center" wrapText="1"/>
    </xf>
    <xf numFmtId="0" fontId="18" fillId="2" borderId="21" xfId="8" applyFont="1" applyFill="1" applyBorder="1" applyAlignment="1">
      <alignment vertical="center" wrapText="1"/>
    </xf>
    <xf numFmtId="168" fontId="0" fillId="2" borderId="0" xfId="0" applyNumberFormat="1" applyFont="1" applyFill="1" applyBorder="1" applyAlignment="1">
      <alignment vertical="center" wrapText="1"/>
    </xf>
    <xf numFmtId="0" fontId="19" fillId="2" borderId="21" xfId="8" applyFont="1" applyFill="1" applyBorder="1" applyAlignment="1">
      <alignment vertical="center" wrapText="1"/>
    </xf>
    <xf numFmtId="170" fontId="17" fillId="0" borderId="0" xfId="7" applyNumberFormat="1" applyFont="1" applyFill="1" applyBorder="1" applyAlignment="1">
      <alignment vertical="center" wrapText="1"/>
    </xf>
    <xf numFmtId="168" fontId="17" fillId="0" borderId="0" xfId="7" applyNumberFormat="1" applyFont="1" applyFill="1" applyBorder="1" applyAlignment="1">
      <alignment vertical="center" wrapText="1"/>
    </xf>
    <xf numFmtId="0" fontId="17" fillId="4" borderId="21" xfId="8" applyFont="1" applyFill="1" applyBorder="1" applyAlignment="1">
      <alignment vertical="center" wrapText="1"/>
    </xf>
    <xf numFmtId="169" fontId="17" fillId="4" borderId="14" xfId="8" applyNumberFormat="1" applyFont="1" applyFill="1" applyBorder="1" applyAlignment="1">
      <alignment horizontal="center" vertical="center" wrapText="1"/>
    </xf>
    <xf numFmtId="168" fontId="17" fillId="4" borderId="14" xfId="8" applyNumberFormat="1" applyFont="1" applyFill="1" applyBorder="1" applyAlignment="1">
      <alignment vertical="center" wrapText="1"/>
    </xf>
    <xf numFmtId="168" fontId="17" fillId="4" borderId="22" xfId="8" applyNumberFormat="1" applyFont="1" applyFill="1" applyBorder="1" applyAlignment="1">
      <alignment vertical="center" wrapText="1"/>
    </xf>
    <xf numFmtId="0" fontId="3" fillId="0" borderId="21" xfId="8" applyFont="1" applyBorder="1" applyAlignment="1">
      <alignment vertical="center" wrapText="1"/>
    </xf>
    <xf numFmtId="168" fontId="3" fillId="0" borderId="14" xfId="8" applyNumberFormat="1" applyFont="1" applyBorder="1" applyAlignment="1">
      <alignment vertical="center" wrapText="1"/>
    </xf>
    <xf numFmtId="168" fontId="3" fillId="0" borderId="22" xfId="8" applyNumberFormat="1" applyFont="1" applyBorder="1" applyAlignment="1">
      <alignment vertical="center" wrapText="1"/>
    </xf>
    <xf numFmtId="0" fontId="17" fillId="3" borderId="23" xfId="8" applyFont="1" applyFill="1" applyBorder="1" applyAlignment="1">
      <alignment vertical="center" wrapText="1"/>
    </xf>
    <xf numFmtId="169" fontId="17" fillId="3" borderId="24" xfId="8" applyNumberFormat="1" applyFont="1" applyFill="1" applyBorder="1" applyAlignment="1">
      <alignment vertical="center" wrapText="1"/>
    </xf>
    <xf numFmtId="168" fontId="17" fillId="3" borderId="24" xfId="8" applyNumberFormat="1" applyFont="1" applyFill="1" applyBorder="1" applyAlignment="1">
      <alignment vertical="center" wrapText="1"/>
    </xf>
    <xf numFmtId="168" fontId="17" fillId="3" borderId="25" xfId="8" applyNumberFormat="1" applyFont="1" applyFill="1" applyBorder="1" applyAlignment="1">
      <alignment vertical="center" wrapText="1"/>
    </xf>
    <xf numFmtId="0" fontId="9" fillId="2" borderId="4" xfId="6" applyNumberFormat="1" applyFont="1" applyFill="1" applyBorder="1" applyAlignment="1">
      <alignment horizontal="center" vertical="top" wrapText="1"/>
    </xf>
    <xf numFmtId="0" fontId="9" fillId="2" borderId="5" xfId="6" applyNumberFormat="1" applyFont="1" applyFill="1" applyBorder="1" applyAlignment="1">
      <alignment horizontal="center" vertical="top" wrapText="1"/>
    </xf>
    <xf numFmtId="0" fontId="3" fillId="2" borderId="0" xfId="5" applyFont="1" applyFill="1"/>
    <xf numFmtId="0" fontId="3" fillId="2" borderId="0" xfId="5" applyFont="1" applyFill="1" applyAlignment="1">
      <alignment horizontal="center"/>
    </xf>
    <xf numFmtId="0" fontId="11" fillId="2" borderId="0" xfId="6" applyFont="1" applyFill="1" applyBorder="1" applyAlignment="1">
      <alignment vertical="center" wrapText="1"/>
    </xf>
    <xf numFmtId="0" fontId="19" fillId="2" borderId="3" xfId="5" applyFont="1" applyFill="1" applyBorder="1" applyAlignment="1">
      <alignment horizontal="center" vertical="center" wrapText="1"/>
    </xf>
    <xf numFmtId="0" fontId="19" fillId="2" borderId="4" xfId="5" applyFont="1" applyFill="1" applyBorder="1" applyAlignment="1">
      <alignment horizontal="center" vertical="center" wrapText="1"/>
    </xf>
    <xf numFmtId="0" fontId="3" fillId="2" borderId="4" xfId="5" applyFont="1" applyFill="1" applyBorder="1" applyAlignment="1">
      <alignment horizontal="center" vertical="center" wrapText="1"/>
    </xf>
    <xf numFmtId="0" fontId="9" fillId="2" borderId="4" xfId="6" applyNumberFormat="1" applyFont="1" applyFill="1" applyBorder="1" applyAlignment="1">
      <alignment horizontal="center" vertical="center" wrapText="1"/>
    </xf>
    <xf numFmtId="0" fontId="9" fillId="2" borderId="5" xfId="6" applyNumberFormat="1" applyFont="1" applyFill="1" applyBorder="1" applyAlignment="1">
      <alignment horizontal="center" vertical="center" wrapText="1"/>
    </xf>
    <xf numFmtId="0" fontId="3" fillId="2" borderId="26" xfId="5" applyFont="1" applyFill="1" applyBorder="1"/>
    <xf numFmtId="0" fontId="3" fillId="2" borderId="13" xfId="5" applyFont="1" applyFill="1" applyBorder="1"/>
    <xf numFmtId="0" fontId="18" fillId="5" borderId="3" xfId="5" applyFont="1" applyFill="1" applyBorder="1" applyAlignment="1">
      <alignment vertical="center" wrapText="1"/>
    </xf>
    <xf numFmtId="0" fontId="18" fillId="5" borderId="4" xfId="5" applyFont="1" applyFill="1" applyBorder="1" applyAlignment="1">
      <alignment horizontal="center" wrapText="1"/>
    </xf>
    <xf numFmtId="164" fontId="18" fillId="5" borderId="4" xfId="5" applyNumberFormat="1" applyFont="1" applyFill="1" applyBorder="1" applyAlignment="1">
      <alignment horizontal="center" wrapText="1"/>
    </xf>
    <xf numFmtId="164" fontId="18" fillId="5" borderId="4" xfId="5" applyNumberFormat="1" applyFont="1" applyFill="1" applyBorder="1" applyAlignment="1">
      <alignment horizontal="right" wrapText="1"/>
    </xf>
    <xf numFmtId="164" fontId="22" fillId="5" borderId="4" xfId="5" applyNumberFormat="1" applyFont="1" applyFill="1" applyBorder="1" applyAlignment="1">
      <alignment horizontal="right"/>
    </xf>
    <xf numFmtId="164" fontId="22" fillId="5" borderId="4" xfId="5" applyNumberFormat="1" applyFont="1" applyFill="1" applyBorder="1" applyAlignment="1">
      <alignment horizontal="right" wrapText="1"/>
    </xf>
    <xf numFmtId="164" fontId="22" fillId="5" borderId="5" xfId="5" applyNumberFormat="1" applyFont="1" applyFill="1" applyBorder="1" applyAlignment="1">
      <alignment horizontal="right" wrapText="1"/>
    </xf>
    <xf numFmtId="164" fontId="3" fillId="2" borderId="26" xfId="5" applyNumberFormat="1" applyFont="1" applyFill="1" applyBorder="1"/>
    <xf numFmtId="164" fontId="3" fillId="2" borderId="13" xfId="5" applyNumberFormat="1" applyFont="1" applyFill="1" applyBorder="1"/>
    <xf numFmtId="0" fontId="19" fillId="2" borderId="3" xfId="5" applyFont="1" applyFill="1" applyBorder="1" applyAlignment="1">
      <alignment vertical="center" wrapText="1"/>
    </xf>
    <xf numFmtId="0" fontId="19" fillId="2" borderId="4" xfId="5" applyFont="1" applyFill="1" applyBorder="1" applyAlignment="1">
      <alignment horizontal="center" wrapText="1"/>
    </xf>
    <xf numFmtId="164" fontId="19" fillId="2" borderId="4" xfId="5" applyNumberFormat="1" applyFont="1" applyFill="1" applyBorder="1" applyAlignment="1">
      <alignment horizontal="center" wrapText="1"/>
    </xf>
    <xf numFmtId="164" fontId="19" fillId="2" borderId="4" xfId="5" applyNumberFormat="1" applyFont="1" applyFill="1" applyBorder="1" applyAlignment="1">
      <alignment horizontal="right" wrapText="1"/>
    </xf>
    <xf numFmtId="164" fontId="3" fillId="2" borderId="4" xfId="5" applyNumberFormat="1" applyFont="1" applyFill="1" applyBorder="1" applyAlignment="1">
      <alignment horizontal="right"/>
    </xf>
    <xf numFmtId="164" fontId="21" fillId="2" borderId="4" xfId="5" applyNumberFormat="1" applyFont="1" applyFill="1" applyBorder="1" applyAlignment="1">
      <alignment horizontal="right"/>
    </xf>
    <xf numFmtId="4" fontId="3" fillId="2" borderId="4" xfId="5" applyNumberFormat="1" applyFont="1" applyFill="1" applyBorder="1"/>
    <xf numFmtId="164" fontId="21" fillId="2" borderId="4" xfId="5" applyNumberFormat="1" applyFont="1" applyFill="1" applyBorder="1" applyAlignment="1">
      <alignment horizontal="right" wrapText="1"/>
    </xf>
    <xf numFmtId="164" fontId="21" fillId="2" borderId="5" xfId="5" applyNumberFormat="1" applyFont="1" applyFill="1" applyBorder="1" applyAlignment="1">
      <alignment horizontal="right" wrapText="1"/>
    </xf>
    <xf numFmtId="4" fontId="3" fillId="2" borderId="13" xfId="5" applyNumberFormat="1" applyFont="1" applyFill="1" applyBorder="1"/>
    <xf numFmtId="164" fontId="19" fillId="5" borderId="4" xfId="5" applyNumberFormat="1" applyFont="1" applyFill="1" applyBorder="1" applyAlignment="1">
      <alignment horizontal="right" wrapText="1"/>
    </xf>
    <xf numFmtId="164" fontId="21" fillId="5" borderId="4" xfId="5" applyNumberFormat="1" applyFont="1" applyFill="1" applyBorder="1" applyAlignment="1">
      <alignment horizontal="right"/>
    </xf>
    <xf numFmtId="164" fontId="19" fillId="2" borderId="4" xfId="5" applyNumberFormat="1" applyFont="1" applyFill="1" applyBorder="1"/>
    <xf numFmtId="4" fontId="19" fillId="2" borderId="4" xfId="5" applyNumberFormat="1" applyFont="1" applyFill="1" applyBorder="1"/>
    <xf numFmtId="164" fontId="17" fillId="2" borderId="26" xfId="5" applyNumberFormat="1" applyFont="1" applyFill="1" applyBorder="1"/>
    <xf numFmtId="164" fontId="17" fillId="2" borderId="13" xfId="5" applyNumberFormat="1" applyFont="1" applyFill="1" applyBorder="1"/>
    <xf numFmtId="0" fontId="17" fillId="2" borderId="0" xfId="5" applyFont="1" applyFill="1"/>
    <xf numFmtId="165" fontId="3" fillId="2" borderId="4" xfId="0" applyNumberFormat="1" applyFont="1" applyFill="1" applyBorder="1"/>
    <xf numFmtId="0" fontId="18" fillId="2" borderId="8" xfId="5" applyFont="1" applyFill="1" applyBorder="1" applyAlignment="1">
      <alignment vertical="center" wrapText="1"/>
    </xf>
    <xf numFmtId="0" fontId="17" fillId="2" borderId="7" xfId="5" applyFont="1" applyFill="1" applyBorder="1" applyAlignment="1">
      <alignment horizontal="center"/>
    </xf>
    <xf numFmtId="164" fontId="17" fillId="2" borderId="7" xfId="5" applyNumberFormat="1" applyFont="1" applyFill="1" applyBorder="1" applyAlignment="1">
      <alignment horizontal="center"/>
    </xf>
    <xf numFmtId="164" fontId="17" fillId="2" borderId="7" xfId="5" applyNumberFormat="1" applyFont="1" applyFill="1" applyBorder="1" applyAlignment="1">
      <alignment horizontal="right"/>
    </xf>
    <xf numFmtId="168" fontId="17" fillId="2" borderId="7" xfId="5" applyNumberFormat="1" applyFont="1" applyFill="1" applyBorder="1" applyAlignment="1">
      <alignment horizontal="right"/>
    </xf>
    <xf numFmtId="164" fontId="22" fillId="2" borderId="7" xfId="5" applyNumberFormat="1" applyFont="1" applyFill="1" applyBorder="1" applyAlignment="1">
      <alignment horizontal="right"/>
    </xf>
    <xf numFmtId="164" fontId="22" fillId="2" borderId="9" xfId="5" applyNumberFormat="1" applyFont="1" applyFill="1" applyBorder="1" applyAlignment="1">
      <alignment horizontal="right" wrapText="1"/>
    </xf>
    <xf numFmtId="165" fontId="3" fillId="2" borderId="0" xfId="5" applyNumberFormat="1" applyFont="1" applyFill="1" applyAlignment="1">
      <alignment horizontal="center"/>
    </xf>
    <xf numFmtId="164" fontId="17" fillId="2" borderId="12" xfId="5" applyNumberFormat="1" applyFont="1" applyFill="1" applyBorder="1" applyAlignment="1">
      <alignment horizontal="right"/>
    </xf>
    <xf numFmtId="164" fontId="3" fillId="2" borderId="0" xfId="5" applyNumberFormat="1" applyFont="1" applyFill="1" applyAlignment="1">
      <alignment horizontal="center"/>
    </xf>
    <xf numFmtId="164" fontId="17" fillId="2" borderId="4" xfId="5" applyNumberFormat="1" applyFont="1" applyFill="1" applyBorder="1" applyAlignment="1">
      <alignment horizontal="right"/>
    </xf>
    <xf numFmtId="164" fontId="3" fillId="2" borderId="0" xfId="5" applyNumberFormat="1" applyFont="1" applyFill="1"/>
    <xf numFmtId="0" fontId="3" fillId="2" borderId="4" xfId="5" applyFont="1" applyFill="1" applyBorder="1"/>
    <xf numFmtId="0" fontId="3" fillId="2" borderId="4" xfId="5" applyFont="1" applyFill="1" applyBorder="1" applyAlignment="1">
      <alignment horizontal="center"/>
    </xf>
    <xf numFmtId="164" fontId="3" fillId="2" borderId="4" xfId="5" applyNumberFormat="1" applyFont="1" applyFill="1" applyBorder="1" applyAlignment="1">
      <alignment horizontal="center"/>
    </xf>
    <xf numFmtId="164" fontId="3" fillId="2" borderId="4" xfId="5" applyNumberFormat="1" applyFont="1" applyFill="1" applyBorder="1"/>
    <xf numFmtId="0" fontId="9" fillId="0" borderId="0" xfId="1" applyFont="1" applyFill="1" applyAlignment="1">
      <alignment horizontal="right"/>
    </xf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/>
    </xf>
    <xf numFmtId="164" fontId="9" fillId="6" borderId="4" xfId="1" applyNumberFormat="1" applyFont="1" applyFill="1" applyBorder="1" applyAlignment="1">
      <alignment vertical="center"/>
    </xf>
    <xf numFmtId="174" fontId="2" fillId="0" borderId="5" xfId="1" applyNumberFormat="1" applyFont="1" applyFill="1" applyBorder="1" applyAlignment="1">
      <alignment horizontal="right"/>
    </xf>
    <xf numFmtId="165" fontId="2" fillId="0" borderId="9" xfId="1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11" fillId="0" borderId="3" xfId="1" applyFont="1" applyFill="1" applyBorder="1" applyAlignment="1">
      <alignment horizontal="center" wrapText="1"/>
    </xf>
    <xf numFmtId="0" fontId="11" fillId="0" borderId="4" xfId="1" applyFont="1" applyFill="1" applyBorder="1" applyAlignment="1">
      <alignment horizontal="center" wrapText="1"/>
    </xf>
    <xf numFmtId="0" fontId="11" fillId="0" borderId="5" xfId="1" applyFont="1" applyFill="1" applyBorder="1" applyAlignment="1">
      <alignment horizontal="center" wrapText="1"/>
    </xf>
    <xf numFmtId="0" fontId="11" fillId="0" borderId="3" xfId="1" applyFont="1" applyFill="1" applyBorder="1" applyAlignment="1">
      <alignment horizontal="center"/>
    </xf>
    <xf numFmtId="0" fontId="11" fillId="0" borderId="4" xfId="1" applyFont="1" applyFill="1" applyBorder="1" applyAlignment="1">
      <alignment horizontal="center"/>
    </xf>
    <xf numFmtId="0" fontId="11" fillId="0" borderId="5" xfId="1" applyFont="1" applyFill="1" applyBorder="1" applyAlignment="1">
      <alignment horizontal="center"/>
    </xf>
    <xf numFmtId="4" fontId="11" fillId="0" borderId="3" xfId="1" applyNumberFormat="1" applyFont="1" applyFill="1" applyBorder="1" applyAlignment="1">
      <alignment horizontal="center" vertical="center" wrapText="1"/>
    </xf>
    <xf numFmtId="4" fontId="11" fillId="0" borderId="4" xfId="1" applyNumberFormat="1" applyFont="1" applyFill="1" applyBorder="1" applyAlignment="1">
      <alignment horizontal="center" vertical="center" wrapText="1"/>
    </xf>
    <xf numFmtId="4" fontId="11" fillId="0" borderId="5" xfId="1" applyNumberFormat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/>
    </xf>
    <xf numFmtId="0" fontId="11" fillId="0" borderId="15" xfId="1" applyFont="1" applyFill="1" applyBorder="1" applyAlignment="1">
      <alignment horizontal="center"/>
    </xf>
    <xf numFmtId="172" fontId="9" fillId="0" borderId="0" xfId="1" applyNumberFormat="1" applyFont="1" applyFill="1" applyAlignment="1">
      <alignment horizontal="right"/>
    </xf>
    <xf numFmtId="0" fontId="16" fillId="0" borderId="0" xfId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 wrapText="1"/>
    </xf>
    <xf numFmtId="0" fontId="11" fillId="0" borderId="28" xfId="1" applyFont="1" applyFill="1" applyBorder="1" applyAlignment="1">
      <alignment horizontal="center" vertical="center" wrapText="1"/>
    </xf>
    <xf numFmtId="0" fontId="11" fillId="0" borderId="3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right"/>
    </xf>
    <xf numFmtId="0" fontId="11" fillId="0" borderId="1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8" fontId="9" fillId="0" borderId="3" xfId="1" applyNumberFormat="1" applyFont="1" applyFill="1" applyBorder="1" applyAlignment="1">
      <alignment horizontal="center"/>
    </xf>
    <xf numFmtId="168" fontId="9" fillId="0" borderId="4" xfId="1" applyNumberFormat="1" applyFont="1" applyFill="1" applyBorder="1" applyAlignment="1">
      <alignment horizontal="center"/>
    </xf>
    <xf numFmtId="168" fontId="9" fillId="0" borderId="5" xfId="1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6" fillId="0" borderId="3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17" fillId="2" borderId="19" xfId="8" applyFont="1" applyFill="1" applyBorder="1" applyAlignment="1">
      <alignment horizontal="center" vertical="center" wrapText="1"/>
    </xf>
    <xf numFmtId="0" fontId="17" fillId="2" borderId="14" xfId="8" applyFont="1" applyFill="1" applyBorder="1" applyAlignment="1">
      <alignment horizontal="center" vertical="center" wrapText="1"/>
    </xf>
    <xf numFmtId="0" fontId="17" fillId="0" borderId="19" xfId="8" applyFont="1" applyBorder="1" applyAlignment="1">
      <alignment horizontal="center" vertical="center" wrapText="1"/>
    </xf>
    <xf numFmtId="0" fontId="17" fillId="0" borderId="14" xfId="8" applyFont="1" applyBorder="1" applyAlignment="1">
      <alignment horizontal="center" vertical="center" wrapText="1"/>
    </xf>
    <xf numFmtId="0" fontId="17" fillId="0" borderId="22" xfId="8" applyFont="1" applyBorder="1" applyAlignment="1">
      <alignment horizontal="center" vertical="center" wrapText="1"/>
    </xf>
    <xf numFmtId="0" fontId="17" fillId="0" borderId="0" xfId="7" applyFont="1" applyBorder="1" applyAlignment="1">
      <alignment horizontal="center" vertical="center" wrapText="1"/>
    </xf>
    <xf numFmtId="0" fontId="17" fillId="0" borderId="20" xfId="8" applyFont="1" applyBorder="1" applyAlignment="1">
      <alignment horizontal="center" vertical="center" wrapText="1"/>
    </xf>
    <xf numFmtId="0" fontId="17" fillId="0" borderId="18" xfId="8" applyFont="1" applyBorder="1" applyAlignment="1">
      <alignment horizontal="center" vertical="center" wrapText="1"/>
    </xf>
    <xf numFmtId="0" fontId="17" fillId="0" borderId="21" xfId="8" applyFont="1" applyBorder="1" applyAlignment="1">
      <alignment horizontal="center" vertical="center" wrapText="1"/>
    </xf>
    <xf numFmtId="0" fontId="3" fillId="2" borderId="0" xfId="5" applyFont="1" applyFill="1" applyAlignment="1">
      <alignment horizontal="center"/>
    </xf>
    <xf numFmtId="0" fontId="9" fillId="2" borderId="2" xfId="6" applyNumberFormat="1" applyFont="1" applyFill="1" applyBorder="1" applyAlignment="1">
      <alignment horizontal="center" vertical="center" wrapText="1"/>
    </xf>
    <xf numFmtId="0" fontId="9" fillId="2" borderId="4" xfId="6" applyNumberFormat="1" applyFont="1" applyFill="1" applyBorder="1" applyAlignment="1">
      <alignment horizontal="center" vertical="center" wrapText="1"/>
    </xf>
    <xf numFmtId="0" fontId="9" fillId="2" borderId="2" xfId="6" applyNumberFormat="1" applyFont="1" applyFill="1" applyBorder="1" applyAlignment="1">
      <alignment horizontal="center" vertical="top" wrapText="1"/>
    </xf>
    <xf numFmtId="0" fontId="9" fillId="2" borderId="10" xfId="6" applyNumberFormat="1" applyFont="1" applyFill="1" applyBorder="1" applyAlignment="1">
      <alignment horizontal="center" vertical="top" wrapText="1"/>
    </xf>
    <xf numFmtId="0" fontId="3" fillId="2" borderId="26" xfId="5" applyFont="1" applyFill="1" applyBorder="1" applyAlignment="1">
      <alignment horizontal="center" wrapText="1"/>
    </xf>
    <xf numFmtId="0" fontId="3" fillId="2" borderId="13" xfId="5" applyFont="1" applyFill="1" applyBorder="1" applyAlignment="1">
      <alignment horizontal="center" wrapText="1"/>
    </xf>
    <xf numFmtId="0" fontId="23" fillId="2" borderId="0" xfId="6" applyFont="1" applyFill="1" applyBorder="1" applyAlignment="1">
      <alignment horizontal="center" vertical="center" wrapText="1"/>
    </xf>
    <xf numFmtId="0" fontId="3" fillId="2" borderId="0" xfId="5" applyFont="1" applyFill="1" applyBorder="1" applyAlignment="1">
      <alignment horizontal="right"/>
    </xf>
    <xf numFmtId="0" fontId="18" fillId="2" borderId="1" xfId="5" applyFont="1" applyFill="1" applyBorder="1" applyAlignment="1">
      <alignment horizontal="center" vertical="center" wrapText="1"/>
    </xf>
    <xf numFmtId="0" fontId="18" fillId="2" borderId="3" xfId="5" applyFont="1" applyFill="1" applyBorder="1" applyAlignment="1">
      <alignment horizontal="center" vertical="center" wrapText="1"/>
    </xf>
    <xf numFmtId="0" fontId="18" fillId="2" borderId="2" xfId="5" applyFont="1" applyFill="1" applyBorder="1" applyAlignment="1">
      <alignment horizontal="center" vertical="center" wrapText="1"/>
    </xf>
    <xf numFmtId="0" fontId="18" fillId="2" borderId="4" xfId="5" applyFont="1" applyFill="1" applyBorder="1" applyAlignment="1">
      <alignment horizontal="center" vertical="center" wrapText="1"/>
    </xf>
    <xf numFmtId="0" fontId="17" fillId="2" borderId="2" xfId="5" applyFont="1" applyFill="1" applyBorder="1" applyAlignment="1">
      <alignment horizontal="center" vertical="center" wrapText="1"/>
    </xf>
    <xf numFmtId="0" fontId="17" fillId="2" borderId="4" xfId="5" applyFont="1" applyFill="1" applyBorder="1" applyAlignment="1">
      <alignment horizontal="center" vertical="center" wrapText="1"/>
    </xf>
    <xf numFmtId="14" fontId="17" fillId="0" borderId="17" xfId="0" applyNumberFormat="1" applyFont="1" applyBorder="1" applyAlignment="1">
      <alignment horizontal="center" vertical="center" wrapText="1"/>
    </xf>
    <xf numFmtId="14" fontId="17" fillId="0" borderId="12" xfId="0" applyNumberFormat="1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168" fontId="5" fillId="0" borderId="0" xfId="0" applyNumberFormat="1" applyFont="1" applyAlignment="1">
      <alignment horizontal="right" vertical="center"/>
    </xf>
    <xf numFmtId="0" fontId="17" fillId="0" borderId="0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" fillId="2" borderId="0" xfId="5" applyFont="1" applyFill="1" applyAlignment="1">
      <alignment horizontal="right"/>
    </xf>
    <xf numFmtId="168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/>
    </xf>
  </cellXfs>
  <cellStyles count="9">
    <cellStyle name="Обычный" xfId="0" builtinId="0"/>
    <cellStyle name="Обычный 10" xfId="7"/>
    <cellStyle name="Обычный 2" xfId="1"/>
    <cellStyle name="Обычный 3" xfId="2"/>
    <cellStyle name="Обычный 3 2" xfId="6"/>
    <cellStyle name="Обычный 5" xfId="4"/>
    <cellStyle name="Обычный 5 2" xfId="8"/>
    <cellStyle name="Обычный 7" xfId="5"/>
    <cellStyle name="Финансовый" xfId="3" builtinId="3"/>
  </cellStyles>
  <dxfs count="0"/>
  <tableStyles count="0" defaultTableStyle="TableStyleMedium2" defaultPivotStyle="PivotStyleLight16"/>
  <colors>
    <mruColors>
      <color rgb="FF99FFCC"/>
      <color rgb="FFFFCCFF"/>
      <color rgb="FFFFFFCC"/>
      <color rgb="FF66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44"/>
  <sheetViews>
    <sheetView zoomScaleNormal="100" zoomScaleSheetLayoutView="100" workbookViewId="0">
      <pane xSplit="1" ySplit="5" topLeftCell="L10" activePane="bottomRight" state="frozen"/>
      <selection activeCell="E9" sqref="E9"/>
      <selection pane="topRight" activeCell="E9" sqref="E9"/>
      <selection pane="bottomLeft" activeCell="E9" sqref="E9"/>
      <selection pane="bottomRight" activeCell="N4" sqref="N4:V4"/>
    </sheetView>
  </sheetViews>
  <sheetFormatPr defaultColWidth="9.109375" defaultRowHeight="13.2" x14ac:dyDescent="0.25"/>
  <cols>
    <col min="1" max="1" width="23.6640625" style="20" customWidth="1"/>
    <col min="2" max="2" width="13.44140625" style="20" hidden="1" customWidth="1"/>
    <col min="3" max="3" width="13.6640625" style="21" hidden="1" customWidth="1"/>
    <col min="4" max="4" width="13.109375" style="21" hidden="1" customWidth="1"/>
    <col min="5" max="5" width="15" style="21" hidden="1" customWidth="1"/>
    <col min="6" max="7" width="13.109375" style="21" hidden="1" customWidth="1"/>
    <col min="8" max="9" width="11.44140625" style="21" hidden="1" customWidth="1"/>
    <col min="10" max="10" width="15.44140625" style="21" hidden="1" customWidth="1"/>
    <col min="11" max="11" width="13.109375" style="21" hidden="1" customWidth="1"/>
    <col min="12" max="12" width="12.33203125" style="22" customWidth="1"/>
    <col min="13" max="13" width="13.44140625" style="22" customWidth="1"/>
    <col min="14" max="14" width="10.6640625" style="3" hidden="1" customWidth="1"/>
    <col min="15" max="15" width="10.6640625" style="22" hidden="1" customWidth="1"/>
    <col min="16" max="16" width="12.33203125" style="22" hidden="1" customWidth="1"/>
    <col min="17" max="17" width="13.33203125" style="22" hidden="1" customWidth="1"/>
    <col min="18" max="18" width="12.21875" style="22" customWidth="1"/>
    <col min="19" max="19" width="12.33203125" style="22" bestFit="1" customWidth="1"/>
    <col min="20" max="20" width="12.88671875" style="22" customWidth="1"/>
    <col min="21" max="21" width="12.109375" style="22" customWidth="1"/>
    <col min="22" max="22" width="12.33203125" style="22" customWidth="1"/>
    <col min="23" max="16384" width="9.109375" style="20"/>
  </cols>
  <sheetData>
    <row r="1" spans="1:24" x14ac:dyDescent="0.25">
      <c r="H1" s="295" t="s">
        <v>282</v>
      </c>
      <c r="I1" s="295"/>
      <c r="J1" s="126"/>
      <c r="K1" s="126"/>
      <c r="M1" s="126"/>
      <c r="T1" s="288" t="s">
        <v>566</v>
      </c>
      <c r="U1" s="288"/>
      <c r="V1" s="288"/>
    </row>
    <row r="2" spans="1:24" ht="35.25" customHeight="1" x14ac:dyDescent="0.25">
      <c r="A2" s="289" t="s">
        <v>512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</row>
    <row r="3" spans="1:24" ht="15" customHeight="1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23"/>
      <c r="M3" s="23"/>
      <c r="N3" s="4"/>
      <c r="O3" s="23"/>
      <c r="P3" s="23"/>
      <c r="Q3" s="23"/>
      <c r="R3" s="23"/>
      <c r="S3" s="23"/>
      <c r="T3" s="23"/>
      <c r="U3" s="23"/>
      <c r="V3" s="23"/>
    </row>
    <row r="4" spans="1:24" s="24" customFormat="1" ht="104.25" customHeight="1" thickTop="1" x14ac:dyDescent="0.3">
      <c r="A4" s="296" t="s">
        <v>0</v>
      </c>
      <c r="B4" s="293" t="s">
        <v>283</v>
      </c>
      <c r="C4" s="293"/>
      <c r="D4" s="293"/>
      <c r="E4" s="293"/>
      <c r="F4" s="293"/>
      <c r="G4" s="293"/>
      <c r="H4" s="293"/>
      <c r="I4" s="293"/>
      <c r="J4" s="290" t="s">
        <v>513</v>
      </c>
      <c r="K4" s="291"/>
      <c r="L4" s="291"/>
      <c r="M4" s="292"/>
      <c r="N4" s="293" t="s">
        <v>514</v>
      </c>
      <c r="O4" s="293"/>
      <c r="P4" s="293"/>
      <c r="Q4" s="293"/>
      <c r="R4" s="293"/>
      <c r="S4" s="293"/>
      <c r="T4" s="293"/>
      <c r="U4" s="293"/>
      <c r="V4" s="294"/>
    </row>
    <row r="5" spans="1:24" s="24" customFormat="1" ht="31.5" customHeight="1" x14ac:dyDescent="0.3">
      <c r="A5" s="297"/>
      <c r="B5" s="5" t="s">
        <v>284</v>
      </c>
      <c r="C5" s="5" t="s">
        <v>285</v>
      </c>
      <c r="D5" s="5" t="s">
        <v>286</v>
      </c>
      <c r="E5" s="5" t="s">
        <v>287</v>
      </c>
      <c r="F5" s="5" t="s">
        <v>288</v>
      </c>
      <c r="G5" s="5" t="s">
        <v>289</v>
      </c>
      <c r="H5" s="5" t="s">
        <v>290</v>
      </c>
      <c r="I5" s="5" t="s">
        <v>291</v>
      </c>
      <c r="J5" s="5" t="s">
        <v>25</v>
      </c>
      <c r="K5" s="5" t="s">
        <v>17</v>
      </c>
      <c r="L5" s="25" t="s">
        <v>293</v>
      </c>
      <c r="M5" s="25" t="s">
        <v>18</v>
      </c>
      <c r="N5" s="5" t="s">
        <v>14</v>
      </c>
      <c r="O5" s="25" t="s">
        <v>292</v>
      </c>
      <c r="P5" s="25" t="s">
        <v>15</v>
      </c>
      <c r="Q5" s="25" t="s">
        <v>16</v>
      </c>
      <c r="R5" s="25" t="s">
        <v>515</v>
      </c>
      <c r="S5" s="25" t="s">
        <v>516</v>
      </c>
      <c r="T5" s="25" t="s">
        <v>24</v>
      </c>
      <c r="U5" s="25" t="s">
        <v>294</v>
      </c>
      <c r="V5" s="26" t="s">
        <v>517</v>
      </c>
    </row>
    <row r="6" spans="1:24" x14ac:dyDescent="0.25">
      <c r="A6" s="27" t="s">
        <v>19</v>
      </c>
      <c r="B6" s="12" t="s">
        <v>295</v>
      </c>
      <c r="C6" s="12">
        <v>2</v>
      </c>
      <c r="D6" s="12">
        <v>3</v>
      </c>
      <c r="E6" s="12">
        <v>4</v>
      </c>
      <c r="F6" s="12">
        <v>3</v>
      </c>
      <c r="G6" s="12" t="s">
        <v>295</v>
      </c>
      <c r="H6" s="12">
        <v>6</v>
      </c>
      <c r="I6" s="12">
        <v>7</v>
      </c>
      <c r="J6" s="12">
        <v>1</v>
      </c>
      <c r="K6" s="12">
        <v>2</v>
      </c>
      <c r="L6" s="28">
        <v>1</v>
      </c>
      <c r="M6" s="28">
        <v>2</v>
      </c>
      <c r="N6" s="12">
        <v>3</v>
      </c>
      <c r="O6" s="28">
        <v>3</v>
      </c>
      <c r="P6" s="28">
        <v>4</v>
      </c>
      <c r="Q6" s="28">
        <v>5</v>
      </c>
      <c r="R6" s="28">
        <v>3</v>
      </c>
      <c r="S6" s="28">
        <v>4</v>
      </c>
      <c r="T6" s="28">
        <v>5</v>
      </c>
      <c r="U6" s="28">
        <v>6</v>
      </c>
      <c r="V6" s="29">
        <v>7</v>
      </c>
    </row>
    <row r="7" spans="1:24" x14ac:dyDescent="0.25">
      <c r="A7" s="280" t="s">
        <v>20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  <c r="V7" s="282"/>
    </row>
    <row r="8" spans="1:24" x14ac:dyDescent="0.25">
      <c r="A8" s="1" t="s">
        <v>1</v>
      </c>
      <c r="B8" s="6">
        <v>361.03476999999998</v>
      </c>
      <c r="C8" s="7">
        <v>367.98869000000002</v>
      </c>
      <c r="D8" s="7">
        <v>261660.6</v>
      </c>
      <c r="E8" s="7">
        <v>266682.43</v>
      </c>
      <c r="F8" s="7">
        <v>392.18227999999999</v>
      </c>
      <c r="G8" s="6">
        <v>366.39341999999999</v>
      </c>
      <c r="H8" s="7">
        <v>343031.48</v>
      </c>
      <c r="I8" s="7">
        <v>381682.47</v>
      </c>
      <c r="J8" s="6">
        <v>442.76</v>
      </c>
      <c r="K8" s="6">
        <v>480.32</v>
      </c>
      <c r="L8" s="31">
        <v>482.8</v>
      </c>
      <c r="M8" s="31">
        <v>518.97</v>
      </c>
      <c r="N8" s="8">
        <v>342.35899999999998</v>
      </c>
      <c r="O8" s="30">
        <v>436.6</v>
      </c>
      <c r="P8" s="31">
        <v>401.07400000000001</v>
      </c>
      <c r="Q8" s="31">
        <v>431.84500000000003</v>
      </c>
      <c r="R8" s="31">
        <v>471.9</v>
      </c>
      <c r="S8" s="31">
        <v>502.8</v>
      </c>
      <c r="T8" s="31">
        <v>538.6</v>
      </c>
      <c r="U8" s="31">
        <v>579</v>
      </c>
      <c r="V8" s="32">
        <v>615.29999999999995</v>
      </c>
      <c r="W8" s="72"/>
      <c r="X8" s="72"/>
    </row>
    <row r="9" spans="1:24" x14ac:dyDescent="0.25">
      <c r="A9" s="1" t="s">
        <v>2</v>
      </c>
      <c r="B9" s="7">
        <v>71493</v>
      </c>
      <c r="C9" s="7">
        <v>67588.414728926189</v>
      </c>
      <c r="D9" s="7">
        <v>53274</v>
      </c>
      <c r="E9" s="7"/>
      <c r="F9" s="2">
        <v>73315</v>
      </c>
      <c r="G9" s="2">
        <v>76077</v>
      </c>
      <c r="H9" s="7">
        <v>63436</v>
      </c>
      <c r="I9" s="7">
        <v>70409</v>
      </c>
      <c r="J9" s="2">
        <v>84346</v>
      </c>
      <c r="K9" s="2">
        <v>89487</v>
      </c>
      <c r="L9" s="34">
        <v>92224</v>
      </c>
      <c r="M9" s="34">
        <v>97462</v>
      </c>
      <c r="N9" s="7">
        <v>71406</v>
      </c>
      <c r="O9" s="33">
        <v>86044</v>
      </c>
      <c r="P9" s="33">
        <v>73515</v>
      </c>
      <c r="Q9" s="34">
        <v>78673</v>
      </c>
      <c r="R9" s="34">
        <v>92037</v>
      </c>
      <c r="S9" s="34">
        <v>101164</v>
      </c>
      <c r="T9" s="34">
        <v>105820</v>
      </c>
      <c r="U9" s="34">
        <v>110732</v>
      </c>
      <c r="V9" s="35">
        <v>118409</v>
      </c>
      <c r="W9" s="72"/>
      <c r="X9" s="72"/>
    </row>
    <row r="10" spans="1:24" x14ac:dyDescent="0.25">
      <c r="A10" s="277" t="s">
        <v>21</v>
      </c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278"/>
      <c r="Q10" s="278"/>
      <c r="R10" s="278"/>
      <c r="S10" s="278"/>
      <c r="T10" s="278"/>
      <c r="U10" s="278"/>
      <c r="V10" s="279"/>
      <c r="W10" s="72"/>
      <c r="X10" s="72"/>
    </row>
    <row r="11" spans="1:24" x14ac:dyDescent="0.25">
      <c r="A11" s="1" t="s">
        <v>1</v>
      </c>
      <c r="B11" s="6">
        <v>99.64</v>
      </c>
      <c r="C11" s="36">
        <v>106.57</v>
      </c>
      <c r="D11" s="37"/>
      <c r="E11" s="37">
        <v>106.08</v>
      </c>
      <c r="F11" s="36">
        <v>101.16</v>
      </c>
      <c r="G11" s="6">
        <v>100.05</v>
      </c>
      <c r="H11" s="37">
        <v>104.4</v>
      </c>
      <c r="I11" s="37">
        <v>105.57</v>
      </c>
      <c r="J11" s="6">
        <v>101.74</v>
      </c>
      <c r="K11" s="6">
        <v>103.46</v>
      </c>
      <c r="L11" s="31">
        <v>104.6</v>
      </c>
      <c r="M11" s="31">
        <v>101.79</v>
      </c>
      <c r="N11" s="8">
        <v>94.04</v>
      </c>
      <c r="O11" s="30">
        <v>102.2</v>
      </c>
      <c r="P11" s="31">
        <v>98.63</v>
      </c>
      <c r="Q11" s="31">
        <v>101.14</v>
      </c>
      <c r="R11" s="31">
        <v>103.23</v>
      </c>
      <c r="S11" s="31">
        <v>102.4</v>
      </c>
      <c r="T11" s="31">
        <v>102.22</v>
      </c>
      <c r="U11" s="31">
        <v>102.81</v>
      </c>
      <c r="V11" s="32">
        <v>102.47</v>
      </c>
      <c r="W11" s="72"/>
      <c r="X11" s="72"/>
    </row>
    <row r="12" spans="1:24" x14ac:dyDescent="0.25">
      <c r="A12" s="1" t="s">
        <v>2</v>
      </c>
      <c r="B12" s="9">
        <v>100.5</v>
      </c>
      <c r="C12" s="2">
        <v>101.84247767924923</v>
      </c>
      <c r="D12" s="2"/>
      <c r="E12" s="2">
        <v>103.7</v>
      </c>
      <c r="F12" s="2">
        <v>102.95177670670436</v>
      </c>
      <c r="G12" s="9">
        <v>102</v>
      </c>
      <c r="H12" s="37">
        <v>104</v>
      </c>
      <c r="I12" s="37">
        <v>104.6</v>
      </c>
      <c r="J12" s="9">
        <v>99.8</v>
      </c>
      <c r="K12" s="9">
        <v>100.8</v>
      </c>
      <c r="L12" s="34">
        <v>102.1</v>
      </c>
      <c r="M12" s="34">
        <v>102.1</v>
      </c>
      <c r="N12" s="9">
        <v>100.6</v>
      </c>
      <c r="O12" s="34">
        <v>99.8</v>
      </c>
      <c r="P12" s="34">
        <v>96.1</v>
      </c>
      <c r="Q12" s="34">
        <v>100.7</v>
      </c>
      <c r="R12" s="34">
        <v>101.5</v>
      </c>
      <c r="S12" s="34">
        <v>101.8</v>
      </c>
      <c r="T12" s="34">
        <v>101.3</v>
      </c>
      <c r="U12" s="34">
        <v>102</v>
      </c>
      <c r="V12" s="35">
        <v>103.1</v>
      </c>
      <c r="W12" s="72"/>
      <c r="X12" s="72"/>
    </row>
    <row r="13" spans="1:24" x14ac:dyDescent="0.25">
      <c r="A13" s="280" t="s">
        <v>3</v>
      </c>
      <c r="B13" s="281"/>
      <c r="C13" s="281"/>
      <c r="D13" s="281"/>
      <c r="E13" s="281"/>
      <c r="F13" s="281"/>
      <c r="G13" s="281"/>
      <c r="H13" s="281"/>
      <c r="I13" s="281"/>
      <c r="J13" s="281"/>
      <c r="K13" s="281"/>
      <c r="L13" s="281"/>
      <c r="M13" s="281"/>
      <c r="N13" s="281"/>
      <c r="O13" s="281"/>
      <c r="P13" s="281"/>
      <c r="Q13" s="281"/>
      <c r="R13" s="281"/>
      <c r="S13" s="281"/>
      <c r="T13" s="281"/>
      <c r="U13" s="281"/>
      <c r="V13" s="282"/>
      <c r="W13" s="72"/>
      <c r="X13" s="72"/>
    </row>
    <row r="14" spans="1:24" x14ac:dyDescent="0.25">
      <c r="A14" s="1" t="s">
        <v>1</v>
      </c>
      <c r="B14" s="10">
        <v>106</v>
      </c>
      <c r="C14" s="38">
        <v>105.91</v>
      </c>
      <c r="D14" s="39"/>
      <c r="E14" s="39">
        <v>108.11</v>
      </c>
      <c r="F14" s="38">
        <v>105.41</v>
      </c>
      <c r="G14" s="10">
        <v>105</v>
      </c>
      <c r="H14" s="39">
        <v>106.1</v>
      </c>
      <c r="I14" s="39">
        <v>105.2</v>
      </c>
      <c r="J14" s="10">
        <v>106.39</v>
      </c>
      <c r="K14" s="38">
        <v>104.85</v>
      </c>
      <c r="L14" s="40">
        <v>104.1</v>
      </c>
      <c r="M14" s="40">
        <v>104.03</v>
      </c>
      <c r="N14" s="10">
        <v>113</v>
      </c>
      <c r="O14" s="40">
        <v>104.77</v>
      </c>
      <c r="P14" s="40">
        <v>110.88</v>
      </c>
      <c r="Q14" s="40">
        <v>106.92</v>
      </c>
      <c r="R14" s="40">
        <v>101.53</v>
      </c>
      <c r="S14" s="40">
        <v>103.08</v>
      </c>
      <c r="T14" s="40">
        <v>104.32</v>
      </c>
      <c r="U14" s="40">
        <v>103.81</v>
      </c>
      <c r="V14" s="41">
        <v>103.97</v>
      </c>
      <c r="W14" s="72"/>
      <c r="X14" s="72"/>
    </row>
    <row r="15" spans="1:24" x14ac:dyDescent="0.25">
      <c r="A15" s="1" t="s">
        <v>2</v>
      </c>
      <c r="B15" s="11">
        <v>106</v>
      </c>
      <c r="C15" s="42">
        <v>106</v>
      </c>
      <c r="D15" s="43"/>
      <c r="E15" s="43" t="s">
        <v>296</v>
      </c>
      <c r="F15" s="10" t="s">
        <v>297</v>
      </c>
      <c r="G15" s="11">
        <v>105</v>
      </c>
      <c r="H15" s="43" t="s">
        <v>297</v>
      </c>
      <c r="I15" s="43" t="s">
        <v>298</v>
      </c>
      <c r="J15" s="11">
        <v>106.5</v>
      </c>
      <c r="K15" s="11">
        <v>104.9</v>
      </c>
      <c r="L15" s="44">
        <v>103.2</v>
      </c>
      <c r="M15" s="44">
        <v>104</v>
      </c>
      <c r="N15" s="11">
        <v>111.4</v>
      </c>
      <c r="O15" s="44">
        <v>105.4</v>
      </c>
      <c r="P15" s="44">
        <v>112.2</v>
      </c>
      <c r="Q15" s="44">
        <v>106.4</v>
      </c>
      <c r="R15" s="34">
        <v>102.5</v>
      </c>
      <c r="S15" s="34">
        <v>103.4</v>
      </c>
      <c r="T15" s="34">
        <v>104.3</v>
      </c>
      <c r="U15" s="34">
        <v>103.8</v>
      </c>
      <c r="V15" s="35">
        <v>104</v>
      </c>
      <c r="W15" s="72"/>
      <c r="X15" s="72"/>
    </row>
    <row r="16" spans="1:24" x14ac:dyDescent="0.25">
      <c r="A16" s="280" t="s">
        <v>4</v>
      </c>
      <c r="B16" s="281"/>
      <c r="C16" s="281"/>
      <c r="D16" s="281"/>
      <c r="E16" s="281"/>
      <c r="F16" s="281"/>
      <c r="G16" s="281"/>
      <c r="H16" s="281"/>
      <c r="I16" s="281"/>
      <c r="J16" s="281"/>
      <c r="K16" s="281"/>
      <c r="L16" s="281"/>
      <c r="M16" s="281"/>
      <c r="N16" s="281"/>
      <c r="O16" s="281"/>
      <c r="P16" s="281"/>
      <c r="Q16" s="281"/>
      <c r="R16" s="281"/>
      <c r="S16" s="281"/>
      <c r="T16" s="281"/>
      <c r="U16" s="281"/>
      <c r="V16" s="282"/>
      <c r="W16" s="72"/>
      <c r="X16" s="72"/>
    </row>
    <row r="17" spans="1:24" x14ac:dyDescent="0.25">
      <c r="A17" s="1" t="s">
        <v>1</v>
      </c>
      <c r="B17" s="10">
        <v>66.19684374793043</v>
      </c>
      <c r="C17" s="38">
        <v>65.97</v>
      </c>
      <c r="D17" s="39"/>
      <c r="E17" s="39">
        <v>119</v>
      </c>
      <c r="F17" s="38">
        <v>103.97</v>
      </c>
      <c r="G17" s="10">
        <v>85.711015670935396</v>
      </c>
      <c r="H17" s="39">
        <v>106.3</v>
      </c>
      <c r="I17" s="39">
        <v>106.9</v>
      </c>
      <c r="J17" s="10">
        <v>100.5</v>
      </c>
      <c r="K17" s="10">
        <v>104.88</v>
      </c>
      <c r="L17" s="40">
        <v>83.63</v>
      </c>
      <c r="M17" s="40">
        <v>108.85</v>
      </c>
      <c r="N17" s="10">
        <v>64.36</v>
      </c>
      <c r="O17" s="40">
        <v>140.69999999999999</v>
      </c>
      <c r="P17" s="40">
        <v>67.39</v>
      </c>
      <c r="Q17" s="40">
        <v>87.39</v>
      </c>
      <c r="R17" s="40">
        <v>124.4</v>
      </c>
      <c r="S17" s="40">
        <v>102.62</v>
      </c>
      <c r="T17" s="40">
        <v>103.16</v>
      </c>
      <c r="U17" s="40">
        <v>102.94</v>
      </c>
      <c r="V17" s="41">
        <v>104.34</v>
      </c>
      <c r="W17" s="72"/>
      <c r="X17" s="72"/>
    </row>
    <row r="18" spans="1:24" x14ac:dyDescent="0.25">
      <c r="A18" s="1" t="s">
        <v>2</v>
      </c>
      <c r="B18" s="11">
        <v>97.6</v>
      </c>
      <c r="C18" s="46">
        <v>102.5</v>
      </c>
      <c r="D18" s="39"/>
      <c r="E18" s="39">
        <v>106</v>
      </c>
      <c r="F18" s="46">
        <v>103.9</v>
      </c>
      <c r="G18" s="11">
        <v>102.4</v>
      </c>
      <c r="H18" s="39">
        <v>107.1</v>
      </c>
      <c r="I18" s="39">
        <v>107.2</v>
      </c>
      <c r="J18" s="11">
        <v>96.9</v>
      </c>
      <c r="K18" s="11">
        <v>100.8</v>
      </c>
      <c r="L18" s="44">
        <v>104.1</v>
      </c>
      <c r="M18" s="44">
        <v>104.7</v>
      </c>
      <c r="N18" s="11">
        <v>97.3</v>
      </c>
      <c r="O18" s="44">
        <v>99.1</v>
      </c>
      <c r="P18" s="44">
        <v>90.1</v>
      </c>
      <c r="Q18" s="44">
        <v>98.4</v>
      </c>
      <c r="R18" s="44">
        <v>104.4</v>
      </c>
      <c r="S18" s="44">
        <v>102.9</v>
      </c>
      <c r="T18" s="44">
        <v>103.1</v>
      </c>
      <c r="U18" s="44">
        <v>107.6</v>
      </c>
      <c r="V18" s="45">
        <v>106.9</v>
      </c>
      <c r="W18" s="72"/>
      <c r="X18" s="72"/>
    </row>
    <row r="19" spans="1:24" x14ac:dyDescent="0.25">
      <c r="A19" s="280" t="s">
        <v>5</v>
      </c>
      <c r="B19" s="281"/>
      <c r="C19" s="281"/>
      <c r="D19" s="281"/>
      <c r="E19" s="281"/>
      <c r="F19" s="281"/>
      <c r="G19" s="281"/>
      <c r="H19" s="281"/>
      <c r="I19" s="281"/>
      <c r="J19" s="281"/>
      <c r="K19" s="281"/>
      <c r="L19" s="281"/>
      <c r="M19" s="281"/>
      <c r="N19" s="281"/>
      <c r="O19" s="281"/>
      <c r="P19" s="281"/>
      <c r="Q19" s="281"/>
      <c r="R19" s="281"/>
      <c r="S19" s="281"/>
      <c r="T19" s="281"/>
      <c r="U19" s="281"/>
      <c r="V19" s="282"/>
      <c r="W19" s="72"/>
      <c r="X19" s="72"/>
    </row>
    <row r="20" spans="1:24" x14ac:dyDescent="0.25">
      <c r="A20" s="1" t="s">
        <v>1</v>
      </c>
      <c r="B20" s="6">
        <v>103.73</v>
      </c>
      <c r="C20" s="47">
        <v>105.93397497290046</v>
      </c>
      <c r="D20" s="48">
        <v>104</v>
      </c>
      <c r="E20" s="48">
        <v>103.1</v>
      </c>
      <c r="F20" s="47">
        <v>104.57</v>
      </c>
      <c r="G20" s="6">
        <v>103.43</v>
      </c>
      <c r="H20" s="48">
        <v>103.8</v>
      </c>
      <c r="I20" s="48">
        <v>104.6</v>
      </c>
      <c r="J20" s="6">
        <v>97.85</v>
      </c>
      <c r="K20" s="6">
        <v>100.75</v>
      </c>
      <c r="L20" s="31">
        <v>100.78</v>
      </c>
      <c r="M20" s="31">
        <v>101.78</v>
      </c>
      <c r="N20" s="6">
        <v>103.9</v>
      </c>
      <c r="O20" s="31">
        <v>96.6</v>
      </c>
      <c r="P20" s="31">
        <v>92.14</v>
      </c>
      <c r="Q20" s="31">
        <v>101.53</v>
      </c>
      <c r="R20" s="31">
        <v>102.7</v>
      </c>
      <c r="S20" s="31">
        <v>102.73</v>
      </c>
      <c r="T20" s="31">
        <v>102.33</v>
      </c>
      <c r="U20" s="31">
        <v>102.1</v>
      </c>
      <c r="V20" s="32">
        <v>101.89</v>
      </c>
      <c r="W20" s="72"/>
      <c r="X20" s="72"/>
    </row>
    <row r="21" spans="1:24" x14ac:dyDescent="0.25">
      <c r="A21" s="1" t="s">
        <v>2</v>
      </c>
      <c r="B21" s="9">
        <v>101.9</v>
      </c>
      <c r="C21" s="47">
        <v>104.2</v>
      </c>
      <c r="D21" s="48"/>
      <c r="E21" s="48">
        <v>105.3</v>
      </c>
      <c r="F21" s="47">
        <v>104</v>
      </c>
      <c r="G21" s="9">
        <v>102.1</v>
      </c>
      <c r="H21" s="48">
        <v>105.3</v>
      </c>
      <c r="I21" s="48">
        <v>105.5</v>
      </c>
      <c r="J21" s="9">
        <v>97.34</v>
      </c>
      <c r="K21" s="9">
        <v>101.1</v>
      </c>
      <c r="L21" s="34">
        <v>101.2</v>
      </c>
      <c r="M21" s="34">
        <v>102.9</v>
      </c>
      <c r="N21" s="9">
        <v>102.7</v>
      </c>
      <c r="O21" s="34">
        <v>95.4</v>
      </c>
      <c r="P21" s="34">
        <v>91.5</v>
      </c>
      <c r="Q21" s="34">
        <v>100.4</v>
      </c>
      <c r="R21" s="34">
        <v>101.3</v>
      </c>
      <c r="S21" s="34">
        <v>102.9</v>
      </c>
      <c r="T21" s="34">
        <v>101.7</v>
      </c>
      <c r="U21" s="34">
        <v>102</v>
      </c>
      <c r="V21" s="35">
        <v>102.6</v>
      </c>
      <c r="W21" s="72"/>
      <c r="X21" s="72"/>
    </row>
    <row r="22" spans="1:24" x14ac:dyDescent="0.25">
      <c r="A22" s="280" t="s">
        <v>6</v>
      </c>
      <c r="B22" s="281"/>
      <c r="C22" s="281"/>
      <c r="D22" s="281"/>
      <c r="E22" s="281"/>
      <c r="F22" s="281"/>
      <c r="G22" s="281"/>
      <c r="H22" s="281"/>
      <c r="I22" s="281"/>
      <c r="J22" s="281"/>
      <c r="K22" s="281"/>
      <c r="L22" s="281"/>
      <c r="M22" s="281"/>
      <c r="N22" s="281"/>
      <c r="O22" s="281"/>
      <c r="P22" s="281"/>
      <c r="Q22" s="281"/>
      <c r="R22" s="281"/>
      <c r="S22" s="281"/>
      <c r="T22" s="281"/>
      <c r="U22" s="281"/>
      <c r="V22" s="282"/>
      <c r="W22" s="72"/>
      <c r="X22" s="72"/>
    </row>
    <row r="23" spans="1:24" x14ac:dyDescent="0.25">
      <c r="A23" s="1" t="s">
        <v>1</v>
      </c>
      <c r="B23" s="6">
        <v>102.5</v>
      </c>
      <c r="C23" s="49">
        <v>103.79375760266245</v>
      </c>
      <c r="D23" s="50">
        <v>101.2</v>
      </c>
      <c r="E23" s="50">
        <v>102.1</v>
      </c>
      <c r="F23" s="49">
        <v>104.00531872316314</v>
      </c>
      <c r="G23" s="6">
        <v>101.9</v>
      </c>
      <c r="H23" s="51">
        <v>102.3</v>
      </c>
      <c r="I23" s="51">
        <v>102.3</v>
      </c>
      <c r="J23" s="6">
        <v>97.39</v>
      </c>
      <c r="K23" s="6">
        <v>100.35</v>
      </c>
      <c r="L23" s="31">
        <v>100</v>
      </c>
      <c r="M23" s="31">
        <v>101.5</v>
      </c>
      <c r="N23" s="6">
        <v>104.7</v>
      </c>
      <c r="O23" s="31">
        <v>92.1</v>
      </c>
      <c r="P23" s="31">
        <v>92.95</v>
      </c>
      <c r="Q23" s="31">
        <v>100.89</v>
      </c>
      <c r="R23" s="31">
        <v>97.87</v>
      </c>
      <c r="S23" s="31">
        <v>100.2</v>
      </c>
      <c r="T23" s="31">
        <v>100.5</v>
      </c>
      <c r="U23" s="31">
        <v>100.9</v>
      </c>
      <c r="V23" s="32">
        <v>101</v>
      </c>
      <c r="W23" s="72"/>
      <c r="X23" s="72"/>
    </row>
    <row r="24" spans="1:24" x14ac:dyDescent="0.25">
      <c r="A24" s="1" t="s">
        <v>2</v>
      </c>
      <c r="B24" s="9">
        <v>100.5</v>
      </c>
      <c r="C24" s="50">
        <v>103.4</v>
      </c>
      <c r="D24" s="50"/>
      <c r="E24" s="50">
        <v>101.5</v>
      </c>
      <c r="F24" s="50">
        <v>103.3</v>
      </c>
      <c r="G24" s="9">
        <v>101.3</v>
      </c>
      <c r="H24" s="51">
        <v>104.8</v>
      </c>
      <c r="I24" s="51">
        <v>105.3</v>
      </c>
      <c r="J24" s="9">
        <v>97.2</v>
      </c>
      <c r="K24" s="9">
        <v>100.7</v>
      </c>
      <c r="L24" s="34">
        <v>101.3</v>
      </c>
      <c r="M24" s="34">
        <v>102.3</v>
      </c>
      <c r="N24" s="9">
        <v>99.3</v>
      </c>
      <c r="O24" s="34">
        <v>94.9</v>
      </c>
      <c r="P24" s="34">
        <v>96</v>
      </c>
      <c r="Q24" s="34">
        <v>99.3</v>
      </c>
      <c r="R24" s="34">
        <v>99.3</v>
      </c>
      <c r="S24" s="34">
        <v>103.4</v>
      </c>
      <c r="T24" s="34">
        <v>101</v>
      </c>
      <c r="U24" s="34">
        <v>101.7</v>
      </c>
      <c r="V24" s="35">
        <v>102.2</v>
      </c>
      <c r="W24" s="72"/>
      <c r="X24" s="72"/>
    </row>
    <row r="25" spans="1:24" x14ac:dyDescent="0.25">
      <c r="A25" s="280" t="s">
        <v>7</v>
      </c>
      <c r="B25" s="281"/>
      <c r="C25" s="281"/>
      <c r="D25" s="281"/>
      <c r="E25" s="281"/>
      <c r="F25" s="281"/>
      <c r="G25" s="281"/>
      <c r="H25" s="281"/>
      <c r="I25" s="281"/>
      <c r="J25" s="281"/>
      <c r="K25" s="281"/>
      <c r="L25" s="281"/>
      <c r="M25" s="281"/>
      <c r="N25" s="281"/>
      <c r="O25" s="281"/>
      <c r="P25" s="281"/>
      <c r="Q25" s="281"/>
      <c r="R25" s="281"/>
      <c r="S25" s="281"/>
      <c r="T25" s="281"/>
      <c r="U25" s="281"/>
      <c r="V25" s="282"/>
      <c r="W25" s="72"/>
      <c r="X25" s="72"/>
    </row>
    <row r="26" spans="1:24" x14ac:dyDescent="0.25">
      <c r="A26" s="1" t="s">
        <v>1</v>
      </c>
      <c r="B26" s="8">
        <v>1143.9000000000001</v>
      </c>
      <c r="C26" s="36">
        <v>1153.7200000000003</v>
      </c>
      <c r="D26" s="7">
        <v>1178.0999999999999</v>
      </c>
      <c r="E26" s="7">
        <v>1177.45</v>
      </c>
      <c r="F26" s="36">
        <v>1142.9000000000001</v>
      </c>
      <c r="G26" s="8">
        <v>1134.3000000000002</v>
      </c>
      <c r="H26" s="7">
        <v>1158</v>
      </c>
      <c r="I26" s="7">
        <v>1148.96</v>
      </c>
      <c r="J26" s="8">
        <v>1125.8499999999999</v>
      </c>
      <c r="K26" s="8">
        <v>1117.3499999999999</v>
      </c>
      <c r="L26" s="30">
        <v>1117.83</v>
      </c>
      <c r="M26" s="30">
        <v>1109.51</v>
      </c>
      <c r="N26" s="8">
        <v>1144.3599999999999</v>
      </c>
      <c r="O26" s="30">
        <v>1126.03</v>
      </c>
      <c r="P26" s="30">
        <v>1135.1600000000001</v>
      </c>
      <c r="Q26" s="30">
        <v>1125.8</v>
      </c>
      <c r="R26" s="30">
        <v>1116.42</v>
      </c>
      <c r="S26" s="30">
        <v>1106.25</v>
      </c>
      <c r="T26" s="30">
        <v>1096.95</v>
      </c>
      <c r="U26" s="30">
        <v>1087.92</v>
      </c>
      <c r="V26" s="52">
        <v>1079.3399999999999</v>
      </c>
      <c r="W26" s="72"/>
      <c r="X26" s="72"/>
    </row>
    <row r="27" spans="1:24" x14ac:dyDescent="0.25">
      <c r="A27" s="1" t="s">
        <v>2</v>
      </c>
      <c r="B27" s="9">
        <v>143700</v>
      </c>
      <c r="C27" s="7">
        <v>143500</v>
      </c>
      <c r="D27" s="7">
        <v>143.1</v>
      </c>
      <c r="E27" s="7">
        <v>143.1</v>
      </c>
      <c r="F27" s="7">
        <v>143700</v>
      </c>
      <c r="G27" s="9">
        <v>143900</v>
      </c>
      <c r="H27" s="7"/>
      <c r="I27" s="7"/>
      <c r="J27" s="9">
        <v>146700</v>
      </c>
      <c r="K27" s="9">
        <v>147000</v>
      </c>
      <c r="L27" s="34">
        <v>147000</v>
      </c>
      <c r="M27" s="34">
        <v>147300</v>
      </c>
      <c r="N27" s="9">
        <v>143800</v>
      </c>
      <c r="O27" s="34">
        <v>146700</v>
      </c>
      <c r="P27" s="34">
        <v>146500</v>
      </c>
      <c r="Q27" s="34">
        <v>146900</v>
      </c>
      <c r="R27" s="34">
        <v>146800</v>
      </c>
      <c r="S27" s="34">
        <v>146900</v>
      </c>
      <c r="T27" s="34">
        <v>147000</v>
      </c>
      <c r="U27" s="34">
        <v>147100</v>
      </c>
      <c r="V27" s="35">
        <v>147300</v>
      </c>
      <c r="W27" s="72"/>
      <c r="X27" s="72"/>
    </row>
    <row r="28" spans="1:24" x14ac:dyDescent="0.25">
      <c r="A28" s="277" t="s">
        <v>8</v>
      </c>
      <c r="B28" s="278"/>
      <c r="C28" s="278"/>
      <c r="D28" s="278"/>
      <c r="E28" s="278"/>
      <c r="F28" s="278"/>
      <c r="G28" s="278"/>
      <c r="H28" s="278"/>
      <c r="I28" s="278"/>
      <c r="J28" s="278"/>
      <c r="K28" s="278"/>
      <c r="L28" s="278"/>
      <c r="M28" s="278"/>
      <c r="N28" s="278"/>
      <c r="O28" s="278"/>
      <c r="P28" s="278"/>
      <c r="Q28" s="278"/>
      <c r="R28" s="278"/>
      <c r="S28" s="278"/>
      <c r="T28" s="278"/>
      <c r="U28" s="278"/>
      <c r="V28" s="279"/>
      <c r="W28" s="72"/>
      <c r="X28" s="72"/>
    </row>
    <row r="29" spans="1:24" x14ac:dyDescent="0.25">
      <c r="A29" s="1" t="s">
        <v>1</v>
      </c>
      <c r="B29" s="10">
        <v>13.8</v>
      </c>
      <c r="C29" s="38">
        <v>13</v>
      </c>
      <c r="D29" s="53"/>
      <c r="E29" s="53">
        <v>14</v>
      </c>
      <c r="F29" s="38">
        <v>12.9</v>
      </c>
      <c r="G29" s="10">
        <v>13.5</v>
      </c>
      <c r="H29" s="53">
        <v>14</v>
      </c>
      <c r="I29" s="53">
        <v>14</v>
      </c>
      <c r="J29" s="10">
        <v>14.8</v>
      </c>
      <c r="K29" s="10">
        <v>13.9</v>
      </c>
      <c r="L29" s="40">
        <v>14.2</v>
      </c>
      <c r="M29" s="40">
        <v>14.1</v>
      </c>
      <c r="N29" s="10">
        <v>13.8</v>
      </c>
      <c r="O29" s="40">
        <v>14.3</v>
      </c>
      <c r="P29" s="40">
        <v>13.9</v>
      </c>
      <c r="Q29" s="40">
        <v>13.9</v>
      </c>
      <c r="R29" s="40">
        <v>14.1</v>
      </c>
      <c r="S29" s="40">
        <v>13.8</v>
      </c>
      <c r="T29" s="40">
        <v>13.5</v>
      </c>
      <c r="U29" s="40">
        <v>13.4</v>
      </c>
      <c r="V29" s="41">
        <v>13.1</v>
      </c>
      <c r="W29" s="72"/>
      <c r="X29" s="72"/>
    </row>
    <row r="30" spans="1:24" x14ac:dyDescent="0.25">
      <c r="A30" s="1" t="s">
        <v>2</v>
      </c>
      <c r="B30" s="11">
        <v>11</v>
      </c>
      <c r="C30" s="46">
        <v>11</v>
      </c>
      <c r="D30" s="53"/>
      <c r="E30" s="53"/>
      <c r="F30" s="46">
        <v>10.8</v>
      </c>
      <c r="G30" s="11">
        <v>10.7</v>
      </c>
      <c r="H30" s="39"/>
      <c r="I30" s="39"/>
      <c r="J30" s="11">
        <v>13.7</v>
      </c>
      <c r="K30" s="11">
        <v>13.5</v>
      </c>
      <c r="L30" s="44">
        <v>12.8</v>
      </c>
      <c r="M30" s="44">
        <v>12.3</v>
      </c>
      <c r="N30" s="11">
        <v>11.2</v>
      </c>
      <c r="O30" s="44">
        <v>13.5</v>
      </c>
      <c r="P30" s="44">
        <v>13.2</v>
      </c>
      <c r="Q30" s="44">
        <v>13.1</v>
      </c>
      <c r="R30" s="44">
        <v>13.2</v>
      </c>
      <c r="S30" s="44">
        <v>11</v>
      </c>
      <c r="T30" s="44">
        <v>10.5</v>
      </c>
      <c r="U30" s="44">
        <v>10</v>
      </c>
      <c r="V30" s="45">
        <v>9.5</v>
      </c>
      <c r="W30" s="72"/>
      <c r="X30" s="72"/>
    </row>
    <row r="31" spans="1:24" x14ac:dyDescent="0.25">
      <c r="A31" s="280" t="s">
        <v>9</v>
      </c>
      <c r="B31" s="281"/>
      <c r="C31" s="281"/>
      <c r="D31" s="281"/>
      <c r="E31" s="281"/>
      <c r="F31" s="281"/>
      <c r="G31" s="281"/>
      <c r="H31" s="281"/>
      <c r="I31" s="281"/>
      <c r="J31" s="281"/>
      <c r="K31" s="281"/>
      <c r="L31" s="281"/>
      <c r="M31" s="281"/>
      <c r="N31" s="281"/>
      <c r="O31" s="281"/>
      <c r="P31" s="281"/>
      <c r="Q31" s="281"/>
      <c r="R31" s="281"/>
      <c r="S31" s="281"/>
      <c r="T31" s="281"/>
      <c r="U31" s="281"/>
      <c r="V31" s="282"/>
      <c r="W31" s="72"/>
      <c r="X31" s="72"/>
    </row>
    <row r="32" spans="1:24" x14ac:dyDescent="0.25">
      <c r="A32" s="1" t="s">
        <v>1</v>
      </c>
      <c r="B32" s="13">
        <f>B8*1000/B26</f>
        <v>315.6174228516478</v>
      </c>
      <c r="C32" s="13">
        <v>318.95840411885001</v>
      </c>
      <c r="D32" s="13">
        <f>D8/D26</f>
        <v>222.10389610389612</v>
      </c>
      <c r="E32" s="13">
        <f>E8/E26</f>
        <v>226.49151131682873</v>
      </c>
      <c r="F32" s="13">
        <v>343.14662700148739</v>
      </c>
      <c r="G32" s="13">
        <f t="shared" ref="G32:V33" si="0">G8*1000/G26</f>
        <v>323.01280084633686</v>
      </c>
      <c r="H32" s="13">
        <f t="shared" si="0"/>
        <v>296227.53022452502</v>
      </c>
      <c r="I32" s="13">
        <f t="shared" si="0"/>
        <v>332198.22274056537</v>
      </c>
      <c r="J32" s="13">
        <f t="shared" si="0"/>
        <v>393.26730914420222</v>
      </c>
      <c r="K32" s="13">
        <f t="shared" si="0"/>
        <v>429.87425605226656</v>
      </c>
      <c r="L32" s="55">
        <f t="shared" si="0"/>
        <v>431.90825080736789</v>
      </c>
      <c r="M32" s="55">
        <f t="shared" si="0"/>
        <v>467.74702346080704</v>
      </c>
      <c r="N32" s="13">
        <f t="shared" si="0"/>
        <v>299.17071550910555</v>
      </c>
      <c r="O32" s="55">
        <f t="shared" si="0"/>
        <v>387.73389696544496</v>
      </c>
      <c r="P32" s="55">
        <f t="shared" si="0"/>
        <v>353.3193558617287</v>
      </c>
      <c r="Q32" s="55">
        <f t="shared" si="0"/>
        <v>383.58944750399718</v>
      </c>
      <c r="R32" s="55">
        <f>R8*1000/R26</f>
        <v>422.69038533885094</v>
      </c>
      <c r="S32" s="55">
        <f>S8*1000/S26</f>
        <v>454.50847457627117</v>
      </c>
      <c r="T32" s="55">
        <f t="shared" si="0"/>
        <v>490.99776653448197</v>
      </c>
      <c r="U32" s="55">
        <f t="shared" si="0"/>
        <v>532.2082506066622</v>
      </c>
      <c r="V32" s="56">
        <f t="shared" si="0"/>
        <v>570.07059869920511</v>
      </c>
      <c r="W32" s="72"/>
      <c r="X32" s="72"/>
    </row>
    <row r="33" spans="1:24" x14ac:dyDescent="0.25">
      <c r="A33" s="1" t="s">
        <v>2</v>
      </c>
      <c r="B33" s="13">
        <f>B9*1000/B27</f>
        <v>497.51565762004174</v>
      </c>
      <c r="C33" s="13">
        <f>C9*1000/C27</f>
        <v>470.99940577648908</v>
      </c>
      <c r="D33" s="13">
        <f>D9*1000/D27</f>
        <v>372285.11530398327</v>
      </c>
      <c r="E33" s="13">
        <f>E9*1000/E27</f>
        <v>0</v>
      </c>
      <c r="F33" s="13">
        <f>F9*1000/F27</f>
        <v>510.19485038274183</v>
      </c>
      <c r="G33" s="13">
        <f t="shared" si="0"/>
        <v>528.67963863794307</v>
      </c>
      <c r="H33" s="13" t="e">
        <f t="shared" si="0"/>
        <v>#DIV/0!</v>
      </c>
      <c r="I33" s="13" t="e">
        <f t="shared" si="0"/>
        <v>#DIV/0!</v>
      </c>
      <c r="J33" s="13">
        <f t="shared" si="0"/>
        <v>574.95569188820718</v>
      </c>
      <c r="K33" s="13">
        <f t="shared" si="0"/>
        <v>608.75510204081638</v>
      </c>
      <c r="L33" s="55">
        <f t="shared" si="0"/>
        <v>627.37414965986397</v>
      </c>
      <c r="M33" s="55">
        <f t="shared" si="0"/>
        <v>661.6564833672777</v>
      </c>
      <c r="N33" s="13">
        <f t="shared" si="0"/>
        <v>496.5646731571627</v>
      </c>
      <c r="O33" s="55">
        <f t="shared" si="0"/>
        <v>586.53033401499658</v>
      </c>
      <c r="P33" s="55">
        <f t="shared" si="0"/>
        <v>501.80887372013655</v>
      </c>
      <c r="Q33" s="55">
        <f t="shared" si="0"/>
        <v>535.55479918311778</v>
      </c>
      <c r="R33" s="55">
        <f>R9*1000/R27</f>
        <v>626.95504087193456</v>
      </c>
      <c r="S33" s="55">
        <f t="shared" si="0"/>
        <v>688.65895166780126</v>
      </c>
      <c r="T33" s="55">
        <f t="shared" si="0"/>
        <v>719.86394557823132</v>
      </c>
      <c r="U33" s="55">
        <f t="shared" si="0"/>
        <v>752.76682528891911</v>
      </c>
      <c r="V33" s="56">
        <f t="shared" si="0"/>
        <v>803.86286490156147</v>
      </c>
      <c r="W33" s="72"/>
      <c r="X33" s="72"/>
    </row>
    <row r="34" spans="1:24" ht="52.8" x14ac:dyDescent="0.25">
      <c r="A34" s="54" t="s">
        <v>10</v>
      </c>
      <c r="B34" s="14">
        <f>B32/B33</f>
        <v>0.63438691429624983</v>
      </c>
      <c r="C34" s="14">
        <v>0.67719491830996215</v>
      </c>
      <c r="D34" s="14"/>
      <c r="E34" s="14"/>
      <c r="F34" s="14">
        <v>0.67257955807288738</v>
      </c>
      <c r="G34" s="14">
        <f>G32/G33</f>
        <v>0.61098021796059088</v>
      </c>
      <c r="H34" s="14"/>
      <c r="I34" s="14"/>
      <c r="J34" s="14">
        <f>+J32/J33</f>
        <v>0.68399585340685354</v>
      </c>
      <c r="K34" s="14">
        <f>+K32/K33</f>
        <v>0.70615302378762479</v>
      </c>
      <c r="L34" s="55">
        <f t="shared" ref="L34" si="1">+L32/L33</f>
        <v>0.68843807326382589</v>
      </c>
      <c r="M34" s="55">
        <f>+M32/M33</f>
        <v>0.70693333356361321</v>
      </c>
      <c r="N34" s="14">
        <f>+N32/N33</f>
        <v>0.60248086841735116</v>
      </c>
      <c r="O34" s="55">
        <f>+O32/O33</f>
        <v>0.66106367306065239</v>
      </c>
      <c r="P34" s="55">
        <f t="shared" ref="P34:Q34" si="2">+P32/P33</f>
        <v>0.70409148655027209</v>
      </c>
      <c r="Q34" s="55">
        <f t="shared" si="2"/>
        <v>0.71624686790051462</v>
      </c>
      <c r="R34" s="55">
        <f>+R32/R33</f>
        <v>0.67419568833994292</v>
      </c>
      <c r="S34" s="55">
        <f>+S32/S33</f>
        <v>0.65999065789464861</v>
      </c>
      <c r="T34" s="55">
        <f>+T32/T33</f>
        <v>0.682070229451605</v>
      </c>
      <c r="U34" s="55">
        <f>+U32/U33</f>
        <v>0.70700279651988596</v>
      </c>
      <c r="V34" s="56">
        <f>+V32/V33</f>
        <v>0.70916399250388829</v>
      </c>
      <c r="W34" s="72"/>
      <c r="X34" s="72"/>
    </row>
    <row r="35" spans="1:24" x14ac:dyDescent="0.25">
      <c r="A35" s="283" t="s">
        <v>22</v>
      </c>
      <c r="B35" s="284"/>
      <c r="C35" s="284"/>
      <c r="D35" s="284"/>
      <c r="E35" s="284"/>
      <c r="F35" s="284"/>
      <c r="G35" s="284"/>
      <c r="H35" s="284"/>
      <c r="I35" s="284"/>
      <c r="J35" s="284"/>
      <c r="K35" s="284"/>
      <c r="L35" s="284"/>
      <c r="M35" s="284"/>
      <c r="N35" s="284"/>
      <c r="O35" s="284"/>
      <c r="P35" s="284"/>
      <c r="Q35" s="284"/>
      <c r="R35" s="284"/>
      <c r="S35" s="284"/>
      <c r="T35" s="284"/>
      <c r="U35" s="284"/>
      <c r="V35" s="285"/>
      <c r="W35" s="72"/>
      <c r="X35" s="72"/>
    </row>
    <row r="36" spans="1:24" x14ac:dyDescent="0.25">
      <c r="A36" s="1" t="s">
        <v>1</v>
      </c>
      <c r="B36" s="9">
        <v>33519.300000000003</v>
      </c>
      <c r="C36" s="57">
        <v>29500.47</v>
      </c>
      <c r="D36" s="57"/>
      <c r="E36" s="9"/>
      <c r="F36" s="9">
        <v>32744.98</v>
      </c>
      <c r="G36" s="9">
        <v>36870.22</v>
      </c>
      <c r="H36" s="9"/>
      <c r="I36" s="9"/>
      <c r="J36" s="9">
        <v>37845.94</v>
      </c>
      <c r="K36" s="9">
        <v>39520.19</v>
      </c>
      <c r="L36" s="34">
        <v>40155.82</v>
      </c>
      <c r="M36" s="34">
        <v>42369.69</v>
      </c>
      <c r="N36" s="9">
        <v>33124.800000000003</v>
      </c>
      <c r="O36" s="34">
        <v>38117.96</v>
      </c>
      <c r="P36" s="34">
        <v>35127.129999999997</v>
      </c>
      <c r="Q36" s="34">
        <v>36539.26</v>
      </c>
      <c r="R36" s="34">
        <v>40352.1</v>
      </c>
      <c r="S36" s="34">
        <v>43983.79</v>
      </c>
      <c r="T36" s="34">
        <v>46226.96</v>
      </c>
      <c r="U36" s="34">
        <v>48630.76</v>
      </c>
      <c r="V36" s="35">
        <v>51743.13</v>
      </c>
      <c r="W36" s="72"/>
      <c r="X36" s="72"/>
    </row>
    <row r="37" spans="1:24" x14ac:dyDescent="0.25">
      <c r="A37" s="58" t="s">
        <v>2</v>
      </c>
      <c r="B37" s="9">
        <v>32416</v>
      </c>
      <c r="C37" s="9">
        <v>30162</v>
      </c>
      <c r="D37" s="9"/>
      <c r="E37" s="9"/>
      <c r="F37" s="9">
        <v>33104</v>
      </c>
      <c r="G37" s="9">
        <v>34730</v>
      </c>
      <c r="H37" s="9"/>
      <c r="I37" s="9"/>
      <c r="J37" s="9">
        <v>35987</v>
      </c>
      <c r="K37" s="9">
        <v>38442</v>
      </c>
      <c r="L37" s="34">
        <v>39360</v>
      </c>
      <c r="M37" s="34">
        <v>42522</v>
      </c>
      <c r="N37" s="9">
        <v>32495</v>
      </c>
      <c r="O37" s="34">
        <v>36709</v>
      </c>
      <c r="P37" s="34">
        <v>34352</v>
      </c>
      <c r="Q37" s="34">
        <v>36838</v>
      </c>
      <c r="R37" s="34">
        <v>39167</v>
      </c>
      <c r="S37" s="34">
        <v>43008</v>
      </c>
      <c r="T37" s="34">
        <v>45639</v>
      </c>
      <c r="U37" s="34">
        <v>48099</v>
      </c>
      <c r="V37" s="35">
        <v>51256</v>
      </c>
      <c r="W37" s="72"/>
      <c r="X37" s="72"/>
    </row>
    <row r="38" spans="1:24" ht="93" thickBot="1" x14ac:dyDescent="0.3">
      <c r="A38" s="59" t="s">
        <v>23</v>
      </c>
      <c r="B38" s="15">
        <f>B36/B37</f>
        <v>1.0340356614017769</v>
      </c>
      <c r="C38" s="15">
        <f>+C36/C37</f>
        <v>0.9780674358464293</v>
      </c>
      <c r="D38" s="15" t="e">
        <f t="shared" ref="D38:V38" si="3">+D36/D37</f>
        <v>#DIV/0!</v>
      </c>
      <c r="E38" s="15" t="e">
        <f t="shared" si="3"/>
        <v>#DIV/0!</v>
      </c>
      <c r="F38" s="15">
        <f t="shared" si="3"/>
        <v>0.98915478492025133</v>
      </c>
      <c r="G38" s="15">
        <f>G36/G37</f>
        <v>1.0616245321048086</v>
      </c>
      <c r="H38" s="15" t="e">
        <f t="shared" si="3"/>
        <v>#DIV/0!</v>
      </c>
      <c r="I38" s="15" t="e">
        <f t="shared" si="3"/>
        <v>#DIV/0!</v>
      </c>
      <c r="J38" s="15">
        <f t="shared" si="3"/>
        <v>1.0516558757329035</v>
      </c>
      <c r="K38" s="15">
        <f t="shared" si="3"/>
        <v>1.0280471879714896</v>
      </c>
      <c r="L38" s="60">
        <f>+L36/L37</f>
        <v>1.0202190040650407</v>
      </c>
      <c r="M38" s="60">
        <f t="shared" ref="M38" si="4">+M36/M37</f>
        <v>0.99641808945957389</v>
      </c>
      <c r="N38" s="15">
        <f t="shared" si="3"/>
        <v>1.0193814432989692</v>
      </c>
      <c r="O38" s="60">
        <f>+O36/O37</f>
        <v>1.0383818682067067</v>
      </c>
      <c r="P38" s="60">
        <f t="shared" si="3"/>
        <v>1.0225643339543549</v>
      </c>
      <c r="Q38" s="60">
        <f t="shared" si="3"/>
        <v>0.99189043922037035</v>
      </c>
      <c r="R38" s="60">
        <f>+R36/R37</f>
        <v>1.0302576148288098</v>
      </c>
      <c r="S38" s="60">
        <f>+S36/S37</f>
        <v>1.0226885695684524</v>
      </c>
      <c r="T38" s="60">
        <f t="shared" si="3"/>
        <v>1.0128828414294793</v>
      </c>
      <c r="U38" s="60">
        <f t="shared" si="3"/>
        <v>1.0110555313000271</v>
      </c>
      <c r="V38" s="60">
        <f t="shared" si="3"/>
        <v>1.0095038629623849</v>
      </c>
      <c r="W38" s="72"/>
      <c r="X38" s="72"/>
    </row>
    <row r="39" spans="1:24" ht="13.8" hidden="1" thickTop="1" x14ac:dyDescent="0.25">
      <c r="A39" s="1" t="s">
        <v>2</v>
      </c>
      <c r="B39" s="61"/>
      <c r="C39" s="62" t="e">
        <f>C9/#REF!</f>
        <v>#REF!</v>
      </c>
      <c r="D39" s="62" t="e">
        <f>D9/#REF!</f>
        <v>#REF!</v>
      </c>
      <c r="E39" s="62" t="e">
        <f>E9/#REF!</f>
        <v>#REF!</v>
      </c>
      <c r="F39" s="62" t="e">
        <f>F9/#REF!</f>
        <v>#REF!</v>
      </c>
      <c r="G39" s="62"/>
      <c r="H39" s="62" t="e">
        <f>H9/#REF!</f>
        <v>#REF!</v>
      </c>
      <c r="I39" s="62" t="e">
        <f>I9/#REF!</f>
        <v>#REF!</v>
      </c>
      <c r="J39" s="62"/>
      <c r="K39" s="62"/>
      <c r="L39" s="63"/>
      <c r="M39" s="63" t="e">
        <f>M9/#REF!</f>
        <v>#REF!</v>
      </c>
      <c r="N39" s="62" t="e">
        <f>N9/#REF!</f>
        <v>#REF!</v>
      </c>
      <c r="O39" s="33"/>
      <c r="P39" s="33" t="e">
        <f>P9/#REF!</f>
        <v>#REF!</v>
      </c>
      <c r="Q39" s="63" t="e">
        <f>Q9/#REF!</f>
        <v>#REF!</v>
      </c>
      <c r="R39" s="63"/>
      <c r="S39" s="63"/>
      <c r="T39" s="63" t="e">
        <f>T9/#REF!</f>
        <v>#REF!</v>
      </c>
      <c r="U39" s="63" t="e">
        <f>U9/#REF!</f>
        <v>#REF!</v>
      </c>
      <c r="V39" s="63" t="e">
        <f>V9/#REF!</f>
        <v>#REF!</v>
      </c>
    </row>
    <row r="40" spans="1:24" ht="53.4" hidden="1" thickTop="1" x14ac:dyDescent="0.25">
      <c r="A40" s="54" t="s">
        <v>10</v>
      </c>
      <c r="B40" s="64"/>
      <c r="C40" s="62" t="e">
        <f t="shared" ref="C40" si="5">+C38/C39</f>
        <v>#REF!</v>
      </c>
      <c r="D40" s="65"/>
      <c r="E40" s="12"/>
      <c r="F40" s="62" t="e">
        <f t="shared" ref="F40" si="6">+F38/F39</f>
        <v>#REF!</v>
      </c>
      <c r="G40" s="62"/>
      <c r="H40" s="65"/>
      <c r="I40" s="65"/>
      <c r="J40" s="65"/>
      <c r="K40" s="65"/>
      <c r="L40" s="33"/>
      <c r="M40" s="33" t="e">
        <f t="shared" ref="M40:V40" si="7">+M38/M39</f>
        <v>#REF!</v>
      </c>
      <c r="N40" s="62" t="e">
        <f t="shared" si="7"/>
        <v>#REF!</v>
      </c>
      <c r="O40" s="33"/>
      <c r="P40" s="33" t="e">
        <f t="shared" si="7"/>
        <v>#REF!</v>
      </c>
      <c r="Q40" s="33" t="e">
        <f t="shared" si="7"/>
        <v>#REF!</v>
      </c>
      <c r="R40" s="33"/>
      <c r="S40" s="33"/>
      <c r="T40" s="33" t="e">
        <f t="shared" si="7"/>
        <v>#REF!</v>
      </c>
      <c r="U40" s="33" t="e">
        <f t="shared" si="7"/>
        <v>#REF!</v>
      </c>
      <c r="V40" s="33" t="e">
        <f t="shared" si="7"/>
        <v>#REF!</v>
      </c>
    </row>
    <row r="41" spans="1:24" ht="13.8" hidden="1" thickTop="1" x14ac:dyDescent="0.25">
      <c r="A41" s="280" t="s">
        <v>11</v>
      </c>
      <c r="B41" s="286"/>
      <c r="C41" s="281"/>
      <c r="D41" s="281"/>
      <c r="E41" s="281"/>
      <c r="F41" s="281"/>
      <c r="G41" s="281"/>
      <c r="H41" s="281"/>
      <c r="I41" s="281"/>
      <c r="J41" s="281"/>
      <c r="K41" s="281"/>
      <c r="L41" s="281"/>
      <c r="M41" s="281"/>
      <c r="N41" s="281"/>
      <c r="O41" s="281"/>
      <c r="P41" s="281"/>
      <c r="Q41" s="281"/>
      <c r="R41" s="281"/>
      <c r="S41" s="281"/>
      <c r="T41" s="281"/>
      <c r="U41" s="287"/>
      <c r="V41" s="282"/>
    </row>
    <row r="42" spans="1:24" ht="14.4" hidden="1" thickTop="1" thickBot="1" x14ac:dyDescent="0.3">
      <c r="A42" s="1" t="s">
        <v>2</v>
      </c>
      <c r="B42" s="66"/>
      <c r="C42" s="67">
        <v>107</v>
      </c>
      <c r="D42" s="68"/>
      <c r="E42" s="68" t="s">
        <v>299</v>
      </c>
      <c r="F42" s="69" t="s">
        <v>302</v>
      </c>
      <c r="G42" s="69"/>
      <c r="H42" s="68" t="s">
        <v>300</v>
      </c>
      <c r="I42" s="70" t="s">
        <v>301</v>
      </c>
      <c r="J42" s="70"/>
      <c r="K42" s="70"/>
      <c r="L42" s="34"/>
      <c r="M42" s="34" t="s">
        <v>303</v>
      </c>
      <c r="N42" s="67">
        <v>106.6</v>
      </c>
      <c r="O42" s="71"/>
      <c r="P42" s="34">
        <v>106</v>
      </c>
      <c r="Q42" s="34" t="s">
        <v>297</v>
      </c>
      <c r="R42" s="34"/>
      <c r="S42" s="34"/>
      <c r="T42" s="34" t="s">
        <v>303</v>
      </c>
      <c r="U42" s="35" t="s">
        <v>303</v>
      </c>
      <c r="V42" s="35" t="s">
        <v>303</v>
      </c>
    </row>
    <row r="43" spans="1:24" ht="13.8" thickTop="1" x14ac:dyDescent="0.25">
      <c r="C43" s="20"/>
      <c r="D43" s="20"/>
      <c r="E43" s="20"/>
      <c r="F43" s="20"/>
      <c r="G43" s="20"/>
      <c r="H43" s="20"/>
      <c r="I43" s="20"/>
      <c r="J43" s="20"/>
      <c r="K43" s="20"/>
      <c r="L43" s="72"/>
      <c r="M43" s="72"/>
      <c r="N43" s="20"/>
      <c r="O43" s="72"/>
      <c r="P43" s="72"/>
      <c r="Q43" s="72"/>
      <c r="R43" s="72"/>
      <c r="S43" s="72"/>
      <c r="T43" s="72"/>
      <c r="U43" s="72"/>
      <c r="V43" s="72"/>
    </row>
    <row r="44" spans="1:24" hidden="1" x14ac:dyDescent="0.25">
      <c r="M44" s="22">
        <f>L37*108/100</f>
        <v>42508.800000000003</v>
      </c>
      <c r="T44" s="22">
        <f>S37*108/100</f>
        <v>46448.639999999999</v>
      </c>
      <c r="U44" s="22">
        <f>T37*105.3/100</f>
        <v>48057.866999999998</v>
      </c>
      <c r="V44" s="22">
        <f>U37*105.6/100</f>
        <v>50792.543999999994</v>
      </c>
    </row>
  </sheetData>
  <mergeCells count="18">
    <mergeCell ref="A16:V16"/>
    <mergeCell ref="A19:V19"/>
    <mergeCell ref="A28:V28"/>
    <mergeCell ref="A31:V31"/>
    <mergeCell ref="A35:V35"/>
    <mergeCell ref="A41:V41"/>
    <mergeCell ref="T1:V1"/>
    <mergeCell ref="A2:V2"/>
    <mergeCell ref="J4:M4"/>
    <mergeCell ref="N4:V4"/>
    <mergeCell ref="A7:V7"/>
    <mergeCell ref="H1:I1"/>
    <mergeCell ref="B4:I4"/>
    <mergeCell ref="A22:V22"/>
    <mergeCell ref="A25:V25"/>
    <mergeCell ref="A10:V10"/>
    <mergeCell ref="A13:V13"/>
    <mergeCell ref="A4:A5"/>
  </mergeCells>
  <dataValidations count="1">
    <dataValidation type="decimal" allowBlank="1" showInputMessage="1" showErrorMessage="1" errorTitle="Вводить можно только числа!" error="Ошибка ввода данных, см. методические рекомендации Раздел 1." sqref="N27:O27 N31:O31">
      <formula1>0</formula1>
      <formula2>9.99999999999999E+132</formula2>
    </dataValidation>
  </dataValidations>
  <pageMargins left="0.78740157480314965" right="0.15748031496062992" top="0.59055118110236227" bottom="0.59055118110236227" header="0.51181102362204722" footer="0.31496062992125984"/>
  <pageSetup paperSize="9" scale="83" fitToHeight="0" orientation="portrait" r:id="rId1"/>
  <headerFooter alignWithMargins="0"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topLeftCell="A4" workbookViewId="0">
      <pane xSplit="1" ySplit="4" topLeftCell="B8" activePane="bottomRight" state="frozen"/>
      <selection activeCell="A4" sqref="A4"/>
      <selection pane="topRight" activeCell="B4" sqref="B4"/>
      <selection pane="bottomLeft" activeCell="A8" sqref="A8"/>
      <selection pane="bottomRight" activeCell="E18" sqref="E18"/>
    </sheetView>
  </sheetViews>
  <sheetFormatPr defaultRowHeight="13.2" x14ac:dyDescent="0.25"/>
  <cols>
    <col min="1" max="1" width="45.33203125" style="20" customWidth="1"/>
    <col min="2" max="2" width="12.33203125" style="20" customWidth="1"/>
    <col min="3" max="3" width="12.109375" style="20" bestFit="1" customWidth="1"/>
    <col min="4" max="4" width="12.88671875" style="20" customWidth="1"/>
    <col min="5" max="5" width="13.88671875" style="20" customWidth="1"/>
    <col min="6" max="6" width="11.88671875" style="20" customWidth="1"/>
    <col min="7" max="7" width="13.5546875" style="20" bestFit="1" customWidth="1"/>
    <col min="8" max="8" width="12" style="20" customWidth="1"/>
    <col min="9" max="9" width="10.6640625" style="266" bestFit="1" customWidth="1"/>
    <col min="10" max="247" width="8.88671875" style="266"/>
    <col min="248" max="248" width="46.33203125" style="266" customWidth="1"/>
    <col min="249" max="251" width="11.109375" style="266" bestFit="1" customWidth="1"/>
    <col min="252" max="252" width="12.88671875" style="266" customWidth="1"/>
    <col min="253" max="253" width="12.109375" style="266" customWidth="1"/>
    <col min="254" max="254" width="11.88671875" style="266" customWidth="1"/>
    <col min="255" max="255" width="10.6640625" style="266" customWidth="1"/>
    <col min="256" max="256" width="10.44140625" style="266" customWidth="1"/>
    <col min="257" max="257" width="11.33203125" style="266" customWidth="1"/>
    <col min="258" max="258" width="11.88671875" style="266" customWidth="1"/>
    <col min="259" max="259" width="0.109375" style="266" customWidth="1"/>
    <col min="260" max="264" width="0" style="266" hidden="1" customWidth="1"/>
    <col min="265" max="503" width="8.88671875" style="266"/>
    <col min="504" max="504" width="46.33203125" style="266" customWidth="1"/>
    <col min="505" max="507" width="11.109375" style="266" bestFit="1" customWidth="1"/>
    <col min="508" max="508" width="12.88671875" style="266" customWidth="1"/>
    <col min="509" max="509" width="12.109375" style="266" customWidth="1"/>
    <col min="510" max="510" width="11.88671875" style="266" customWidth="1"/>
    <col min="511" max="511" width="10.6640625" style="266" customWidth="1"/>
    <col min="512" max="512" width="10.44140625" style="266" customWidth="1"/>
    <col min="513" max="513" width="11.33203125" style="266" customWidth="1"/>
    <col min="514" max="514" width="11.88671875" style="266" customWidth="1"/>
    <col min="515" max="515" width="0.109375" style="266" customWidth="1"/>
    <col min="516" max="520" width="0" style="266" hidden="1" customWidth="1"/>
    <col min="521" max="759" width="8.88671875" style="266"/>
    <col min="760" max="760" width="46.33203125" style="266" customWidth="1"/>
    <col min="761" max="763" width="11.109375" style="266" bestFit="1" customWidth="1"/>
    <col min="764" max="764" width="12.88671875" style="266" customWidth="1"/>
    <col min="765" max="765" width="12.109375" style="266" customWidth="1"/>
    <col min="766" max="766" width="11.88671875" style="266" customWidth="1"/>
    <col min="767" max="767" width="10.6640625" style="266" customWidth="1"/>
    <col min="768" max="768" width="10.44140625" style="266" customWidth="1"/>
    <col min="769" max="769" width="11.33203125" style="266" customWidth="1"/>
    <col min="770" max="770" width="11.88671875" style="266" customWidth="1"/>
    <col min="771" max="771" width="0.109375" style="266" customWidth="1"/>
    <col min="772" max="776" width="0" style="266" hidden="1" customWidth="1"/>
    <col min="777" max="1015" width="8.88671875" style="266"/>
    <col min="1016" max="1016" width="46.33203125" style="266" customWidth="1"/>
    <col min="1017" max="1019" width="11.109375" style="266" bestFit="1" customWidth="1"/>
    <col min="1020" max="1020" width="12.88671875" style="266" customWidth="1"/>
    <col min="1021" max="1021" width="12.109375" style="266" customWidth="1"/>
    <col min="1022" max="1022" width="11.88671875" style="266" customWidth="1"/>
    <col min="1023" max="1023" width="10.6640625" style="266" customWidth="1"/>
    <col min="1024" max="1024" width="10.44140625" style="266" customWidth="1"/>
    <col min="1025" max="1025" width="11.33203125" style="266" customWidth="1"/>
    <col min="1026" max="1026" width="11.88671875" style="266" customWidth="1"/>
    <col min="1027" max="1027" width="0.109375" style="266" customWidth="1"/>
    <col min="1028" max="1032" width="0" style="266" hidden="1" customWidth="1"/>
    <col min="1033" max="1271" width="8.88671875" style="266"/>
    <col min="1272" max="1272" width="46.33203125" style="266" customWidth="1"/>
    <col min="1273" max="1275" width="11.109375" style="266" bestFit="1" customWidth="1"/>
    <col min="1276" max="1276" width="12.88671875" style="266" customWidth="1"/>
    <col min="1277" max="1277" width="12.109375" style="266" customWidth="1"/>
    <col min="1278" max="1278" width="11.88671875" style="266" customWidth="1"/>
    <col min="1279" max="1279" width="10.6640625" style="266" customWidth="1"/>
    <col min="1280" max="1280" width="10.44140625" style="266" customWidth="1"/>
    <col min="1281" max="1281" width="11.33203125" style="266" customWidth="1"/>
    <col min="1282" max="1282" width="11.88671875" style="266" customWidth="1"/>
    <col min="1283" max="1283" width="0.109375" style="266" customWidth="1"/>
    <col min="1284" max="1288" width="0" style="266" hidden="1" customWidth="1"/>
    <col min="1289" max="1527" width="8.88671875" style="266"/>
    <col min="1528" max="1528" width="46.33203125" style="266" customWidth="1"/>
    <col min="1529" max="1531" width="11.109375" style="266" bestFit="1" customWidth="1"/>
    <col min="1532" max="1532" width="12.88671875" style="266" customWidth="1"/>
    <col min="1533" max="1533" width="12.109375" style="266" customWidth="1"/>
    <col min="1534" max="1534" width="11.88671875" style="266" customWidth="1"/>
    <col min="1535" max="1535" width="10.6640625" style="266" customWidth="1"/>
    <col min="1536" max="1536" width="10.44140625" style="266" customWidth="1"/>
    <col min="1537" max="1537" width="11.33203125" style="266" customWidth="1"/>
    <col min="1538" max="1538" width="11.88671875" style="266" customWidth="1"/>
    <col min="1539" max="1539" width="0.109375" style="266" customWidth="1"/>
    <col min="1540" max="1544" width="0" style="266" hidden="1" customWidth="1"/>
    <col min="1545" max="1783" width="8.88671875" style="266"/>
    <col min="1784" max="1784" width="46.33203125" style="266" customWidth="1"/>
    <col min="1785" max="1787" width="11.109375" style="266" bestFit="1" customWidth="1"/>
    <col min="1788" max="1788" width="12.88671875" style="266" customWidth="1"/>
    <col min="1789" max="1789" width="12.109375" style="266" customWidth="1"/>
    <col min="1790" max="1790" width="11.88671875" style="266" customWidth="1"/>
    <col min="1791" max="1791" width="10.6640625" style="266" customWidth="1"/>
    <col min="1792" max="1792" width="10.44140625" style="266" customWidth="1"/>
    <col min="1793" max="1793" width="11.33203125" style="266" customWidth="1"/>
    <col min="1794" max="1794" width="11.88671875" style="266" customWidth="1"/>
    <col min="1795" max="1795" width="0.109375" style="266" customWidth="1"/>
    <col min="1796" max="1800" width="0" style="266" hidden="1" customWidth="1"/>
    <col min="1801" max="2039" width="8.88671875" style="266"/>
    <col min="2040" max="2040" width="46.33203125" style="266" customWidth="1"/>
    <col min="2041" max="2043" width="11.109375" style="266" bestFit="1" customWidth="1"/>
    <col min="2044" max="2044" width="12.88671875" style="266" customWidth="1"/>
    <col min="2045" max="2045" width="12.109375" style="266" customWidth="1"/>
    <col min="2046" max="2046" width="11.88671875" style="266" customWidth="1"/>
    <col min="2047" max="2047" width="10.6640625" style="266" customWidth="1"/>
    <col min="2048" max="2048" width="10.44140625" style="266" customWidth="1"/>
    <col min="2049" max="2049" width="11.33203125" style="266" customWidth="1"/>
    <col min="2050" max="2050" width="11.88671875" style="266" customWidth="1"/>
    <col min="2051" max="2051" width="0.109375" style="266" customWidth="1"/>
    <col min="2052" max="2056" width="0" style="266" hidden="1" customWidth="1"/>
    <col min="2057" max="2295" width="8.88671875" style="266"/>
    <col min="2296" max="2296" width="46.33203125" style="266" customWidth="1"/>
    <col min="2297" max="2299" width="11.109375" style="266" bestFit="1" customWidth="1"/>
    <col min="2300" max="2300" width="12.88671875" style="266" customWidth="1"/>
    <col min="2301" max="2301" width="12.109375" style="266" customWidth="1"/>
    <col min="2302" max="2302" width="11.88671875" style="266" customWidth="1"/>
    <col min="2303" max="2303" width="10.6640625" style="266" customWidth="1"/>
    <col min="2304" max="2304" width="10.44140625" style="266" customWidth="1"/>
    <col min="2305" max="2305" width="11.33203125" style="266" customWidth="1"/>
    <col min="2306" max="2306" width="11.88671875" style="266" customWidth="1"/>
    <col min="2307" max="2307" width="0.109375" style="266" customWidth="1"/>
    <col min="2308" max="2312" width="0" style="266" hidden="1" customWidth="1"/>
    <col min="2313" max="2551" width="8.88671875" style="266"/>
    <col min="2552" max="2552" width="46.33203125" style="266" customWidth="1"/>
    <col min="2553" max="2555" width="11.109375" style="266" bestFit="1" customWidth="1"/>
    <col min="2556" max="2556" width="12.88671875" style="266" customWidth="1"/>
    <col min="2557" max="2557" width="12.109375" style="266" customWidth="1"/>
    <col min="2558" max="2558" width="11.88671875" style="266" customWidth="1"/>
    <col min="2559" max="2559" width="10.6640625" style="266" customWidth="1"/>
    <col min="2560" max="2560" width="10.44140625" style="266" customWidth="1"/>
    <col min="2561" max="2561" width="11.33203125" style="266" customWidth="1"/>
    <col min="2562" max="2562" width="11.88671875" style="266" customWidth="1"/>
    <col min="2563" max="2563" width="0.109375" style="266" customWidth="1"/>
    <col min="2564" max="2568" width="0" style="266" hidden="1" customWidth="1"/>
    <col min="2569" max="2807" width="8.88671875" style="266"/>
    <col min="2808" max="2808" width="46.33203125" style="266" customWidth="1"/>
    <col min="2809" max="2811" width="11.109375" style="266" bestFit="1" customWidth="1"/>
    <col min="2812" max="2812" width="12.88671875" style="266" customWidth="1"/>
    <col min="2813" max="2813" width="12.109375" style="266" customWidth="1"/>
    <col min="2814" max="2814" width="11.88671875" style="266" customWidth="1"/>
    <col min="2815" max="2815" width="10.6640625" style="266" customWidth="1"/>
    <col min="2816" max="2816" width="10.44140625" style="266" customWidth="1"/>
    <col min="2817" max="2817" width="11.33203125" style="266" customWidth="1"/>
    <col min="2818" max="2818" width="11.88671875" style="266" customWidth="1"/>
    <col min="2819" max="2819" width="0.109375" style="266" customWidth="1"/>
    <col min="2820" max="2824" width="0" style="266" hidden="1" customWidth="1"/>
    <col min="2825" max="3063" width="8.88671875" style="266"/>
    <col min="3064" max="3064" width="46.33203125" style="266" customWidth="1"/>
    <col min="3065" max="3067" width="11.109375" style="266" bestFit="1" customWidth="1"/>
    <col min="3068" max="3068" width="12.88671875" style="266" customWidth="1"/>
    <col min="3069" max="3069" width="12.109375" style="266" customWidth="1"/>
    <col min="3070" max="3070" width="11.88671875" style="266" customWidth="1"/>
    <col min="3071" max="3071" width="10.6640625" style="266" customWidth="1"/>
    <col min="3072" max="3072" width="10.44140625" style="266" customWidth="1"/>
    <col min="3073" max="3073" width="11.33203125" style="266" customWidth="1"/>
    <col min="3074" max="3074" width="11.88671875" style="266" customWidth="1"/>
    <col min="3075" max="3075" width="0.109375" style="266" customWidth="1"/>
    <col min="3076" max="3080" width="0" style="266" hidden="1" customWidth="1"/>
    <col min="3081" max="3319" width="8.88671875" style="266"/>
    <col min="3320" max="3320" width="46.33203125" style="266" customWidth="1"/>
    <col min="3321" max="3323" width="11.109375" style="266" bestFit="1" customWidth="1"/>
    <col min="3324" max="3324" width="12.88671875" style="266" customWidth="1"/>
    <col min="3325" max="3325" width="12.109375" style="266" customWidth="1"/>
    <col min="3326" max="3326" width="11.88671875" style="266" customWidth="1"/>
    <col min="3327" max="3327" width="10.6640625" style="266" customWidth="1"/>
    <col min="3328" max="3328" width="10.44140625" style="266" customWidth="1"/>
    <col min="3329" max="3329" width="11.33203125" style="266" customWidth="1"/>
    <col min="3330" max="3330" width="11.88671875" style="266" customWidth="1"/>
    <col min="3331" max="3331" width="0.109375" style="266" customWidth="1"/>
    <col min="3332" max="3336" width="0" style="266" hidden="1" customWidth="1"/>
    <col min="3337" max="3575" width="8.88671875" style="266"/>
    <col min="3576" max="3576" width="46.33203125" style="266" customWidth="1"/>
    <col min="3577" max="3579" width="11.109375" style="266" bestFit="1" customWidth="1"/>
    <col min="3580" max="3580" width="12.88671875" style="266" customWidth="1"/>
    <col min="3581" max="3581" width="12.109375" style="266" customWidth="1"/>
    <col min="3582" max="3582" width="11.88671875" style="266" customWidth="1"/>
    <col min="3583" max="3583" width="10.6640625" style="266" customWidth="1"/>
    <col min="3584" max="3584" width="10.44140625" style="266" customWidth="1"/>
    <col min="3585" max="3585" width="11.33203125" style="266" customWidth="1"/>
    <col min="3586" max="3586" width="11.88671875" style="266" customWidth="1"/>
    <col min="3587" max="3587" width="0.109375" style="266" customWidth="1"/>
    <col min="3588" max="3592" width="0" style="266" hidden="1" customWidth="1"/>
    <col min="3593" max="3831" width="8.88671875" style="266"/>
    <col min="3832" max="3832" width="46.33203125" style="266" customWidth="1"/>
    <col min="3833" max="3835" width="11.109375" style="266" bestFit="1" customWidth="1"/>
    <col min="3836" max="3836" width="12.88671875" style="266" customWidth="1"/>
    <col min="3837" max="3837" width="12.109375" style="266" customWidth="1"/>
    <col min="3838" max="3838" width="11.88671875" style="266" customWidth="1"/>
    <col min="3839" max="3839" width="10.6640625" style="266" customWidth="1"/>
    <col min="3840" max="3840" width="10.44140625" style="266" customWidth="1"/>
    <col min="3841" max="3841" width="11.33203125" style="266" customWidth="1"/>
    <col min="3842" max="3842" width="11.88671875" style="266" customWidth="1"/>
    <col min="3843" max="3843" width="0.109375" style="266" customWidth="1"/>
    <col min="3844" max="3848" width="0" style="266" hidden="1" customWidth="1"/>
    <col min="3849" max="4087" width="8.88671875" style="266"/>
    <col min="4088" max="4088" width="46.33203125" style="266" customWidth="1"/>
    <col min="4089" max="4091" width="11.109375" style="266" bestFit="1" customWidth="1"/>
    <col min="4092" max="4092" width="12.88671875" style="266" customWidth="1"/>
    <col min="4093" max="4093" width="12.109375" style="266" customWidth="1"/>
    <col min="4094" max="4094" width="11.88671875" style="266" customWidth="1"/>
    <col min="4095" max="4095" width="10.6640625" style="266" customWidth="1"/>
    <col min="4096" max="4096" width="10.44140625" style="266" customWidth="1"/>
    <col min="4097" max="4097" width="11.33203125" style="266" customWidth="1"/>
    <col min="4098" max="4098" width="11.88671875" style="266" customWidth="1"/>
    <col min="4099" max="4099" width="0.109375" style="266" customWidth="1"/>
    <col min="4100" max="4104" width="0" style="266" hidden="1" customWidth="1"/>
    <col min="4105" max="4343" width="8.88671875" style="266"/>
    <col min="4344" max="4344" width="46.33203125" style="266" customWidth="1"/>
    <col min="4345" max="4347" width="11.109375" style="266" bestFit="1" customWidth="1"/>
    <col min="4348" max="4348" width="12.88671875" style="266" customWidth="1"/>
    <col min="4349" max="4349" width="12.109375" style="266" customWidth="1"/>
    <col min="4350" max="4350" width="11.88671875" style="266" customWidth="1"/>
    <col min="4351" max="4351" width="10.6640625" style="266" customWidth="1"/>
    <col min="4352" max="4352" width="10.44140625" style="266" customWidth="1"/>
    <col min="4353" max="4353" width="11.33203125" style="266" customWidth="1"/>
    <col min="4354" max="4354" width="11.88671875" style="266" customWidth="1"/>
    <col min="4355" max="4355" width="0.109375" style="266" customWidth="1"/>
    <col min="4356" max="4360" width="0" style="266" hidden="1" customWidth="1"/>
    <col min="4361" max="4599" width="8.88671875" style="266"/>
    <col min="4600" max="4600" width="46.33203125" style="266" customWidth="1"/>
    <col min="4601" max="4603" width="11.109375" style="266" bestFit="1" customWidth="1"/>
    <col min="4604" max="4604" width="12.88671875" style="266" customWidth="1"/>
    <col min="4605" max="4605" width="12.109375" style="266" customWidth="1"/>
    <col min="4606" max="4606" width="11.88671875" style="266" customWidth="1"/>
    <col min="4607" max="4607" width="10.6640625" style="266" customWidth="1"/>
    <col min="4608" max="4608" width="10.44140625" style="266" customWidth="1"/>
    <col min="4609" max="4609" width="11.33203125" style="266" customWidth="1"/>
    <col min="4610" max="4610" width="11.88671875" style="266" customWidth="1"/>
    <col min="4611" max="4611" width="0.109375" style="266" customWidth="1"/>
    <col min="4612" max="4616" width="0" style="266" hidden="1" customWidth="1"/>
    <col min="4617" max="4855" width="8.88671875" style="266"/>
    <col min="4856" max="4856" width="46.33203125" style="266" customWidth="1"/>
    <col min="4857" max="4859" width="11.109375" style="266" bestFit="1" customWidth="1"/>
    <col min="4860" max="4860" width="12.88671875" style="266" customWidth="1"/>
    <col min="4861" max="4861" width="12.109375" style="266" customWidth="1"/>
    <col min="4862" max="4862" width="11.88671875" style="266" customWidth="1"/>
    <col min="4863" max="4863" width="10.6640625" style="266" customWidth="1"/>
    <col min="4864" max="4864" width="10.44140625" style="266" customWidth="1"/>
    <col min="4865" max="4865" width="11.33203125" style="266" customWidth="1"/>
    <col min="4866" max="4866" width="11.88671875" style="266" customWidth="1"/>
    <col min="4867" max="4867" width="0.109375" style="266" customWidth="1"/>
    <col min="4868" max="4872" width="0" style="266" hidden="1" customWidth="1"/>
    <col min="4873" max="5111" width="8.88671875" style="266"/>
    <col min="5112" max="5112" width="46.33203125" style="266" customWidth="1"/>
    <col min="5113" max="5115" width="11.109375" style="266" bestFit="1" customWidth="1"/>
    <col min="5116" max="5116" width="12.88671875" style="266" customWidth="1"/>
    <col min="5117" max="5117" width="12.109375" style="266" customWidth="1"/>
    <col min="5118" max="5118" width="11.88671875" style="266" customWidth="1"/>
    <col min="5119" max="5119" width="10.6640625" style="266" customWidth="1"/>
    <col min="5120" max="5120" width="10.44140625" style="266" customWidth="1"/>
    <col min="5121" max="5121" width="11.33203125" style="266" customWidth="1"/>
    <col min="5122" max="5122" width="11.88671875" style="266" customWidth="1"/>
    <col min="5123" max="5123" width="0.109375" style="266" customWidth="1"/>
    <col min="5124" max="5128" width="0" style="266" hidden="1" customWidth="1"/>
    <col min="5129" max="5367" width="8.88671875" style="266"/>
    <col min="5368" max="5368" width="46.33203125" style="266" customWidth="1"/>
    <col min="5369" max="5371" width="11.109375" style="266" bestFit="1" customWidth="1"/>
    <col min="5372" max="5372" width="12.88671875" style="266" customWidth="1"/>
    <col min="5373" max="5373" width="12.109375" style="266" customWidth="1"/>
    <col min="5374" max="5374" width="11.88671875" style="266" customWidth="1"/>
    <col min="5375" max="5375" width="10.6640625" style="266" customWidth="1"/>
    <col min="5376" max="5376" width="10.44140625" style="266" customWidth="1"/>
    <col min="5377" max="5377" width="11.33203125" style="266" customWidth="1"/>
    <col min="5378" max="5378" width="11.88671875" style="266" customWidth="1"/>
    <col min="5379" max="5379" width="0.109375" style="266" customWidth="1"/>
    <col min="5380" max="5384" width="0" style="266" hidden="1" customWidth="1"/>
    <col min="5385" max="5623" width="8.88671875" style="266"/>
    <col min="5624" max="5624" width="46.33203125" style="266" customWidth="1"/>
    <col min="5625" max="5627" width="11.109375" style="266" bestFit="1" customWidth="1"/>
    <col min="5628" max="5628" width="12.88671875" style="266" customWidth="1"/>
    <col min="5629" max="5629" width="12.109375" style="266" customWidth="1"/>
    <col min="5630" max="5630" width="11.88671875" style="266" customWidth="1"/>
    <col min="5631" max="5631" width="10.6640625" style="266" customWidth="1"/>
    <col min="5632" max="5632" width="10.44140625" style="266" customWidth="1"/>
    <col min="5633" max="5633" width="11.33203125" style="266" customWidth="1"/>
    <col min="5634" max="5634" width="11.88671875" style="266" customWidth="1"/>
    <col min="5635" max="5635" width="0.109375" style="266" customWidth="1"/>
    <col min="5636" max="5640" width="0" style="266" hidden="1" customWidth="1"/>
    <col min="5641" max="5879" width="8.88671875" style="266"/>
    <col min="5880" max="5880" width="46.33203125" style="266" customWidth="1"/>
    <col min="5881" max="5883" width="11.109375" style="266" bestFit="1" customWidth="1"/>
    <col min="5884" max="5884" width="12.88671875" style="266" customWidth="1"/>
    <col min="5885" max="5885" width="12.109375" style="266" customWidth="1"/>
    <col min="5886" max="5886" width="11.88671875" style="266" customWidth="1"/>
    <col min="5887" max="5887" width="10.6640625" style="266" customWidth="1"/>
    <col min="5888" max="5888" width="10.44140625" style="266" customWidth="1"/>
    <col min="5889" max="5889" width="11.33203125" style="266" customWidth="1"/>
    <col min="5890" max="5890" width="11.88671875" style="266" customWidth="1"/>
    <col min="5891" max="5891" width="0.109375" style="266" customWidth="1"/>
    <col min="5892" max="5896" width="0" style="266" hidden="1" customWidth="1"/>
    <col min="5897" max="6135" width="8.88671875" style="266"/>
    <col min="6136" max="6136" width="46.33203125" style="266" customWidth="1"/>
    <col min="6137" max="6139" width="11.109375" style="266" bestFit="1" customWidth="1"/>
    <col min="6140" max="6140" width="12.88671875" style="266" customWidth="1"/>
    <col min="6141" max="6141" width="12.109375" style="266" customWidth="1"/>
    <col min="6142" max="6142" width="11.88671875" style="266" customWidth="1"/>
    <col min="6143" max="6143" width="10.6640625" style="266" customWidth="1"/>
    <col min="6144" max="6144" width="10.44140625" style="266" customWidth="1"/>
    <col min="6145" max="6145" width="11.33203125" style="266" customWidth="1"/>
    <col min="6146" max="6146" width="11.88671875" style="266" customWidth="1"/>
    <col min="6147" max="6147" width="0.109375" style="266" customWidth="1"/>
    <col min="6148" max="6152" width="0" style="266" hidden="1" customWidth="1"/>
    <col min="6153" max="6391" width="8.88671875" style="266"/>
    <col min="6392" max="6392" width="46.33203125" style="266" customWidth="1"/>
    <col min="6393" max="6395" width="11.109375" style="266" bestFit="1" customWidth="1"/>
    <col min="6396" max="6396" width="12.88671875" style="266" customWidth="1"/>
    <col min="6397" max="6397" width="12.109375" style="266" customWidth="1"/>
    <col min="6398" max="6398" width="11.88671875" style="266" customWidth="1"/>
    <col min="6399" max="6399" width="10.6640625" style="266" customWidth="1"/>
    <col min="6400" max="6400" width="10.44140625" style="266" customWidth="1"/>
    <col min="6401" max="6401" width="11.33203125" style="266" customWidth="1"/>
    <col min="6402" max="6402" width="11.88671875" style="266" customWidth="1"/>
    <col min="6403" max="6403" width="0.109375" style="266" customWidth="1"/>
    <col min="6404" max="6408" width="0" style="266" hidden="1" customWidth="1"/>
    <col min="6409" max="6647" width="8.88671875" style="266"/>
    <col min="6648" max="6648" width="46.33203125" style="266" customWidth="1"/>
    <col min="6649" max="6651" width="11.109375" style="266" bestFit="1" customWidth="1"/>
    <col min="6652" max="6652" width="12.88671875" style="266" customWidth="1"/>
    <col min="6653" max="6653" width="12.109375" style="266" customWidth="1"/>
    <col min="6654" max="6654" width="11.88671875" style="266" customWidth="1"/>
    <col min="6655" max="6655" width="10.6640625" style="266" customWidth="1"/>
    <col min="6656" max="6656" width="10.44140625" style="266" customWidth="1"/>
    <col min="6657" max="6657" width="11.33203125" style="266" customWidth="1"/>
    <col min="6658" max="6658" width="11.88671875" style="266" customWidth="1"/>
    <col min="6659" max="6659" width="0.109375" style="266" customWidth="1"/>
    <col min="6660" max="6664" width="0" style="266" hidden="1" customWidth="1"/>
    <col min="6665" max="6903" width="8.88671875" style="266"/>
    <col min="6904" max="6904" width="46.33203125" style="266" customWidth="1"/>
    <col min="6905" max="6907" width="11.109375" style="266" bestFit="1" customWidth="1"/>
    <col min="6908" max="6908" width="12.88671875" style="266" customWidth="1"/>
    <col min="6909" max="6909" width="12.109375" style="266" customWidth="1"/>
    <col min="6910" max="6910" width="11.88671875" style="266" customWidth="1"/>
    <col min="6911" max="6911" width="10.6640625" style="266" customWidth="1"/>
    <col min="6912" max="6912" width="10.44140625" style="266" customWidth="1"/>
    <col min="6913" max="6913" width="11.33203125" style="266" customWidth="1"/>
    <col min="6914" max="6914" width="11.88671875" style="266" customWidth="1"/>
    <col min="6915" max="6915" width="0.109375" style="266" customWidth="1"/>
    <col min="6916" max="6920" width="0" style="266" hidden="1" customWidth="1"/>
    <col min="6921" max="7159" width="8.88671875" style="266"/>
    <col min="7160" max="7160" width="46.33203125" style="266" customWidth="1"/>
    <col min="7161" max="7163" width="11.109375" style="266" bestFit="1" customWidth="1"/>
    <col min="7164" max="7164" width="12.88671875" style="266" customWidth="1"/>
    <col min="7165" max="7165" width="12.109375" style="266" customWidth="1"/>
    <col min="7166" max="7166" width="11.88671875" style="266" customWidth="1"/>
    <col min="7167" max="7167" width="10.6640625" style="266" customWidth="1"/>
    <col min="7168" max="7168" width="10.44140625" style="266" customWidth="1"/>
    <col min="7169" max="7169" width="11.33203125" style="266" customWidth="1"/>
    <col min="7170" max="7170" width="11.88671875" style="266" customWidth="1"/>
    <col min="7171" max="7171" width="0.109375" style="266" customWidth="1"/>
    <col min="7172" max="7176" width="0" style="266" hidden="1" customWidth="1"/>
    <col min="7177" max="7415" width="8.88671875" style="266"/>
    <col min="7416" max="7416" width="46.33203125" style="266" customWidth="1"/>
    <col min="7417" max="7419" width="11.109375" style="266" bestFit="1" customWidth="1"/>
    <col min="7420" max="7420" width="12.88671875" style="266" customWidth="1"/>
    <col min="7421" max="7421" width="12.109375" style="266" customWidth="1"/>
    <col min="7422" max="7422" width="11.88671875" style="266" customWidth="1"/>
    <col min="7423" max="7423" width="10.6640625" style="266" customWidth="1"/>
    <col min="7424" max="7424" width="10.44140625" style="266" customWidth="1"/>
    <col min="7425" max="7425" width="11.33203125" style="266" customWidth="1"/>
    <col min="7426" max="7426" width="11.88671875" style="266" customWidth="1"/>
    <col min="7427" max="7427" width="0.109375" style="266" customWidth="1"/>
    <col min="7428" max="7432" width="0" style="266" hidden="1" customWidth="1"/>
    <col min="7433" max="7671" width="8.88671875" style="266"/>
    <col min="7672" max="7672" width="46.33203125" style="266" customWidth="1"/>
    <col min="7673" max="7675" width="11.109375" style="266" bestFit="1" customWidth="1"/>
    <col min="7676" max="7676" width="12.88671875" style="266" customWidth="1"/>
    <col min="7677" max="7677" width="12.109375" style="266" customWidth="1"/>
    <col min="7678" max="7678" width="11.88671875" style="266" customWidth="1"/>
    <col min="7679" max="7679" width="10.6640625" style="266" customWidth="1"/>
    <col min="7680" max="7680" width="10.44140625" style="266" customWidth="1"/>
    <col min="7681" max="7681" width="11.33203125" style="266" customWidth="1"/>
    <col min="7682" max="7682" width="11.88671875" style="266" customWidth="1"/>
    <col min="7683" max="7683" width="0.109375" style="266" customWidth="1"/>
    <col min="7684" max="7688" width="0" style="266" hidden="1" customWidth="1"/>
    <col min="7689" max="7927" width="8.88671875" style="266"/>
    <col min="7928" max="7928" width="46.33203125" style="266" customWidth="1"/>
    <col min="7929" max="7931" width="11.109375" style="266" bestFit="1" customWidth="1"/>
    <col min="7932" max="7932" width="12.88671875" style="266" customWidth="1"/>
    <col min="7933" max="7933" width="12.109375" style="266" customWidth="1"/>
    <col min="7934" max="7934" width="11.88671875" style="266" customWidth="1"/>
    <col min="7935" max="7935" width="10.6640625" style="266" customWidth="1"/>
    <col min="7936" max="7936" width="10.44140625" style="266" customWidth="1"/>
    <col min="7937" max="7937" width="11.33203125" style="266" customWidth="1"/>
    <col min="7938" max="7938" width="11.88671875" style="266" customWidth="1"/>
    <col min="7939" max="7939" width="0.109375" style="266" customWidth="1"/>
    <col min="7940" max="7944" width="0" style="266" hidden="1" customWidth="1"/>
    <col min="7945" max="8183" width="8.88671875" style="266"/>
    <col min="8184" max="8184" width="46.33203125" style="266" customWidth="1"/>
    <col min="8185" max="8187" width="11.109375" style="266" bestFit="1" customWidth="1"/>
    <col min="8188" max="8188" width="12.88671875" style="266" customWidth="1"/>
    <col min="8189" max="8189" width="12.109375" style="266" customWidth="1"/>
    <col min="8190" max="8190" width="11.88671875" style="266" customWidth="1"/>
    <col min="8191" max="8191" width="10.6640625" style="266" customWidth="1"/>
    <col min="8192" max="8192" width="10.44140625" style="266" customWidth="1"/>
    <col min="8193" max="8193" width="11.33203125" style="266" customWidth="1"/>
    <col min="8194" max="8194" width="11.88671875" style="266" customWidth="1"/>
    <col min="8195" max="8195" width="0.109375" style="266" customWidth="1"/>
    <col min="8196" max="8200" width="0" style="266" hidden="1" customWidth="1"/>
    <col min="8201" max="8439" width="8.88671875" style="266"/>
    <col min="8440" max="8440" width="46.33203125" style="266" customWidth="1"/>
    <col min="8441" max="8443" width="11.109375" style="266" bestFit="1" customWidth="1"/>
    <col min="8444" max="8444" width="12.88671875" style="266" customWidth="1"/>
    <col min="8445" max="8445" width="12.109375" style="266" customWidth="1"/>
    <col min="8446" max="8446" width="11.88671875" style="266" customWidth="1"/>
    <col min="8447" max="8447" width="10.6640625" style="266" customWidth="1"/>
    <col min="8448" max="8448" width="10.44140625" style="266" customWidth="1"/>
    <col min="8449" max="8449" width="11.33203125" style="266" customWidth="1"/>
    <col min="8450" max="8450" width="11.88671875" style="266" customWidth="1"/>
    <col min="8451" max="8451" width="0.109375" style="266" customWidth="1"/>
    <col min="8452" max="8456" width="0" style="266" hidden="1" customWidth="1"/>
    <col min="8457" max="8695" width="8.88671875" style="266"/>
    <col min="8696" max="8696" width="46.33203125" style="266" customWidth="1"/>
    <col min="8697" max="8699" width="11.109375" style="266" bestFit="1" customWidth="1"/>
    <col min="8700" max="8700" width="12.88671875" style="266" customWidth="1"/>
    <col min="8701" max="8701" width="12.109375" style="266" customWidth="1"/>
    <col min="8702" max="8702" width="11.88671875" style="266" customWidth="1"/>
    <col min="8703" max="8703" width="10.6640625" style="266" customWidth="1"/>
    <col min="8704" max="8704" width="10.44140625" style="266" customWidth="1"/>
    <col min="8705" max="8705" width="11.33203125" style="266" customWidth="1"/>
    <col min="8706" max="8706" width="11.88671875" style="266" customWidth="1"/>
    <col min="8707" max="8707" width="0.109375" style="266" customWidth="1"/>
    <col min="8708" max="8712" width="0" style="266" hidden="1" customWidth="1"/>
    <col min="8713" max="8951" width="8.88671875" style="266"/>
    <col min="8952" max="8952" width="46.33203125" style="266" customWidth="1"/>
    <col min="8953" max="8955" width="11.109375" style="266" bestFit="1" customWidth="1"/>
    <col min="8956" max="8956" width="12.88671875" style="266" customWidth="1"/>
    <col min="8957" max="8957" width="12.109375" style="266" customWidth="1"/>
    <col min="8958" max="8958" width="11.88671875" style="266" customWidth="1"/>
    <col min="8959" max="8959" width="10.6640625" style="266" customWidth="1"/>
    <col min="8960" max="8960" width="10.44140625" style="266" customWidth="1"/>
    <col min="8961" max="8961" width="11.33203125" style="266" customWidth="1"/>
    <col min="8962" max="8962" width="11.88671875" style="266" customWidth="1"/>
    <col min="8963" max="8963" width="0.109375" style="266" customWidth="1"/>
    <col min="8964" max="8968" width="0" style="266" hidden="1" customWidth="1"/>
    <col min="8969" max="9207" width="8.88671875" style="266"/>
    <col min="9208" max="9208" width="46.33203125" style="266" customWidth="1"/>
    <col min="9209" max="9211" width="11.109375" style="266" bestFit="1" customWidth="1"/>
    <col min="9212" max="9212" width="12.88671875" style="266" customWidth="1"/>
    <col min="9213" max="9213" width="12.109375" style="266" customWidth="1"/>
    <col min="9214" max="9214" width="11.88671875" style="266" customWidth="1"/>
    <col min="9215" max="9215" width="10.6640625" style="266" customWidth="1"/>
    <col min="9216" max="9216" width="10.44140625" style="266" customWidth="1"/>
    <col min="9217" max="9217" width="11.33203125" style="266" customWidth="1"/>
    <col min="9218" max="9218" width="11.88671875" style="266" customWidth="1"/>
    <col min="9219" max="9219" width="0.109375" style="266" customWidth="1"/>
    <col min="9220" max="9224" width="0" style="266" hidden="1" customWidth="1"/>
    <col min="9225" max="9463" width="8.88671875" style="266"/>
    <col min="9464" max="9464" width="46.33203125" style="266" customWidth="1"/>
    <col min="9465" max="9467" width="11.109375" style="266" bestFit="1" customWidth="1"/>
    <col min="9468" max="9468" width="12.88671875" style="266" customWidth="1"/>
    <col min="9469" max="9469" width="12.109375" style="266" customWidth="1"/>
    <col min="9470" max="9470" width="11.88671875" style="266" customWidth="1"/>
    <col min="9471" max="9471" width="10.6640625" style="266" customWidth="1"/>
    <col min="9472" max="9472" width="10.44140625" style="266" customWidth="1"/>
    <col min="9473" max="9473" width="11.33203125" style="266" customWidth="1"/>
    <col min="9474" max="9474" width="11.88671875" style="266" customWidth="1"/>
    <col min="9475" max="9475" width="0.109375" style="266" customWidth="1"/>
    <col min="9476" max="9480" width="0" style="266" hidden="1" customWidth="1"/>
    <col min="9481" max="9719" width="8.88671875" style="266"/>
    <col min="9720" max="9720" width="46.33203125" style="266" customWidth="1"/>
    <col min="9721" max="9723" width="11.109375" style="266" bestFit="1" customWidth="1"/>
    <col min="9724" max="9724" width="12.88671875" style="266" customWidth="1"/>
    <col min="9725" max="9725" width="12.109375" style="266" customWidth="1"/>
    <col min="9726" max="9726" width="11.88671875" style="266" customWidth="1"/>
    <col min="9727" max="9727" width="10.6640625" style="266" customWidth="1"/>
    <col min="9728" max="9728" width="10.44140625" style="266" customWidth="1"/>
    <col min="9729" max="9729" width="11.33203125" style="266" customWidth="1"/>
    <col min="9730" max="9730" width="11.88671875" style="266" customWidth="1"/>
    <col min="9731" max="9731" width="0.109375" style="266" customWidth="1"/>
    <col min="9732" max="9736" width="0" style="266" hidden="1" customWidth="1"/>
    <col min="9737" max="9975" width="8.88671875" style="266"/>
    <col min="9976" max="9976" width="46.33203125" style="266" customWidth="1"/>
    <col min="9977" max="9979" width="11.109375" style="266" bestFit="1" customWidth="1"/>
    <col min="9980" max="9980" width="12.88671875" style="266" customWidth="1"/>
    <col min="9981" max="9981" width="12.109375" style="266" customWidth="1"/>
    <col min="9982" max="9982" width="11.88671875" style="266" customWidth="1"/>
    <col min="9983" max="9983" width="10.6640625" style="266" customWidth="1"/>
    <col min="9984" max="9984" width="10.44140625" style="266" customWidth="1"/>
    <col min="9985" max="9985" width="11.33203125" style="266" customWidth="1"/>
    <col min="9986" max="9986" width="11.88671875" style="266" customWidth="1"/>
    <col min="9987" max="9987" width="0.109375" style="266" customWidth="1"/>
    <col min="9988" max="9992" width="0" style="266" hidden="1" customWidth="1"/>
    <col min="9993" max="10231" width="8.88671875" style="266"/>
    <col min="10232" max="10232" width="46.33203125" style="266" customWidth="1"/>
    <col min="10233" max="10235" width="11.109375" style="266" bestFit="1" customWidth="1"/>
    <col min="10236" max="10236" width="12.88671875" style="266" customWidth="1"/>
    <col min="10237" max="10237" width="12.109375" style="266" customWidth="1"/>
    <col min="10238" max="10238" width="11.88671875" style="266" customWidth="1"/>
    <col min="10239" max="10239" width="10.6640625" style="266" customWidth="1"/>
    <col min="10240" max="10240" width="10.44140625" style="266" customWidth="1"/>
    <col min="10241" max="10241" width="11.33203125" style="266" customWidth="1"/>
    <col min="10242" max="10242" width="11.88671875" style="266" customWidth="1"/>
    <col min="10243" max="10243" width="0.109375" style="266" customWidth="1"/>
    <col min="10244" max="10248" width="0" style="266" hidden="1" customWidth="1"/>
    <col min="10249" max="10487" width="8.88671875" style="266"/>
    <col min="10488" max="10488" width="46.33203125" style="266" customWidth="1"/>
    <col min="10489" max="10491" width="11.109375" style="266" bestFit="1" customWidth="1"/>
    <col min="10492" max="10492" width="12.88671875" style="266" customWidth="1"/>
    <col min="10493" max="10493" width="12.109375" style="266" customWidth="1"/>
    <col min="10494" max="10494" width="11.88671875" style="266" customWidth="1"/>
    <col min="10495" max="10495" width="10.6640625" style="266" customWidth="1"/>
    <col min="10496" max="10496" width="10.44140625" style="266" customWidth="1"/>
    <col min="10497" max="10497" width="11.33203125" style="266" customWidth="1"/>
    <col min="10498" max="10498" width="11.88671875" style="266" customWidth="1"/>
    <col min="10499" max="10499" width="0.109375" style="266" customWidth="1"/>
    <col min="10500" max="10504" width="0" style="266" hidden="1" customWidth="1"/>
    <col min="10505" max="10743" width="8.88671875" style="266"/>
    <col min="10744" max="10744" width="46.33203125" style="266" customWidth="1"/>
    <col min="10745" max="10747" width="11.109375" style="266" bestFit="1" customWidth="1"/>
    <col min="10748" max="10748" width="12.88671875" style="266" customWidth="1"/>
    <col min="10749" max="10749" width="12.109375" style="266" customWidth="1"/>
    <col min="10750" max="10750" width="11.88671875" style="266" customWidth="1"/>
    <col min="10751" max="10751" width="10.6640625" style="266" customWidth="1"/>
    <col min="10752" max="10752" width="10.44140625" style="266" customWidth="1"/>
    <col min="10753" max="10753" width="11.33203125" style="266" customWidth="1"/>
    <col min="10754" max="10754" width="11.88671875" style="266" customWidth="1"/>
    <col min="10755" max="10755" width="0.109375" style="266" customWidth="1"/>
    <col min="10756" max="10760" width="0" style="266" hidden="1" customWidth="1"/>
    <col min="10761" max="10999" width="8.88671875" style="266"/>
    <col min="11000" max="11000" width="46.33203125" style="266" customWidth="1"/>
    <col min="11001" max="11003" width="11.109375" style="266" bestFit="1" customWidth="1"/>
    <col min="11004" max="11004" width="12.88671875" style="266" customWidth="1"/>
    <col min="11005" max="11005" width="12.109375" style="266" customWidth="1"/>
    <col min="11006" max="11006" width="11.88671875" style="266" customWidth="1"/>
    <col min="11007" max="11007" width="10.6640625" style="266" customWidth="1"/>
    <col min="11008" max="11008" width="10.44140625" style="266" customWidth="1"/>
    <col min="11009" max="11009" width="11.33203125" style="266" customWidth="1"/>
    <col min="11010" max="11010" width="11.88671875" style="266" customWidth="1"/>
    <col min="11011" max="11011" width="0.109375" style="266" customWidth="1"/>
    <col min="11012" max="11016" width="0" style="266" hidden="1" customWidth="1"/>
    <col min="11017" max="11255" width="8.88671875" style="266"/>
    <col min="11256" max="11256" width="46.33203125" style="266" customWidth="1"/>
    <col min="11257" max="11259" width="11.109375" style="266" bestFit="1" customWidth="1"/>
    <col min="11260" max="11260" width="12.88671875" style="266" customWidth="1"/>
    <col min="11261" max="11261" width="12.109375" style="266" customWidth="1"/>
    <col min="11262" max="11262" width="11.88671875" style="266" customWidth="1"/>
    <col min="11263" max="11263" width="10.6640625" style="266" customWidth="1"/>
    <col min="11264" max="11264" width="10.44140625" style="266" customWidth="1"/>
    <col min="11265" max="11265" width="11.33203125" style="266" customWidth="1"/>
    <col min="11266" max="11266" width="11.88671875" style="266" customWidth="1"/>
    <col min="11267" max="11267" width="0.109375" style="266" customWidth="1"/>
    <col min="11268" max="11272" width="0" style="266" hidden="1" customWidth="1"/>
    <col min="11273" max="11511" width="8.88671875" style="266"/>
    <col min="11512" max="11512" width="46.33203125" style="266" customWidth="1"/>
    <col min="11513" max="11515" width="11.109375" style="266" bestFit="1" customWidth="1"/>
    <col min="11516" max="11516" width="12.88671875" style="266" customWidth="1"/>
    <col min="11517" max="11517" width="12.109375" style="266" customWidth="1"/>
    <col min="11518" max="11518" width="11.88671875" style="266" customWidth="1"/>
    <col min="11519" max="11519" width="10.6640625" style="266" customWidth="1"/>
    <col min="11520" max="11520" width="10.44140625" style="266" customWidth="1"/>
    <col min="11521" max="11521" width="11.33203125" style="266" customWidth="1"/>
    <col min="11522" max="11522" width="11.88671875" style="266" customWidth="1"/>
    <col min="11523" max="11523" width="0.109375" style="266" customWidth="1"/>
    <col min="11524" max="11528" width="0" style="266" hidden="1" customWidth="1"/>
    <col min="11529" max="11767" width="8.88671875" style="266"/>
    <col min="11768" max="11768" width="46.33203125" style="266" customWidth="1"/>
    <col min="11769" max="11771" width="11.109375" style="266" bestFit="1" customWidth="1"/>
    <col min="11772" max="11772" width="12.88671875" style="266" customWidth="1"/>
    <col min="11773" max="11773" width="12.109375" style="266" customWidth="1"/>
    <col min="11774" max="11774" width="11.88671875" style="266" customWidth="1"/>
    <col min="11775" max="11775" width="10.6640625" style="266" customWidth="1"/>
    <col min="11776" max="11776" width="10.44140625" style="266" customWidth="1"/>
    <col min="11777" max="11777" width="11.33203125" style="266" customWidth="1"/>
    <col min="11778" max="11778" width="11.88671875" style="266" customWidth="1"/>
    <col min="11779" max="11779" width="0.109375" style="266" customWidth="1"/>
    <col min="11780" max="11784" width="0" style="266" hidden="1" customWidth="1"/>
    <col min="11785" max="12023" width="8.88671875" style="266"/>
    <col min="12024" max="12024" width="46.33203125" style="266" customWidth="1"/>
    <col min="12025" max="12027" width="11.109375" style="266" bestFit="1" customWidth="1"/>
    <col min="12028" max="12028" width="12.88671875" style="266" customWidth="1"/>
    <col min="12029" max="12029" width="12.109375" style="266" customWidth="1"/>
    <col min="12030" max="12030" width="11.88671875" style="266" customWidth="1"/>
    <col min="12031" max="12031" width="10.6640625" style="266" customWidth="1"/>
    <col min="12032" max="12032" width="10.44140625" style="266" customWidth="1"/>
    <col min="12033" max="12033" width="11.33203125" style="266" customWidth="1"/>
    <col min="12034" max="12034" width="11.88671875" style="266" customWidth="1"/>
    <col min="12035" max="12035" width="0.109375" style="266" customWidth="1"/>
    <col min="12036" max="12040" width="0" style="266" hidden="1" customWidth="1"/>
    <col min="12041" max="12279" width="8.88671875" style="266"/>
    <col min="12280" max="12280" width="46.33203125" style="266" customWidth="1"/>
    <col min="12281" max="12283" width="11.109375" style="266" bestFit="1" customWidth="1"/>
    <col min="12284" max="12284" width="12.88671875" style="266" customWidth="1"/>
    <col min="12285" max="12285" width="12.109375" style="266" customWidth="1"/>
    <col min="12286" max="12286" width="11.88671875" style="266" customWidth="1"/>
    <col min="12287" max="12287" width="10.6640625" style="266" customWidth="1"/>
    <col min="12288" max="12288" width="10.44140625" style="266" customWidth="1"/>
    <col min="12289" max="12289" width="11.33203125" style="266" customWidth="1"/>
    <col min="12290" max="12290" width="11.88671875" style="266" customWidth="1"/>
    <col min="12291" max="12291" width="0.109375" style="266" customWidth="1"/>
    <col min="12292" max="12296" width="0" style="266" hidden="1" customWidth="1"/>
    <col min="12297" max="12535" width="8.88671875" style="266"/>
    <col min="12536" max="12536" width="46.33203125" style="266" customWidth="1"/>
    <col min="12537" max="12539" width="11.109375" style="266" bestFit="1" customWidth="1"/>
    <col min="12540" max="12540" width="12.88671875" style="266" customWidth="1"/>
    <col min="12541" max="12541" width="12.109375" style="266" customWidth="1"/>
    <col min="12542" max="12542" width="11.88671875" style="266" customWidth="1"/>
    <col min="12543" max="12543" width="10.6640625" style="266" customWidth="1"/>
    <col min="12544" max="12544" width="10.44140625" style="266" customWidth="1"/>
    <col min="12545" max="12545" width="11.33203125" style="266" customWidth="1"/>
    <col min="12546" max="12546" width="11.88671875" style="266" customWidth="1"/>
    <col min="12547" max="12547" width="0.109375" style="266" customWidth="1"/>
    <col min="12548" max="12552" width="0" style="266" hidden="1" customWidth="1"/>
    <col min="12553" max="12791" width="8.88671875" style="266"/>
    <col min="12792" max="12792" width="46.33203125" style="266" customWidth="1"/>
    <col min="12793" max="12795" width="11.109375" style="266" bestFit="1" customWidth="1"/>
    <col min="12796" max="12796" width="12.88671875" style="266" customWidth="1"/>
    <col min="12797" max="12797" width="12.109375" style="266" customWidth="1"/>
    <col min="12798" max="12798" width="11.88671875" style="266" customWidth="1"/>
    <col min="12799" max="12799" width="10.6640625" style="266" customWidth="1"/>
    <col min="12800" max="12800" width="10.44140625" style="266" customWidth="1"/>
    <col min="12801" max="12801" width="11.33203125" style="266" customWidth="1"/>
    <col min="12802" max="12802" width="11.88671875" style="266" customWidth="1"/>
    <col min="12803" max="12803" width="0.109375" style="266" customWidth="1"/>
    <col min="12804" max="12808" width="0" style="266" hidden="1" customWidth="1"/>
    <col min="12809" max="13047" width="8.88671875" style="266"/>
    <col min="13048" max="13048" width="46.33203125" style="266" customWidth="1"/>
    <col min="13049" max="13051" width="11.109375" style="266" bestFit="1" customWidth="1"/>
    <col min="13052" max="13052" width="12.88671875" style="266" customWidth="1"/>
    <col min="13053" max="13053" width="12.109375" style="266" customWidth="1"/>
    <col min="13054" max="13054" width="11.88671875" style="266" customWidth="1"/>
    <col min="13055" max="13055" width="10.6640625" style="266" customWidth="1"/>
    <col min="13056" max="13056" width="10.44140625" style="266" customWidth="1"/>
    <col min="13057" max="13057" width="11.33203125" style="266" customWidth="1"/>
    <col min="13058" max="13058" width="11.88671875" style="266" customWidth="1"/>
    <col min="13059" max="13059" width="0.109375" style="266" customWidth="1"/>
    <col min="13060" max="13064" width="0" style="266" hidden="1" customWidth="1"/>
    <col min="13065" max="13303" width="8.88671875" style="266"/>
    <col min="13304" max="13304" width="46.33203125" style="266" customWidth="1"/>
    <col min="13305" max="13307" width="11.109375" style="266" bestFit="1" customWidth="1"/>
    <col min="13308" max="13308" width="12.88671875" style="266" customWidth="1"/>
    <col min="13309" max="13309" width="12.109375" style="266" customWidth="1"/>
    <col min="13310" max="13310" width="11.88671875" style="266" customWidth="1"/>
    <col min="13311" max="13311" width="10.6640625" style="266" customWidth="1"/>
    <col min="13312" max="13312" width="10.44140625" style="266" customWidth="1"/>
    <col min="13313" max="13313" width="11.33203125" style="266" customWidth="1"/>
    <col min="13314" max="13314" width="11.88671875" style="266" customWidth="1"/>
    <col min="13315" max="13315" width="0.109375" style="266" customWidth="1"/>
    <col min="13316" max="13320" width="0" style="266" hidden="1" customWidth="1"/>
    <col min="13321" max="13559" width="8.88671875" style="266"/>
    <col min="13560" max="13560" width="46.33203125" style="266" customWidth="1"/>
    <col min="13561" max="13563" width="11.109375" style="266" bestFit="1" customWidth="1"/>
    <col min="13564" max="13564" width="12.88671875" style="266" customWidth="1"/>
    <col min="13565" max="13565" width="12.109375" style="266" customWidth="1"/>
    <col min="13566" max="13566" width="11.88671875" style="266" customWidth="1"/>
    <col min="13567" max="13567" width="10.6640625" style="266" customWidth="1"/>
    <col min="13568" max="13568" width="10.44140625" style="266" customWidth="1"/>
    <col min="13569" max="13569" width="11.33203125" style="266" customWidth="1"/>
    <col min="13570" max="13570" width="11.88671875" style="266" customWidth="1"/>
    <col min="13571" max="13571" width="0.109375" style="266" customWidth="1"/>
    <col min="13572" max="13576" width="0" style="266" hidden="1" customWidth="1"/>
    <col min="13577" max="13815" width="8.88671875" style="266"/>
    <col min="13816" max="13816" width="46.33203125" style="266" customWidth="1"/>
    <col min="13817" max="13819" width="11.109375" style="266" bestFit="1" customWidth="1"/>
    <col min="13820" max="13820" width="12.88671875" style="266" customWidth="1"/>
    <col min="13821" max="13821" width="12.109375" style="266" customWidth="1"/>
    <col min="13822" max="13822" width="11.88671875" style="266" customWidth="1"/>
    <col min="13823" max="13823" width="10.6640625" style="266" customWidth="1"/>
    <col min="13824" max="13824" width="10.44140625" style="266" customWidth="1"/>
    <col min="13825" max="13825" width="11.33203125" style="266" customWidth="1"/>
    <col min="13826" max="13826" width="11.88671875" style="266" customWidth="1"/>
    <col min="13827" max="13827" width="0.109375" style="266" customWidth="1"/>
    <col min="13828" max="13832" width="0" style="266" hidden="1" customWidth="1"/>
    <col min="13833" max="14071" width="8.88671875" style="266"/>
    <col min="14072" max="14072" width="46.33203125" style="266" customWidth="1"/>
    <col min="14073" max="14075" width="11.109375" style="266" bestFit="1" customWidth="1"/>
    <col min="14076" max="14076" width="12.88671875" style="266" customWidth="1"/>
    <col min="14077" max="14077" width="12.109375" style="266" customWidth="1"/>
    <col min="14078" max="14078" width="11.88671875" style="266" customWidth="1"/>
    <col min="14079" max="14079" width="10.6640625" style="266" customWidth="1"/>
    <col min="14080" max="14080" width="10.44140625" style="266" customWidth="1"/>
    <col min="14081" max="14081" width="11.33203125" style="266" customWidth="1"/>
    <col min="14082" max="14082" width="11.88671875" style="266" customWidth="1"/>
    <col min="14083" max="14083" width="0.109375" style="266" customWidth="1"/>
    <col min="14084" max="14088" width="0" style="266" hidden="1" customWidth="1"/>
    <col min="14089" max="14327" width="8.88671875" style="266"/>
    <col min="14328" max="14328" width="46.33203125" style="266" customWidth="1"/>
    <col min="14329" max="14331" width="11.109375" style="266" bestFit="1" customWidth="1"/>
    <col min="14332" max="14332" width="12.88671875" style="266" customWidth="1"/>
    <col min="14333" max="14333" width="12.109375" style="266" customWidth="1"/>
    <col min="14334" max="14334" width="11.88671875" style="266" customWidth="1"/>
    <col min="14335" max="14335" width="10.6640625" style="266" customWidth="1"/>
    <col min="14336" max="14336" width="10.44140625" style="266" customWidth="1"/>
    <col min="14337" max="14337" width="11.33203125" style="266" customWidth="1"/>
    <col min="14338" max="14338" width="11.88671875" style="266" customWidth="1"/>
    <col min="14339" max="14339" width="0.109375" style="266" customWidth="1"/>
    <col min="14340" max="14344" width="0" style="266" hidden="1" customWidth="1"/>
    <col min="14345" max="14583" width="8.88671875" style="266"/>
    <col min="14584" max="14584" width="46.33203125" style="266" customWidth="1"/>
    <col min="14585" max="14587" width="11.109375" style="266" bestFit="1" customWidth="1"/>
    <col min="14588" max="14588" width="12.88671875" style="266" customWidth="1"/>
    <col min="14589" max="14589" width="12.109375" style="266" customWidth="1"/>
    <col min="14590" max="14590" width="11.88671875" style="266" customWidth="1"/>
    <col min="14591" max="14591" width="10.6640625" style="266" customWidth="1"/>
    <col min="14592" max="14592" width="10.44140625" style="266" customWidth="1"/>
    <col min="14593" max="14593" width="11.33203125" style="266" customWidth="1"/>
    <col min="14594" max="14594" width="11.88671875" style="266" customWidth="1"/>
    <col min="14595" max="14595" width="0.109375" style="266" customWidth="1"/>
    <col min="14596" max="14600" width="0" style="266" hidden="1" customWidth="1"/>
    <col min="14601" max="14839" width="8.88671875" style="266"/>
    <col min="14840" max="14840" width="46.33203125" style="266" customWidth="1"/>
    <col min="14841" max="14843" width="11.109375" style="266" bestFit="1" customWidth="1"/>
    <col min="14844" max="14844" width="12.88671875" style="266" customWidth="1"/>
    <col min="14845" max="14845" width="12.109375" style="266" customWidth="1"/>
    <col min="14846" max="14846" width="11.88671875" style="266" customWidth="1"/>
    <col min="14847" max="14847" width="10.6640625" style="266" customWidth="1"/>
    <col min="14848" max="14848" width="10.44140625" style="266" customWidth="1"/>
    <col min="14849" max="14849" width="11.33203125" style="266" customWidth="1"/>
    <col min="14850" max="14850" width="11.88671875" style="266" customWidth="1"/>
    <col min="14851" max="14851" width="0.109375" style="266" customWidth="1"/>
    <col min="14852" max="14856" width="0" style="266" hidden="1" customWidth="1"/>
    <col min="14857" max="15095" width="8.88671875" style="266"/>
    <col min="15096" max="15096" width="46.33203125" style="266" customWidth="1"/>
    <col min="15097" max="15099" width="11.109375" style="266" bestFit="1" customWidth="1"/>
    <col min="15100" max="15100" width="12.88671875" style="266" customWidth="1"/>
    <col min="15101" max="15101" width="12.109375" style="266" customWidth="1"/>
    <col min="15102" max="15102" width="11.88671875" style="266" customWidth="1"/>
    <col min="15103" max="15103" width="10.6640625" style="266" customWidth="1"/>
    <col min="15104" max="15104" width="10.44140625" style="266" customWidth="1"/>
    <col min="15105" max="15105" width="11.33203125" style="266" customWidth="1"/>
    <col min="15106" max="15106" width="11.88671875" style="266" customWidth="1"/>
    <col min="15107" max="15107" width="0.109375" style="266" customWidth="1"/>
    <col min="15108" max="15112" width="0" style="266" hidden="1" customWidth="1"/>
    <col min="15113" max="15351" width="8.88671875" style="266"/>
    <col min="15352" max="15352" width="46.33203125" style="266" customWidth="1"/>
    <col min="15353" max="15355" width="11.109375" style="266" bestFit="1" customWidth="1"/>
    <col min="15356" max="15356" width="12.88671875" style="266" customWidth="1"/>
    <col min="15357" max="15357" width="12.109375" style="266" customWidth="1"/>
    <col min="15358" max="15358" width="11.88671875" style="266" customWidth="1"/>
    <col min="15359" max="15359" width="10.6640625" style="266" customWidth="1"/>
    <col min="15360" max="15360" width="10.44140625" style="266" customWidth="1"/>
    <col min="15361" max="15361" width="11.33203125" style="266" customWidth="1"/>
    <col min="15362" max="15362" width="11.88671875" style="266" customWidth="1"/>
    <col min="15363" max="15363" width="0.109375" style="266" customWidth="1"/>
    <col min="15364" max="15368" width="0" style="266" hidden="1" customWidth="1"/>
    <col min="15369" max="15607" width="8.88671875" style="266"/>
    <col min="15608" max="15608" width="46.33203125" style="266" customWidth="1"/>
    <col min="15609" max="15611" width="11.109375" style="266" bestFit="1" customWidth="1"/>
    <col min="15612" max="15612" width="12.88671875" style="266" customWidth="1"/>
    <col min="15613" max="15613" width="12.109375" style="266" customWidth="1"/>
    <col min="15614" max="15614" width="11.88671875" style="266" customWidth="1"/>
    <col min="15615" max="15615" width="10.6640625" style="266" customWidth="1"/>
    <col min="15616" max="15616" width="10.44140625" style="266" customWidth="1"/>
    <col min="15617" max="15617" width="11.33203125" style="266" customWidth="1"/>
    <col min="15618" max="15618" width="11.88671875" style="266" customWidth="1"/>
    <col min="15619" max="15619" width="0.109375" style="266" customWidth="1"/>
    <col min="15620" max="15624" width="0" style="266" hidden="1" customWidth="1"/>
    <col min="15625" max="15863" width="8.88671875" style="266"/>
    <col min="15864" max="15864" width="46.33203125" style="266" customWidth="1"/>
    <col min="15865" max="15867" width="11.109375" style="266" bestFit="1" customWidth="1"/>
    <col min="15868" max="15868" width="12.88671875" style="266" customWidth="1"/>
    <col min="15869" max="15869" width="12.109375" style="266" customWidth="1"/>
    <col min="15870" max="15870" width="11.88671875" style="266" customWidth="1"/>
    <col min="15871" max="15871" width="10.6640625" style="266" customWidth="1"/>
    <col min="15872" max="15872" width="10.44140625" style="266" customWidth="1"/>
    <col min="15873" max="15873" width="11.33203125" style="266" customWidth="1"/>
    <col min="15874" max="15874" width="11.88671875" style="266" customWidth="1"/>
    <col min="15875" max="15875" width="0.109375" style="266" customWidth="1"/>
    <col min="15876" max="15880" width="0" style="266" hidden="1" customWidth="1"/>
    <col min="15881" max="16119" width="8.88671875" style="266"/>
    <col min="16120" max="16120" width="46.33203125" style="266" customWidth="1"/>
    <col min="16121" max="16123" width="11.109375" style="266" bestFit="1" customWidth="1"/>
    <col min="16124" max="16124" width="12.88671875" style="266" customWidth="1"/>
    <col min="16125" max="16125" width="12.109375" style="266" customWidth="1"/>
    <col min="16126" max="16126" width="11.88671875" style="266" customWidth="1"/>
    <col min="16127" max="16127" width="10.6640625" style="266" customWidth="1"/>
    <col min="16128" max="16128" width="10.44140625" style="266" customWidth="1"/>
    <col min="16129" max="16129" width="11.33203125" style="266" customWidth="1"/>
    <col min="16130" max="16130" width="11.88671875" style="266" customWidth="1"/>
    <col min="16131" max="16131" width="0.109375" style="266" customWidth="1"/>
    <col min="16132" max="16136" width="0" style="266" hidden="1" customWidth="1"/>
    <col min="16137" max="16384" width="8.88671875" style="266"/>
  </cols>
  <sheetData>
    <row r="1" spans="1:9" x14ac:dyDescent="0.25">
      <c r="I1" s="265" t="s">
        <v>567</v>
      </c>
    </row>
    <row r="3" spans="1:9" ht="13.8" x14ac:dyDescent="0.25">
      <c r="A3" s="298" t="s">
        <v>457</v>
      </c>
      <c r="B3" s="298"/>
      <c r="C3" s="298"/>
      <c r="D3" s="298"/>
      <c r="E3" s="298"/>
      <c r="F3" s="298"/>
      <c r="G3" s="298"/>
      <c r="H3" s="298"/>
      <c r="I3" s="298"/>
    </row>
    <row r="4" spans="1:9" x14ac:dyDescent="0.25">
      <c r="A4" s="96"/>
      <c r="B4" s="96"/>
      <c r="C4" s="96"/>
      <c r="D4" s="96"/>
      <c r="E4" s="96"/>
      <c r="F4" s="96"/>
      <c r="G4" s="96"/>
      <c r="H4" s="96"/>
    </row>
    <row r="5" spans="1:9" ht="13.8" thickBot="1" x14ac:dyDescent="0.3">
      <c r="A5" s="266"/>
      <c r="B5" s="266"/>
      <c r="C5" s="266"/>
      <c r="D5" s="266"/>
      <c r="E5" s="266"/>
      <c r="F5" s="266"/>
      <c r="G5" s="266"/>
      <c r="I5" s="267" t="s">
        <v>281</v>
      </c>
    </row>
    <row r="6" spans="1:9" ht="15" customHeight="1" thickTop="1" x14ac:dyDescent="0.25">
      <c r="A6" s="306" t="s">
        <v>0</v>
      </c>
      <c r="B6" s="299" t="s">
        <v>340</v>
      </c>
      <c r="C6" s="299" t="s">
        <v>341</v>
      </c>
      <c r="D6" s="304" t="s">
        <v>64</v>
      </c>
      <c r="E6" s="304"/>
      <c r="F6" s="304"/>
      <c r="G6" s="304"/>
      <c r="H6" s="304"/>
      <c r="I6" s="305"/>
    </row>
    <row r="7" spans="1:9" ht="54.6" customHeight="1" x14ac:dyDescent="0.25">
      <c r="A7" s="307"/>
      <c r="B7" s="300"/>
      <c r="C7" s="300"/>
      <c r="D7" s="268" t="s">
        <v>26</v>
      </c>
      <c r="E7" s="269" t="s">
        <v>342</v>
      </c>
      <c r="F7" s="270" t="s">
        <v>304</v>
      </c>
      <c r="G7" s="270" t="s">
        <v>305</v>
      </c>
      <c r="H7" s="270" t="s">
        <v>343</v>
      </c>
      <c r="I7" s="271" t="s">
        <v>344</v>
      </c>
    </row>
    <row r="8" spans="1:9" x14ac:dyDescent="0.25">
      <c r="A8" s="97" t="s">
        <v>19</v>
      </c>
      <c r="B8" s="98">
        <v>1</v>
      </c>
      <c r="C8" s="99">
        <v>2</v>
      </c>
      <c r="D8" s="99">
        <v>3</v>
      </c>
      <c r="E8" s="99" t="s">
        <v>306</v>
      </c>
      <c r="F8" s="99">
        <v>5</v>
      </c>
      <c r="G8" s="98" t="s">
        <v>307</v>
      </c>
      <c r="H8" s="98">
        <v>7</v>
      </c>
      <c r="I8" s="272" t="s">
        <v>308</v>
      </c>
    </row>
    <row r="9" spans="1:9" x14ac:dyDescent="0.25">
      <c r="A9" s="110" t="s">
        <v>345</v>
      </c>
      <c r="B9" s="111">
        <v>51747.537937610003</v>
      </c>
      <c r="C9" s="111">
        <f>+C11+C18+C20+C22+C26+C30+C34+C39+C43+C46+C47+C48</f>
        <v>57074.017500000009</v>
      </c>
      <c r="D9" s="111">
        <f>+D11+D18+D20+D22+D26+D30+D34+D39+D43+D46+D47+D48</f>
        <v>57061.21560000001</v>
      </c>
      <c r="E9" s="115">
        <f>+D9/C9*100</f>
        <v>99.977569653301529</v>
      </c>
      <c r="F9" s="111">
        <f>+F11+F18+F20+F22+F26+F30+F34+F39+F43+F46+F47+F48</f>
        <v>60994.287299999982</v>
      </c>
      <c r="G9" s="115">
        <f>+F9/D9*100</f>
        <v>106.89272329487487</v>
      </c>
      <c r="H9" s="111">
        <f>+H11+H18+H20+H22+H26+H30+H34+H39+H43+H46+H47+H48</f>
        <v>67115.99530000001</v>
      </c>
      <c r="I9" s="117">
        <f>+H9/F9*100</f>
        <v>110.03652681420877</v>
      </c>
    </row>
    <row r="10" spans="1:9" x14ac:dyDescent="0.25">
      <c r="A10" s="100" t="s">
        <v>471</v>
      </c>
      <c r="B10" s="101"/>
      <c r="C10" s="101"/>
      <c r="D10" s="101"/>
      <c r="E10" s="2"/>
      <c r="F10" s="101"/>
      <c r="G10" s="2"/>
      <c r="H10" s="101"/>
      <c r="I10" s="118"/>
    </row>
    <row r="11" spans="1:9" x14ac:dyDescent="0.25">
      <c r="A11" s="100" t="s">
        <v>346</v>
      </c>
      <c r="B11" s="101">
        <f>+B14+B17</f>
        <v>33159.781985330002</v>
      </c>
      <c r="C11" s="101">
        <f>+C14+C17</f>
        <v>36203.112000000001</v>
      </c>
      <c r="D11" s="101">
        <f t="shared" ref="D11" si="0">+D14+D17</f>
        <v>36503.577799999999</v>
      </c>
      <c r="E11" s="2">
        <f>+D11/C11*100</f>
        <v>100.82994467436943</v>
      </c>
      <c r="F11" s="101">
        <f t="shared" ref="F11" si="1">+F14+F17</f>
        <v>38615.997499999998</v>
      </c>
      <c r="G11" s="2">
        <f>+F11/D11*100</f>
        <v>105.78688399140974</v>
      </c>
      <c r="H11" s="101">
        <f t="shared" ref="H11" si="2">+H14+H17</f>
        <v>41526.622600000002</v>
      </c>
      <c r="I11" s="118">
        <f t="shared" ref="G11:I60" si="3">+H11/F11*100</f>
        <v>107.53735572931919</v>
      </c>
    </row>
    <row r="12" spans="1:9" ht="26.4" hidden="1" x14ac:dyDescent="0.25">
      <c r="A12" s="104" t="s">
        <v>347</v>
      </c>
      <c r="B12" s="273">
        <v>10401.799999999999</v>
      </c>
      <c r="C12" s="273"/>
      <c r="D12" s="103">
        <v>11273.796</v>
      </c>
      <c r="E12" s="2" t="e">
        <f t="shared" ref="E12:E59" si="4">+D12/C12*100</f>
        <v>#DIV/0!</v>
      </c>
      <c r="F12" s="101">
        <v>11711.558999999999</v>
      </c>
      <c r="G12" s="2">
        <f t="shared" si="3"/>
        <v>103.88301331689875</v>
      </c>
      <c r="H12" s="101">
        <v>11983.334000000001</v>
      </c>
      <c r="I12" s="118">
        <f t="shared" si="3"/>
        <v>102.32057064307152</v>
      </c>
    </row>
    <row r="13" spans="1:9" ht="26.4" hidden="1" x14ac:dyDescent="0.25">
      <c r="A13" s="104" t="s">
        <v>348</v>
      </c>
      <c r="B13" s="273">
        <v>5641.6</v>
      </c>
      <c r="C13" s="273"/>
      <c r="D13" s="103">
        <v>5929.9740000000002</v>
      </c>
      <c r="E13" s="2" t="e">
        <f t="shared" si="4"/>
        <v>#DIV/0!</v>
      </c>
      <c r="F13" s="101">
        <v>6640.0209999999997</v>
      </c>
      <c r="G13" s="2">
        <f t="shared" si="3"/>
        <v>111.97386362908168</v>
      </c>
      <c r="H13" s="101">
        <v>8075.9250000000002</v>
      </c>
      <c r="I13" s="118">
        <f t="shared" si="3"/>
        <v>121.62499184867038</v>
      </c>
    </row>
    <row r="14" spans="1:9" x14ac:dyDescent="0.25">
      <c r="A14" s="105" t="s">
        <v>349</v>
      </c>
      <c r="B14" s="101">
        <v>16043.44256607</v>
      </c>
      <c r="C14" s="101">
        <v>17784.112000000001</v>
      </c>
      <c r="D14" s="101">
        <v>17203.77</v>
      </c>
      <c r="E14" s="2">
        <f t="shared" si="4"/>
        <v>96.736738949912151</v>
      </c>
      <c r="F14" s="101">
        <v>18351.580000000002</v>
      </c>
      <c r="G14" s="2">
        <f t="shared" si="3"/>
        <v>106.67185157671837</v>
      </c>
      <c r="H14" s="101">
        <v>20059.258999999998</v>
      </c>
      <c r="I14" s="118">
        <f t="shared" si="3"/>
        <v>109.30535136484158</v>
      </c>
    </row>
    <row r="15" spans="1:9" ht="39.6" hidden="1" x14ac:dyDescent="0.25">
      <c r="A15" s="106" t="s">
        <v>350</v>
      </c>
      <c r="B15" s="273"/>
      <c r="C15" s="273"/>
      <c r="D15" s="103">
        <v>17760.8171</v>
      </c>
      <c r="E15" s="2" t="e">
        <f t="shared" si="4"/>
        <v>#DIV/0!</v>
      </c>
      <c r="F15" s="101">
        <v>18641.027999999998</v>
      </c>
      <c r="G15" s="2">
        <f t="shared" si="3"/>
        <v>104.95591444382364</v>
      </c>
      <c r="H15" s="101">
        <v>19735.4136</v>
      </c>
      <c r="I15" s="118">
        <f t="shared" si="3"/>
        <v>105.87084360368968</v>
      </c>
    </row>
    <row r="16" spans="1:9" ht="26.4" hidden="1" x14ac:dyDescent="0.25">
      <c r="A16" s="106" t="s">
        <v>351</v>
      </c>
      <c r="B16" s="273"/>
      <c r="C16" s="273"/>
      <c r="D16" s="103">
        <v>1538.9907000000001</v>
      </c>
      <c r="E16" s="2" t="e">
        <f t="shared" si="4"/>
        <v>#DIV/0!</v>
      </c>
      <c r="F16" s="101">
        <v>1623.3895</v>
      </c>
      <c r="G16" s="2">
        <f t="shared" si="3"/>
        <v>105.48403573848756</v>
      </c>
      <c r="H16" s="101">
        <v>1731.95</v>
      </c>
      <c r="I16" s="118">
        <f t="shared" si="3"/>
        <v>106.68727375654457</v>
      </c>
    </row>
    <row r="17" spans="1:9" x14ac:dyDescent="0.25">
      <c r="A17" s="105" t="s">
        <v>352</v>
      </c>
      <c r="B17" s="101">
        <v>17116.339419259999</v>
      </c>
      <c r="C17" s="101">
        <v>18419</v>
      </c>
      <c r="D17" s="101">
        <v>19299.807799999999</v>
      </c>
      <c r="E17" s="2">
        <f t="shared" si="4"/>
        <v>104.78206091535912</v>
      </c>
      <c r="F17" s="101">
        <v>20264.4175</v>
      </c>
      <c r="G17" s="2">
        <f t="shared" si="3"/>
        <v>104.99802749331006</v>
      </c>
      <c r="H17" s="101">
        <v>21467.363600000001</v>
      </c>
      <c r="I17" s="118">
        <f t="shared" si="3"/>
        <v>105.93624810582392</v>
      </c>
    </row>
    <row r="18" spans="1:9" ht="39.6" x14ac:dyDescent="0.25">
      <c r="A18" s="107" t="s">
        <v>353</v>
      </c>
      <c r="B18" s="101">
        <f>+B19</f>
        <v>4033.0548153200002</v>
      </c>
      <c r="C18" s="101">
        <f t="shared" ref="C18:H18" si="5">+C19</f>
        <v>4156.0839999999998</v>
      </c>
      <c r="D18" s="101">
        <f t="shared" si="5"/>
        <v>4814.4961000000003</v>
      </c>
      <c r="E18" s="2">
        <f t="shared" si="4"/>
        <v>115.84212686750317</v>
      </c>
      <c r="F18" s="101">
        <f t="shared" si="5"/>
        <v>6545.0123999999996</v>
      </c>
      <c r="G18" s="2">
        <f t="shared" si="3"/>
        <v>135.94387167537636</v>
      </c>
      <c r="H18" s="101">
        <f t="shared" si="5"/>
        <v>8220.8644999999997</v>
      </c>
      <c r="I18" s="118">
        <f t="shared" si="3"/>
        <v>125.60502559170095</v>
      </c>
    </row>
    <row r="19" spans="1:9" ht="39.6" x14ac:dyDescent="0.25">
      <c r="A19" s="105" t="s">
        <v>354</v>
      </c>
      <c r="B19" s="101">
        <v>4033.0548153200002</v>
      </c>
      <c r="C19" s="101">
        <v>4156.0839999999998</v>
      </c>
      <c r="D19" s="101">
        <v>4814.4961000000003</v>
      </c>
      <c r="E19" s="2">
        <f t="shared" si="4"/>
        <v>115.84212686750317</v>
      </c>
      <c r="F19" s="101">
        <v>6545.0123999999996</v>
      </c>
      <c r="G19" s="2">
        <f t="shared" si="3"/>
        <v>135.94387167537636</v>
      </c>
      <c r="H19" s="101">
        <v>8220.8644999999997</v>
      </c>
      <c r="I19" s="118">
        <f t="shared" si="3"/>
        <v>125.60502559170095</v>
      </c>
    </row>
    <row r="20" spans="1:9" x14ac:dyDescent="0.25">
      <c r="A20" s="107" t="s">
        <v>355</v>
      </c>
      <c r="B20" s="101">
        <f>+B21</f>
        <v>2863.1353783</v>
      </c>
      <c r="C20" s="101">
        <f t="shared" ref="C20:H20" si="6">+C21</f>
        <v>3259</v>
      </c>
      <c r="D20" s="101">
        <f t="shared" si="6"/>
        <v>3387.32</v>
      </c>
      <c r="E20" s="2">
        <f t="shared" si="4"/>
        <v>103.9374041116907</v>
      </c>
      <c r="F20" s="101">
        <f t="shared" si="6"/>
        <v>3523.72</v>
      </c>
      <c r="G20" s="2">
        <f t="shared" si="3"/>
        <v>104.02678223492316</v>
      </c>
      <c r="H20" s="101">
        <f t="shared" si="6"/>
        <v>4389.3500000000004</v>
      </c>
      <c r="I20" s="118">
        <f t="shared" si="3"/>
        <v>124.5657997797782</v>
      </c>
    </row>
    <row r="21" spans="1:9" ht="26.4" x14ac:dyDescent="0.25">
      <c r="A21" s="105" t="s">
        <v>356</v>
      </c>
      <c r="B21" s="101">
        <v>2863.1353783</v>
      </c>
      <c r="C21" s="101">
        <v>3259</v>
      </c>
      <c r="D21" s="101">
        <v>3387.32</v>
      </c>
      <c r="E21" s="2">
        <f t="shared" si="4"/>
        <v>103.9374041116907</v>
      </c>
      <c r="F21" s="101">
        <v>3523.72</v>
      </c>
      <c r="G21" s="2">
        <f t="shared" si="3"/>
        <v>104.02678223492316</v>
      </c>
      <c r="H21" s="101">
        <v>4389.3500000000004</v>
      </c>
      <c r="I21" s="118">
        <f t="shared" si="3"/>
        <v>124.5657997797782</v>
      </c>
    </row>
    <row r="22" spans="1:9" x14ac:dyDescent="0.25">
      <c r="A22" s="107" t="s">
        <v>357</v>
      </c>
      <c r="B22" s="101">
        <v>7823.2751852900001</v>
      </c>
      <c r="C22" s="101">
        <v>9025.6299999999992</v>
      </c>
      <c r="D22" s="101">
        <v>8166.0060000000003</v>
      </c>
      <c r="E22" s="2">
        <f t="shared" si="4"/>
        <v>90.475745183438733</v>
      </c>
      <c r="F22" s="101">
        <v>7940.7889999999998</v>
      </c>
      <c r="G22" s="2">
        <f t="shared" si="3"/>
        <v>97.242017701187095</v>
      </c>
      <c r="H22" s="101">
        <v>8280.6029999999992</v>
      </c>
      <c r="I22" s="118">
        <f t="shared" si="3"/>
        <v>104.2793480597457</v>
      </c>
    </row>
    <row r="23" spans="1:9" x14ac:dyDescent="0.25">
      <c r="A23" s="107" t="s">
        <v>471</v>
      </c>
      <c r="B23" s="101"/>
      <c r="C23" s="101"/>
      <c r="D23" s="101"/>
      <c r="E23" s="2"/>
      <c r="F23" s="101"/>
      <c r="G23" s="2"/>
      <c r="H23" s="101"/>
      <c r="I23" s="118"/>
    </row>
    <row r="24" spans="1:9" x14ac:dyDescent="0.25">
      <c r="A24" s="105" t="s">
        <v>358</v>
      </c>
      <c r="B24" s="101">
        <v>6676.8863522000001</v>
      </c>
      <c r="C24" s="101">
        <v>7854.95</v>
      </c>
      <c r="D24" s="101">
        <v>6991.4579999999996</v>
      </c>
      <c r="E24" s="2">
        <f t="shared" si="4"/>
        <v>89.007033781246207</v>
      </c>
      <c r="F24" s="101">
        <v>6764.7979999999998</v>
      </c>
      <c r="G24" s="2">
        <f t="shared" si="3"/>
        <v>96.758043887269295</v>
      </c>
      <c r="H24" s="101">
        <v>7101.9589999999998</v>
      </c>
      <c r="I24" s="118">
        <f t="shared" si="3"/>
        <v>104.98405126065849</v>
      </c>
    </row>
    <row r="25" spans="1:9" x14ac:dyDescent="0.25">
      <c r="A25" s="105" t="s">
        <v>359</v>
      </c>
      <c r="B25" s="101">
        <v>1144.8362887200001</v>
      </c>
      <c r="C25" s="101">
        <v>1168.18</v>
      </c>
      <c r="D25" s="101">
        <v>1171.02</v>
      </c>
      <c r="E25" s="2">
        <f t="shared" si="4"/>
        <v>100.24311321885324</v>
      </c>
      <c r="F25" s="101">
        <v>1172.463</v>
      </c>
      <c r="G25" s="2">
        <f t="shared" si="3"/>
        <v>100.12322590562076</v>
      </c>
      <c r="H25" s="101">
        <v>1175.116</v>
      </c>
      <c r="I25" s="118">
        <f t="shared" si="3"/>
        <v>100.22627579718934</v>
      </c>
    </row>
    <row r="26" spans="1:9" ht="26.4" x14ac:dyDescent="0.25">
      <c r="A26" s="107" t="s">
        <v>360</v>
      </c>
      <c r="B26" s="101">
        <f>SUM(B27:B29)</f>
        <v>2503.1165521999997</v>
      </c>
      <c r="C26" s="101">
        <f t="shared" ref="C26:H26" si="7">SUM(C27:C29)</f>
        <v>2869.2139999999999</v>
      </c>
      <c r="D26" s="101">
        <f t="shared" si="7"/>
        <v>2710.6299999999997</v>
      </c>
      <c r="E26" s="2">
        <f t="shared" si="4"/>
        <v>94.472911396640328</v>
      </c>
      <c r="F26" s="101">
        <f t="shared" si="7"/>
        <v>2834.2550000000001</v>
      </c>
      <c r="G26" s="2">
        <f t="shared" si="3"/>
        <v>104.5607478704213</v>
      </c>
      <c r="H26" s="101">
        <f t="shared" si="7"/>
        <v>3169.7220000000002</v>
      </c>
      <c r="I26" s="118">
        <f t="shared" si="3"/>
        <v>111.83616153098434</v>
      </c>
    </row>
    <row r="27" spans="1:9" x14ac:dyDescent="0.25">
      <c r="A27" s="105" t="s">
        <v>361</v>
      </c>
      <c r="B27" s="101">
        <v>2392.5048776399999</v>
      </c>
      <c r="C27" s="101">
        <v>2733.25</v>
      </c>
      <c r="D27" s="101">
        <v>2562.5129999999999</v>
      </c>
      <c r="E27" s="2">
        <f t="shared" si="4"/>
        <v>93.753333943108018</v>
      </c>
      <c r="F27" s="101">
        <v>2694.1570000000002</v>
      </c>
      <c r="G27" s="2">
        <f t="shared" si="3"/>
        <v>105.1373007668644</v>
      </c>
      <c r="H27" s="101">
        <v>3039.6260000000002</v>
      </c>
      <c r="I27" s="118">
        <f t="shared" si="3"/>
        <v>112.82289784893753</v>
      </c>
    </row>
    <row r="28" spans="1:9" ht="39.6" x14ac:dyDescent="0.25">
      <c r="A28" s="105" t="s">
        <v>362</v>
      </c>
      <c r="B28" s="101">
        <v>49.158519750000004</v>
      </c>
      <c r="C28" s="101">
        <v>78.513000000000005</v>
      </c>
      <c r="D28" s="101">
        <v>86.265000000000001</v>
      </c>
      <c r="E28" s="2">
        <f t="shared" si="4"/>
        <v>109.87352412976195</v>
      </c>
      <c r="F28" s="101">
        <v>75.763000000000005</v>
      </c>
      <c r="G28" s="2">
        <f t="shared" si="3"/>
        <v>87.8258853532719</v>
      </c>
      <c r="H28" s="101">
        <v>62.4</v>
      </c>
      <c r="I28" s="118">
        <f t="shared" si="3"/>
        <v>82.362102873434253</v>
      </c>
    </row>
    <row r="29" spans="1:9" ht="39.6" x14ac:dyDescent="0.25">
      <c r="A29" s="105" t="s">
        <v>363</v>
      </c>
      <c r="B29" s="101">
        <v>61.453154810000001</v>
      </c>
      <c r="C29" s="101">
        <v>57.451000000000001</v>
      </c>
      <c r="D29" s="101">
        <v>61.851999999999997</v>
      </c>
      <c r="E29" s="2">
        <f t="shared" si="4"/>
        <v>107.66044107152182</v>
      </c>
      <c r="F29" s="101">
        <v>64.334999999999994</v>
      </c>
      <c r="G29" s="2">
        <f t="shared" si="3"/>
        <v>104.01442152234365</v>
      </c>
      <c r="H29" s="101">
        <v>67.695999999999998</v>
      </c>
      <c r="I29" s="118">
        <f t="shared" si="3"/>
        <v>105.22421698919717</v>
      </c>
    </row>
    <row r="30" spans="1:9" x14ac:dyDescent="0.25">
      <c r="A30" s="107" t="s">
        <v>364</v>
      </c>
      <c r="B30" s="101">
        <v>158.37724223999999</v>
      </c>
      <c r="C30" s="101">
        <v>150.22</v>
      </c>
      <c r="D30" s="101">
        <v>141.31309999999999</v>
      </c>
      <c r="E30" s="2">
        <f t="shared" si="4"/>
        <v>94.070762881107711</v>
      </c>
      <c r="F30" s="101">
        <v>128.34460000000001</v>
      </c>
      <c r="G30" s="2">
        <f t="shared" si="3"/>
        <v>90.822860725580298</v>
      </c>
      <c r="H30" s="101">
        <v>125.7936</v>
      </c>
      <c r="I30" s="118">
        <f t="shared" si="3"/>
        <v>98.012382289554822</v>
      </c>
    </row>
    <row r="31" spans="1:9" x14ac:dyDescent="0.25">
      <c r="A31" s="107" t="s">
        <v>470</v>
      </c>
      <c r="B31" s="101"/>
      <c r="C31" s="101"/>
      <c r="D31" s="101"/>
      <c r="E31" s="2"/>
      <c r="F31" s="101"/>
      <c r="G31" s="2"/>
      <c r="H31" s="101"/>
      <c r="I31" s="118"/>
    </row>
    <row r="32" spans="1:9" ht="92.4" customHeight="1" x14ac:dyDescent="0.25">
      <c r="A32" s="105" t="s">
        <v>365</v>
      </c>
      <c r="B32" s="101">
        <v>5.3858249999999996</v>
      </c>
      <c r="C32" s="101">
        <v>5.44</v>
      </c>
      <c r="D32" s="101">
        <v>4.3254999999999999</v>
      </c>
      <c r="E32" s="2">
        <f t="shared" si="4"/>
        <v>79.512867647058812</v>
      </c>
      <c r="F32" s="101">
        <v>4.3254999999999999</v>
      </c>
      <c r="G32" s="2">
        <f t="shared" si="3"/>
        <v>100</v>
      </c>
      <c r="H32" s="101">
        <v>4.3254999999999999</v>
      </c>
      <c r="I32" s="118">
        <f t="shared" si="3"/>
        <v>100</v>
      </c>
    </row>
    <row r="33" spans="1:9" ht="39.6" x14ac:dyDescent="0.25">
      <c r="A33" s="105" t="s">
        <v>366</v>
      </c>
      <c r="B33" s="101">
        <v>152.99081724000001</v>
      </c>
      <c r="C33" s="101">
        <v>144.78</v>
      </c>
      <c r="D33" s="101">
        <v>136.98759999999999</v>
      </c>
      <c r="E33" s="2">
        <f t="shared" si="4"/>
        <v>94.617764884652573</v>
      </c>
      <c r="F33" s="101">
        <v>124.01909999999999</v>
      </c>
      <c r="G33" s="2">
        <f t="shared" si="3"/>
        <v>90.533084746356607</v>
      </c>
      <c r="H33" s="101">
        <v>121.46810000000001</v>
      </c>
      <c r="I33" s="118">
        <f t="shared" si="3"/>
        <v>97.943058770786124</v>
      </c>
    </row>
    <row r="34" spans="1:9" ht="39.6" x14ac:dyDescent="0.25">
      <c r="A34" s="100" t="s">
        <v>367</v>
      </c>
      <c r="B34" s="101">
        <v>79.534746900000002</v>
      </c>
      <c r="C34" s="101">
        <v>47.400500000000001</v>
      </c>
      <c r="D34" s="101">
        <v>28.435400000000001</v>
      </c>
      <c r="E34" s="2">
        <f t="shared" si="4"/>
        <v>59.98966255630215</v>
      </c>
      <c r="F34" s="101">
        <v>33.018000000000001</v>
      </c>
      <c r="G34" s="2">
        <f t="shared" si="3"/>
        <v>116.11582745451092</v>
      </c>
      <c r="H34" s="101">
        <v>36.670099999999998</v>
      </c>
      <c r="I34" s="118">
        <f t="shared" si="3"/>
        <v>111.06093645890121</v>
      </c>
    </row>
    <row r="35" spans="1:9" x14ac:dyDescent="0.25">
      <c r="A35" s="100" t="s">
        <v>471</v>
      </c>
      <c r="B35" s="101"/>
      <c r="C35" s="101"/>
      <c r="D35" s="101"/>
      <c r="E35" s="2"/>
      <c r="F35" s="101"/>
      <c r="G35" s="2"/>
      <c r="H35" s="101"/>
      <c r="I35" s="118"/>
    </row>
    <row r="36" spans="1:9" ht="79.2" x14ac:dyDescent="0.25">
      <c r="A36" s="105" t="s">
        <v>368</v>
      </c>
      <c r="B36" s="101">
        <v>61.083114379999998</v>
      </c>
      <c r="C36" s="101">
        <v>27.0365</v>
      </c>
      <c r="D36" s="101">
        <v>11.675000000000001</v>
      </c>
      <c r="E36" s="2">
        <f t="shared" si="4"/>
        <v>43.182364581214287</v>
      </c>
      <c r="F36" s="101">
        <v>15.377000000000001</v>
      </c>
      <c r="G36" s="2">
        <f t="shared" si="3"/>
        <v>131.7087794432548</v>
      </c>
      <c r="H36" s="101">
        <v>18.846</v>
      </c>
      <c r="I36" s="118">
        <f t="shared" si="3"/>
        <v>122.55966703518241</v>
      </c>
    </row>
    <row r="37" spans="1:9" ht="91.95" customHeight="1" x14ac:dyDescent="0.25">
      <c r="A37" s="105" t="s">
        <v>369</v>
      </c>
      <c r="B37" s="101">
        <v>9.7194245899999991</v>
      </c>
      <c r="C37" s="101">
        <v>12.124499999999999</v>
      </c>
      <c r="D37" s="101">
        <v>12.366899999999999</v>
      </c>
      <c r="E37" s="2">
        <f t="shared" si="4"/>
        <v>101.9992577013485</v>
      </c>
      <c r="F37" s="101">
        <v>12.669499999999999</v>
      </c>
      <c r="G37" s="2">
        <f t="shared" si="3"/>
        <v>102.44685410248324</v>
      </c>
      <c r="H37" s="101">
        <v>12.585599999999999</v>
      </c>
      <c r="I37" s="118">
        <f t="shared" si="3"/>
        <v>99.337779707170768</v>
      </c>
    </row>
    <row r="38" spans="1:9" ht="26.4" x14ac:dyDescent="0.25">
      <c r="A38" s="105" t="s">
        <v>370</v>
      </c>
      <c r="B38" s="101">
        <v>7.0207412600000003</v>
      </c>
      <c r="C38" s="101">
        <v>6.5279999999999996</v>
      </c>
      <c r="D38" s="101">
        <v>2.6819999999999999</v>
      </c>
      <c r="E38" s="2">
        <f t="shared" si="4"/>
        <v>41.084558823529413</v>
      </c>
      <c r="F38" s="101">
        <v>3.26</v>
      </c>
      <c r="G38" s="2">
        <f t="shared" si="3"/>
        <v>121.55108128262491</v>
      </c>
      <c r="H38" s="101">
        <v>3.5270000000000001</v>
      </c>
      <c r="I38" s="118">
        <f t="shared" si="3"/>
        <v>108.19018404907976</v>
      </c>
    </row>
    <row r="39" spans="1:9" ht="26.4" x14ac:dyDescent="0.25">
      <c r="A39" s="107" t="s">
        <v>371</v>
      </c>
      <c r="B39" s="101">
        <f>SUM(B40:B42)</f>
        <v>540.42722599000001</v>
      </c>
      <c r="C39" s="101">
        <f t="shared" ref="C39:H39" si="8">SUM(C40:C42)</f>
        <v>835.74199999999996</v>
      </c>
      <c r="D39" s="101">
        <f t="shared" si="8"/>
        <v>867.9221</v>
      </c>
      <c r="E39" s="2">
        <f t="shared" si="4"/>
        <v>103.85048256519357</v>
      </c>
      <c r="F39" s="101">
        <f t="shared" si="8"/>
        <v>950.34760000000006</v>
      </c>
      <c r="G39" s="2">
        <f t="shared" si="3"/>
        <v>109.49687765756859</v>
      </c>
      <c r="H39" s="101">
        <f t="shared" si="8"/>
        <v>950.38380000000006</v>
      </c>
      <c r="I39" s="118">
        <f t="shared" si="3"/>
        <v>100.00380913257423</v>
      </c>
    </row>
    <row r="40" spans="1:9" ht="26.4" x14ac:dyDescent="0.25">
      <c r="A40" s="105" t="s">
        <v>372</v>
      </c>
      <c r="B40" s="101">
        <v>51.323257310000002</v>
      </c>
      <c r="C40" s="101">
        <v>43.247999999999998</v>
      </c>
      <c r="D40" s="101">
        <v>40.342300000000002</v>
      </c>
      <c r="E40" s="2">
        <f t="shared" si="4"/>
        <v>93.281307806141328</v>
      </c>
      <c r="F40" s="101">
        <v>40.342100000000002</v>
      </c>
      <c r="G40" s="2">
        <f t="shared" si="3"/>
        <v>99.999504242445283</v>
      </c>
      <c r="H40" s="101">
        <v>40.342300000000002</v>
      </c>
      <c r="I40" s="118">
        <f t="shared" si="3"/>
        <v>100.00049576001248</v>
      </c>
    </row>
    <row r="41" spans="1:9" x14ac:dyDescent="0.25">
      <c r="A41" s="105" t="s">
        <v>373</v>
      </c>
      <c r="B41" s="101">
        <v>18.298401680000001</v>
      </c>
      <c r="C41" s="101">
        <v>57.713999999999999</v>
      </c>
      <c r="D41" s="101">
        <v>11.348000000000001</v>
      </c>
      <c r="E41" s="2">
        <f t="shared" si="4"/>
        <v>19.662473576601865</v>
      </c>
      <c r="F41" s="101">
        <v>11.04</v>
      </c>
      <c r="G41" s="2">
        <f t="shared" si="3"/>
        <v>97.285865350722574</v>
      </c>
      <c r="H41" s="101">
        <v>11.076000000000001</v>
      </c>
      <c r="I41" s="118">
        <f t="shared" si="3"/>
        <v>100.32608695652175</v>
      </c>
    </row>
    <row r="42" spans="1:9" x14ac:dyDescent="0.25">
      <c r="A42" s="105" t="s">
        <v>374</v>
      </c>
      <c r="B42" s="101">
        <v>470.805567</v>
      </c>
      <c r="C42" s="101">
        <v>734.78</v>
      </c>
      <c r="D42" s="101">
        <v>816.23180000000002</v>
      </c>
      <c r="E42" s="2">
        <f t="shared" si="4"/>
        <v>111.08519556874168</v>
      </c>
      <c r="F42" s="101">
        <v>898.96550000000002</v>
      </c>
      <c r="G42" s="2">
        <f t="shared" si="3"/>
        <v>110.13605448844311</v>
      </c>
      <c r="H42" s="101">
        <v>898.96550000000002</v>
      </c>
      <c r="I42" s="118">
        <f t="shared" si="3"/>
        <v>100</v>
      </c>
    </row>
    <row r="43" spans="1:9" ht="39.6" x14ac:dyDescent="0.25">
      <c r="A43" s="107" t="s">
        <v>375</v>
      </c>
      <c r="B43" s="101">
        <f>SUM(B44:B45)</f>
        <v>195.46322061000001</v>
      </c>
      <c r="C43" s="101">
        <f t="shared" ref="C43:H43" si="9">SUM(C44:C45)</f>
        <v>121.946</v>
      </c>
      <c r="D43" s="101">
        <f t="shared" si="9"/>
        <v>65.658900000000003</v>
      </c>
      <c r="E43" s="2">
        <f t="shared" si="4"/>
        <v>53.842602463385433</v>
      </c>
      <c r="F43" s="101">
        <f t="shared" si="9"/>
        <v>61.432100000000005</v>
      </c>
      <c r="G43" s="2">
        <f t="shared" si="3"/>
        <v>93.562487339873201</v>
      </c>
      <c r="H43" s="101">
        <f t="shared" si="9"/>
        <v>61.523099999999999</v>
      </c>
      <c r="I43" s="118">
        <f t="shared" si="3"/>
        <v>100.14813102596199</v>
      </c>
    </row>
    <row r="44" spans="1:9" x14ac:dyDescent="0.25">
      <c r="A44" s="105" t="s">
        <v>376</v>
      </c>
      <c r="B44" s="101">
        <v>4.2363887099999999</v>
      </c>
      <c r="C44" s="101">
        <v>10.858000000000001</v>
      </c>
      <c r="D44" s="101">
        <v>2.1596000000000002</v>
      </c>
      <c r="E44" s="2">
        <f t="shared" si="4"/>
        <v>19.889482409283481</v>
      </c>
      <c r="F44" s="101">
        <v>2.1941999999999999</v>
      </c>
      <c r="G44" s="2">
        <f t="shared" si="3"/>
        <v>101.60214854602702</v>
      </c>
      <c r="H44" s="101">
        <v>2.2294999999999998</v>
      </c>
      <c r="I44" s="118">
        <f t="shared" si="3"/>
        <v>101.60878680156777</v>
      </c>
    </row>
    <row r="45" spans="1:9" x14ac:dyDescent="0.25">
      <c r="A45" s="105" t="s">
        <v>377</v>
      </c>
      <c r="B45" s="101">
        <v>191.22683190000001</v>
      </c>
      <c r="C45" s="101">
        <v>111.08799999999999</v>
      </c>
      <c r="D45" s="101">
        <v>63.499299999999998</v>
      </c>
      <c r="E45" s="2">
        <f t="shared" si="4"/>
        <v>57.161259541984734</v>
      </c>
      <c r="F45" s="101">
        <v>59.237900000000003</v>
      </c>
      <c r="G45" s="2">
        <f t="shared" si="3"/>
        <v>93.289059879400256</v>
      </c>
      <c r="H45" s="101">
        <v>59.293599999999998</v>
      </c>
      <c r="I45" s="118">
        <f t="shared" si="3"/>
        <v>100.09402764108788</v>
      </c>
    </row>
    <row r="46" spans="1:9" ht="26.4" x14ac:dyDescent="0.25">
      <c r="A46" s="107" t="s">
        <v>378</v>
      </c>
      <c r="B46" s="101">
        <v>9.0549851799999992</v>
      </c>
      <c r="C46" s="101">
        <v>12.96</v>
      </c>
      <c r="D46" s="101">
        <v>14.257999999999999</v>
      </c>
      <c r="E46" s="2">
        <f t="shared" si="4"/>
        <v>110.01543209876542</v>
      </c>
      <c r="F46" s="101">
        <v>0.1</v>
      </c>
      <c r="G46" s="2">
        <f t="shared" si="3"/>
        <v>0.70136063964090345</v>
      </c>
      <c r="H46" s="101">
        <v>0.1</v>
      </c>
      <c r="I46" s="118">
        <f t="shared" si="3"/>
        <v>100</v>
      </c>
    </row>
    <row r="47" spans="1:9" x14ac:dyDescent="0.25">
      <c r="A47" s="107" t="s">
        <v>379</v>
      </c>
      <c r="B47" s="101">
        <v>1.4207665</v>
      </c>
      <c r="C47" s="101">
        <v>0.91300000000000003</v>
      </c>
      <c r="D47" s="101">
        <v>0.49819999999999998</v>
      </c>
      <c r="E47" s="2">
        <f t="shared" si="4"/>
        <v>54.567360350492876</v>
      </c>
      <c r="F47" s="101">
        <v>0.498</v>
      </c>
      <c r="G47" s="2">
        <f t="shared" si="3"/>
        <v>99.959855479727025</v>
      </c>
      <c r="H47" s="101">
        <v>0.498</v>
      </c>
      <c r="I47" s="118">
        <f t="shared" si="3"/>
        <v>100</v>
      </c>
    </row>
    <row r="48" spans="1:9" x14ac:dyDescent="0.25">
      <c r="A48" s="107" t="s">
        <v>380</v>
      </c>
      <c r="B48" s="101">
        <v>380.24461631999998</v>
      </c>
      <c r="C48" s="101">
        <v>391.79599999999999</v>
      </c>
      <c r="D48" s="101">
        <v>361.1</v>
      </c>
      <c r="E48" s="2">
        <f t="shared" si="4"/>
        <v>92.165310518739346</v>
      </c>
      <c r="F48" s="101">
        <v>360.7731</v>
      </c>
      <c r="G48" s="2">
        <f t="shared" si="3"/>
        <v>99.909471060648016</v>
      </c>
      <c r="H48" s="101">
        <v>353.8646</v>
      </c>
      <c r="I48" s="118">
        <f t="shared" si="3"/>
        <v>98.08508450325148</v>
      </c>
    </row>
    <row r="49" spans="1:9" x14ac:dyDescent="0.25">
      <c r="A49" s="110" t="s">
        <v>458</v>
      </c>
      <c r="B49" s="111">
        <f>+B50+B55+B56+B58+B59+B57</f>
        <v>18128.015292280004</v>
      </c>
      <c r="C49" s="111">
        <f>+C50+C55+C56+C58+C59+C57</f>
        <v>18235.626299999996</v>
      </c>
      <c r="D49" s="111">
        <f t="shared" ref="D49:H49" si="10">+D50+D55+D56+D58+D59</f>
        <v>20102.710599999999</v>
      </c>
      <c r="E49" s="115">
        <f>+D49/C49*100</f>
        <v>110.23866287498996</v>
      </c>
      <c r="F49" s="111">
        <f t="shared" si="10"/>
        <v>19142.942399999996</v>
      </c>
      <c r="G49" s="115">
        <f t="shared" si="3"/>
        <v>95.225677675526981</v>
      </c>
      <c r="H49" s="111">
        <f t="shared" si="10"/>
        <v>17556.519799999998</v>
      </c>
      <c r="I49" s="117">
        <f t="shared" si="3"/>
        <v>91.712754670358308</v>
      </c>
    </row>
    <row r="50" spans="1:9" ht="39.6" x14ac:dyDescent="0.25">
      <c r="A50" s="105" t="s">
        <v>459</v>
      </c>
      <c r="B50" s="101">
        <f>SUM(B51:B54)</f>
        <v>17291.321825660001</v>
      </c>
      <c r="C50" s="101">
        <f t="shared" ref="C50:H50" si="11">SUM(C51:C54)</f>
        <v>18142.006599999997</v>
      </c>
      <c r="D50" s="101">
        <f t="shared" si="11"/>
        <v>20102.710599999999</v>
      </c>
      <c r="E50" s="2">
        <f t="shared" si="4"/>
        <v>110.80753658197877</v>
      </c>
      <c r="F50" s="101">
        <f t="shared" si="11"/>
        <v>19142.942399999996</v>
      </c>
      <c r="G50" s="2">
        <f t="shared" si="3"/>
        <v>95.225677675526981</v>
      </c>
      <c r="H50" s="101">
        <f t="shared" si="11"/>
        <v>17556.519799999998</v>
      </c>
      <c r="I50" s="118">
        <f t="shared" si="3"/>
        <v>91.712754670358308</v>
      </c>
    </row>
    <row r="51" spans="1:9" x14ac:dyDescent="0.25">
      <c r="A51" s="102" t="s">
        <v>460</v>
      </c>
      <c r="B51" s="101">
        <v>10298.739600000001</v>
      </c>
      <c r="C51" s="101">
        <v>11216.854799999999</v>
      </c>
      <c r="D51" s="101">
        <v>10946.9028</v>
      </c>
      <c r="E51" s="2">
        <f t="shared" si="4"/>
        <v>97.59333605709152</v>
      </c>
      <c r="F51" s="101">
        <v>11119.7858</v>
      </c>
      <c r="G51" s="2">
        <f t="shared" si="3"/>
        <v>101.57928688286151</v>
      </c>
      <c r="H51" s="101">
        <v>11021.9478</v>
      </c>
      <c r="I51" s="118">
        <f t="shared" si="3"/>
        <v>99.120144922216042</v>
      </c>
    </row>
    <row r="52" spans="1:9" x14ac:dyDescent="0.25">
      <c r="A52" s="102" t="s">
        <v>461</v>
      </c>
      <c r="B52" s="101">
        <v>2408.0850739100001</v>
      </c>
      <c r="C52" s="101">
        <v>2779.0417000000002</v>
      </c>
      <c r="D52" s="101">
        <v>4295.1072000000004</v>
      </c>
      <c r="E52" s="2">
        <f t="shared" si="4"/>
        <v>154.55353548671113</v>
      </c>
      <c r="F52" s="101">
        <v>3870.8705</v>
      </c>
      <c r="G52" s="2">
        <f t="shared" si="3"/>
        <v>90.12279134732654</v>
      </c>
      <c r="H52" s="101">
        <v>2363.6111999999998</v>
      </c>
      <c r="I52" s="118">
        <f t="shared" si="3"/>
        <v>61.061489915511245</v>
      </c>
    </row>
    <row r="53" spans="1:9" x14ac:dyDescent="0.25">
      <c r="A53" s="102" t="s">
        <v>462</v>
      </c>
      <c r="B53" s="101">
        <v>3092.4857787699998</v>
      </c>
      <c r="C53" s="101">
        <v>2638.5630000000001</v>
      </c>
      <c r="D53" s="101">
        <v>3367.3382000000001</v>
      </c>
      <c r="E53" s="2">
        <f t="shared" si="4"/>
        <v>127.62015536487095</v>
      </c>
      <c r="F53" s="101">
        <v>3438.5205000000001</v>
      </c>
      <c r="G53" s="2">
        <f t="shared" si="3"/>
        <v>102.11390409196201</v>
      </c>
      <c r="H53" s="101">
        <v>3457.1952000000001</v>
      </c>
      <c r="I53" s="118">
        <f t="shared" si="3"/>
        <v>100.54310276760019</v>
      </c>
    </row>
    <row r="54" spans="1:9" x14ac:dyDescent="0.25">
      <c r="A54" s="102" t="s">
        <v>463</v>
      </c>
      <c r="B54" s="101">
        <v>1492.01137298</v>
      </c>
      <c r="C54" s="101">
        <v>1507.5471</v>
      </c>
      <c r="D54" s="101">
        <v>1493.3624</v>
      </c>
      <c r="E54" s="2">
        <f t="shared" si="4"/>
        <v>99.05908744078377</v>
      </c>
      <c r="F54" s="101">
        <v>713.76559999999995</v>
      </c>
      <c r="G54" s="2">
        <f t="shared" si="3"/>
        <v>47.795873258895497</v>
      </c>
      <c r="H54" s="101">
        <v>713.76559999999995</v>
      </c>
      <c r="I54" s="118">
        <f t="shared" si="3"/>
        <v>100</v>
      </c>
    </row>
    <row r="55" spans="1:9" ht="39.6" x14ac:dyDescent="0.25">
      <c r="A55" s="105" t="s">
        <v>464</v>
      </c>
      <c r="B55" s="101">
        <v>693.33591292000006</v>
      </c>
      <c r="C55" s="101">
        <v>63.836599999999997</v>
      </c>
      <c r="D55" s="101"/>
      <c r="E55" s="2">
        <f t="shared" si="4"/>
        <v>0</v>
      </c>
      <c r="F55" s="101"/>
      <c r="G55" s="2" t="s">
        <v>530</v>
      </c>
      <c r="H55" s="101"/>
      <c r="I55" s="118" t="s">
        <v>530</v>
      </c>
    </row>
    <row r="56" spans="1:9" ht="26.4" x14ac:dyDescent="0.25">
      <c r="A56" s="105" t="s">
        <v>465</v>
      </c>
      <c r="B56" s="101">
        <v>0.96499999999999997</v>
      </c>
      <c r="C56" s="101"/>
      <c r="D56" s="101"/>
      <c r="E56" s="2" t="s">
        <v>530</v>
      </c>
      <c r="F56" s="101"/>
      <c r="G56" s="2" t="s">
        <v>530</v>
      </c>
      <c r="H56" s="101"/>
      <c r="I56" s="118" t="s">
        <v>530</v>
      </c>
    </row>
    <row r="57" spans="1:9" x14ac:dyDescent="0.25">
      <c r="A57" s="105" t="s">
        <v>472</v>
      </c>
      <c r="B57" s="101">
        <v>54.5381</v>
      </c>
      <c r="C57" s="101">
        <v>30</v>
      </c>
      <c r="D57" s="101"/>
      <c r="E57" s="2">
        <f t="shared" si="4"/>
        <v>0</v>
      </c>
      <c r="F57" s="101"/>
      <c r="G57" s="2" t="s">
        <v>530</v>
      </c>
      <c r="H57" s="101"/>
      <c r="I57" s="118" t="s">
        <v>530</v>
      </c>
    </row>
    <row r="58" spans="1:9" ht="52.8" x14ac:dyDescent="0.25">
      <c r="A58" s="105" t="s">
        <v>466</v>
      </c>
      <c r="B58" s="101">
        <v>159.82008175999999</v>
      </c>
      <c r="C58" s="101"/>
      <c r="D58" s="101"/>
      <c r="E58" s="2" t="s">
        <v>530</v>
      </c>
      <c r="F58" s="101"/>
      <c r="G58" s="2" t="s">
        <v>530</v>
      </c>
      <c r="H58" s="101"/>
      <c r="I58" s="118" t="s">
        <v>530</v>
      </c>
    </row>
    <row r="59" spans="1:9" ht="52.8" x14ac:dyDescent="0.25">
      <c r="A59" s="105" t="s">
        <v>467</v>
      </c>
      <c r="B59" s="101">
        <v>-71.96562806</v>
      </c>
      <c r="C59" s="101">
        <v>-0.21690000000000001</v>
      </c>
      <c r="D59" s="101"/>
      <c r="E59" s="2">
        <f t="shared" si="4"/>
        <v>0</v>
      </c>
      <c r="F59" s="101"/>
      <c r="G59" s="2" t="s">
        <v>530</v>
      </c>
      <c r="H59" s="101"/>
      <c r="I59" s="118" t="s">
        <v>530</v>
      </c>
    </row>
    <row r="60" spans="1:9" x14ac:dyDescent="0.25">
      <c r="A60" s="112" t="s">
        <v>468</v>
      </c>
      <c r="B60" s="111">
        <f>+B9+B49</f>
        <v>69875.553229890007</v>
      </c>
      <c r="C60" s="111">
        <f>+C9+C49</f>
        <v>75309.643800000005</v>
      </c>
      <c r="D60" s="111">
        <f>+D9+D49</f>
        <v>77163.926200000016</v>
      </c>
      <c r="E60" s="115">
        <f>+D60/C60*100</f>
        <v>102.46221108803068</v>
      </c>
      <c r="F60" s="111">
        <f>+F9+F49</f>
        <v>80137.229699999982</v>
      </c>
      <c r="G60" s="115">
        <f t="shared" si="3"/>
        <v>103.85322993064597</v>
      </c>
      <c r="H60" s="111">
        <f>+H9+H49</f>
        <v>84672.515100000004</v>
      </c>
      <c r="I60" s="117">
        <f t="shared" si="3"/>
        <v>105.65939878004048</v>
      </c>
    </row>
    <row r="61" spans="1:9" x14ac:dyDescent="0.25">
      <c r="A61" s="301"/>
      <c r="B61" s="302"/>
      <c r="C61" s="302"/>
      <c r="D61" s="302"/>
      <c r="E61" s="302"/>
      <c r="F61" s="302"/>
      <c r="G61" s="302"/>
      <c r="H61" s="302"/>
      <c r="I61" s="303"/>
    </row>
    <row r="62" spans="1:9" x14ac:dyDescent="0.25">
      <c r="A62" s="108" t="s">
        <v>455</v>
      </c>
      <c r="B62" s="109">
        <f>+B11+B18+B20+B22+B26+B30</f>
        <v>50540.741158680001</v>
      </c>
      <c r="C62" s="109">
        <f>+C11+C18+C20+C22+C26+C30</f>
        <v>55663.26</v>
      </c>
      <c r="D62" s="109">
        <f>+D11+D18+D20+D22+D26+D30</f>
        <v>55723.343000000001</v>
      </c>
      <c r="E62" s="2">
        <f t="shared" ref="E62:E64" si="12">+D62/C62</f>
        <v>1.0010794013861208</v>
      </c>
      <c r="F62" s="109">
        <f>+F11+F18+F20+F22+F26+F30</f>
        <v>59588.11849999999</v>
      </c>
      <c r="G62" s="2">
        <f t="shared" ref="G62" si="13">+F62/D62*100</f>
        <v>106.93564903311703</v>
      </c>
      <c r="H62" s="109">
        <f>+H11+H18+H20+H22+H26+H30</f>
        <v>65712.955699999991</v>
      </c>
      <c r="I62" s="118">
        <f>+H62/F62*100</f>
        <v>110.27862156782145</v>
      </c>
    </row>
    <row r="63" spans="1:9" x14ac:dyDescent="0.25">
      <c r="A63" s="113" t="s">
        <v>469</v>
      </c>
      <c r="B63" s="116">
        <f>+B62/B60*100</f>
        <v>72.329647240718614</v>
      </c>
      <c r="C63" s="116">
        <f t="shared" ref="C63" si="14">+C62/C60*100</f>
        <v>73.912525928053853</v>
      </c>
      <c r="D63" s="116">
        <f>+D62/D60*100</f>
        <v>72.2142401820917</v>
      </c>
      <c r="E63" s="116"/>
      <c r="F63" s="116">
        <f>+F62/F60*100</f>
        <v>74.357597240474618</v>
      </c>
      <c r="G63" s="116"/>
      <c r="H63" s="116">
        <f>+H62/H60*100</f>
        <v>77.608366330433938</v>
      </c>
      <c r="I63" s="274"/>
    </row>
    <row r="64" spans="1:9" x14ac:dyDescent="0.25">
      <c r="A64" s="108" t="s">
        <v>456</v>
      </c>
      <c r="B64" s="109">
        <f>+B34+B39+B43+B46+B47+B48</f>
        <v>1206.1455615</v>
      </c>
      <c r="C64" s="109">
        <f>+C34+C39+C43+C46+C47+C48</f>
        <v>1410.7574999999999</v>
      </c>
      <c r="D64" s="109">
        <f>+D34+D39+D43+D46+D47+D48</f>
        <v>1337.8726000000001</v>
      </c>
      <c r="E64" s="2">
        <f t="shared" si="12"/>
        <v>0.94833633703878961</v>
      </c>
      <c r="F64" s="109">
        <f>+F34+F39+F43+F46+F47+F48</f>
        <v>1406.1687999999999</v>
      </c>
      <c r="G64" s="2">
        <f t="shared" ref="G64" si="15">+F64/D64*100</f>
        <v>105.10483584161898</v>
      </c>
      <c r="H64" s="109">
        <f>+H34+H39+H43+H46+H47+H48</f>
        <v>1403.0396000000001</v>
      </c>
      <c r="I64" s="118">
        <f>+H64/F64*100</f>
        <v>99.777466261518541</v>
      </c>
    </row>
    <row r="65" spans="1:9" ht="13.8" thickBot="1" x14ac:dyDescent="0.3">
      <c r="A65" s="114" t="s">
        <v>469</v>
      </c>
      <c r="B65" s="119">
        <f>+B64/B60*100</f>
        <v>1.7261338275659739</v>
      </c>
      <c r="C65" s="119">
        <f t="shared" ref="C65:H65" si="16">+C64/C60*100</f>
        <v>1.8732760225855694</v>
      </c>
      <c r="D65" s="119">
        <f t="shared" si="16"/>
        <v>1.7338057637611495</v>
      </c>
      <c r="E65" s="119"/>
      <c r="F65" s="119">
        <f t="shared" si="16"/>
        <v>1.7547010362900031</v>
      </c>
      <c r="G65" s="119"/>
      <c r="H65" s="119">
        <f t="shared" si="16"/>
        <v>1.6570189256135608</v>
      </c>
      <c r="I65" s="275"/>
    </row>
    <row r="66" spans="1:9" ht="13.8" thickTop="1" x14ac:dyDescent="0.25"/>
  </sheetData>
  <mergeCells count="6">
    <mergeCell ref="A3:I3"/>
    <mergeCell ref="B6:B7"/>
    <mergeCell ref="C6:C7"/>
    <mergeCell ref="A61:I61"/>
    <mergeCell ref="D6:I6"/>
    <mergeCell ref="A6:A7"/>
  </mergeCells>
  <pageMargins left="0.39370078740157483" right="0.39370078740157483" top="0.78740157480314965" bottom="0.59055118110236227" header="0.31496062992125984" footer="0.31496062992125984"/>
  <pageSetup paperSize="9" scale="96" fitToHeight="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zoomScaleNormal="100" workbookViewId="0">
      <selection activeCell="J1" sqref="J1"/>
    </sheetView>
  </sheetViews>
  <sheetFormatPr defaultColWidth="8.88671875" defaultRowHeight="13.2" x14ac:dyDescent="0.25"/>
  <cols>
    <col min="1" max="1" width="51.33203125" style="73" customWidth="1"/>
    <col min="2" max="2" width="7.5546875" style="73" customWidth="1"/>
    <col min="3" max="4" width="12.33203125" style="73" customWidth="1"/>
    <col min="5" max="5" width="9.109375" style="73" bestFit="1" customWidth="1"/>
    <col min="6" max="6" width="13.5546875" style="73" customWidth="1"/>
    <col min="7" max="7" width="9.109375" style="73" bestFit="1" customWidth="1"/>
    <col min="8" max="8" width="10.109375" style="73" customWidth="1"/>
    <col min="9" max="9" width="9.109375" style="73" bestFit="1" customWidth="1"/>
    <col min="10" max="10" width="11.33203125" style="73" customWidth="1"/>
    <col min="11" max="13" width="0" style="73" hidden="1" customWidth="1"/>
    <col min="14" max="16384" width="8.88671875" style="73"/>
  </cols>
  <sheetData>
    <row r="1" spans="1:14" x14ac:dyDescent="0.25">
      <c r="J1" s="276" t="s">
        <v>568</v>
      </c>
    </row>
    <row r="2" spans="1:14" x14ac:dyDescent="0.25">
      <c r="J2" s="74"/>
    </row>
    <row r="3" spans="1:14" x14ac:dyDescent="0.25">
      <c r="A3" s="370" t="s">
        <v>474</v>
      </c>
      <c r="B3" s="308"/>
      <c r="C3" s="309"/>
      <c r="D3" s="309"/>
      <c r="E3" s="309"/>
      <c r="F3" s="309"/>
      <c r="G3" s="309"/>
      <c r="H3" s="309"/>
      <c r="I3" s="309"/>
      <c r="J3" s="309"/>
    </row>
    <row r="5" spans="1:14" ht="13.8" thickBot="1" x14ac:dyDescent="0.3">
      <c r="J5" s="74" t="s">
        <v>281</v>
      </c>
    </row>
    <row r="6" spans="1:14" ht="14.4" customHeight="1" thickTop="1" x14ac:dyDescent="0.25">
      <c r="A6" s="310" t="s">
        <v>506</v>
      </c>
      <c r="B6" s="317" t="s">
        <v>507</v>
      </c>
      <c r="C6" s="312" t="s">
        <v>340</v>
      </c>
      <c r="D6" s="312" t="s">
        <v>341</v>
      </c>
      <c r="E6" s="314" t="s">
        <v>64</v>
      </c>
      <c r="F6" s="315"/>
      <c r="G6" s="315"/>
      <c r="H6" s="315"/>
      <c r="I6" s="315"/>
      <c r="J6" s="316"/>
    </row>
    <row r="7" spans="1:14" ht="52.8" x14ac:dyDescent="0.25">
      <c r="A7" s="311"/>
      <c r="B7" s="318"/>
      <c r="C7" s="313"/>
      <c r="D7" s="313"/>
      <c r="E7" s="94" t="s">
        <v>26</v>
      </c>
      <c r="F7" s="94" t="s">
        <v>342</v>
      </c>
      <c r="G7" s="94" t="s">
        <v>304</v>
      </c>
      <c r="H7" s="94" t="s">
        <v>305</v>
      </c>
      <c r="I7" s="94" t="s">
        <v>343</v>
      </c>
      <c r="J7" s="95" t="s">
        <v>344</v>
      </c>
    </row>
    <row r="8" spans="1:14" x14ac:dyDescent="0.25">
      <c r="A8" s="92" t="s">
        <v>19</v>
      </c>
      <c r="B8" s="124" t="s">
        <v>314</v>
      </c>
      <c r="C8" s="91">
        <v>1</v>
      </c>
      <c r="D8" s="91">
        <v>2</v>
      </c>
      <c r="E8" s="91">
        <v>3</v>
      </c>
      <c r="F8" s="91" t="s">
        <v>306</v>
      </c>
      <c r="G8" s="91">
        <v>5</v>
      </c>
      <c r="H8" s="91" t="s">
        <v>307</v>
      </c>
      <c r="I8" s="91">
        <v>7</v>
      </c>
      <c r="J8" s="75" t="s">
        <v>308</v>
      </c>
      <c r="K8" s="76"/>
    </row>
    <row r="9" spans="1:14" ht="26.4" x14ac:dyDescent="0.25">
      <c r="A9" s="16" t="s">
        <v>475</v>
      </c>
      <c r="B9" s="125">
        <v>19</v>
      </c>
      <c r="C9" s="77">
        <v>4038.9628649199999</v>
      </c>
      <c r="D9" s="77">
        <v>3663.17119005</v>
      </c>
      <c r="E9" s="77">
        <v>3937.6080999999999</v>
      </c>
      <c r="F9" s="77">
        <f>E9/D9*100</f>
        <v>107.49178500571944</v>
      </c>
      <c r="G9" s="77">
        <v>2677.3604</v>
      </c>
      <c r="H9" s="78">
        <f>G9/E9*100</f>
        <v>67.994587881917454</v>
      </c>
      <c r="I9" s="77">
        <v>699.226</v>
      </c>
      <c r="J9" s="79">
        <f>I9/G9*100</f>
        <v>26.116244940352445</v>
      </c>
      <c r="K9" s="76">
        <f t="shared" ref="K9:K39" si="0">D9-E9</f>
        <v>-274.43690994999997</v>
      </c>
      <c r="L9" s="73">
        <f t="shared" ref="L9:L39" si="1">K9/D9*100</f>
        <v>-7.4917850057194313</v>
      </c>
      <c r="N9" s="87"/>
    </row>
    <row r="10" spans="1:14" ht="39.6" x14ac:dyDescent="0.25">
      <c r="A10" s="16" t="s">
        <v>476</v>
      </c>
      <c r="B10" s="125">
        <v>23</v>
      </c>
      <c r="C10" s="77">
        <v>5178.0496487499995</v>
      </c>
      <c r="D10" s="77">
        <v>4003.3644616199999</v>
      </c>
      <c r="E10" s="77">
        <v>3755.7166000000002</v>
      </c>
      <c r="F10" s="77">
        <f t="shared" ref="F10:F39" si="2">E10/D10*100</f>
        <v>93.814006593849157</v>
      </c>
      <c r="G10" s="78">
        <v>4082.0844999999999</v>
      </c>
      <c r="H10" s="78">
        <f t="shared" ref="H10:H39" si="3">G10/E10*100</f>
        <v>108.68989688945112</v>
      </c>
      <c r="I10" s="78">
        <v>4178.9085999999998</v>
      </c>
      <c r="J10" s="79">
        <f t="shared" ref="J10:J39" si="4">I10/G10*100</f>
        <v>102.37192787165479</v>
      </c>
      <c r="K10" s="76"/>
      <c r="N10" s="87"/>
    </row>
    <row r="11" spans="1:14" ht="26.4" x14ac:dyDescent="0.25">
      <c r="A11" s="16" t="s">
        <v>477</v>
      </c>
      <c r="B11" s="125">
        <v>45</v>
      </c>
      <c r="C11" s="77">
        <v>976.89741290999996</v>
      </c>
      <c r="D11" s="77">
        <v>1166.4955301499999</v>
      </c>
      <c r="E11" s="77">
        <v>1300.7245</v>
      </c>
      <c r="F11" s="77">
        <f t="shared" si="2"/>
        <v>111.50702822090879</v>
      </c>
      <c r="G11" s="78">
        <v>1217.8485000000001</v>
      </c>
      <c r="H11" s="78">
        <f t="shared" si="3"/>
        <v>93.628473977387216</v>
      </c>
      <c r="I11" s="78">
        <v>1256.8276000000001</v>
      </c>
      <c r="J11" s="79">
        <f t="shared" si="4"/>
        <v>103.20065262633243</v>
      </c>
      <c r="K11" s="76"/>
      <c r="N11" s="87"/>
    </row>
    <row r="12" spans="1:14" x14ac:dyDescent="0.25">
      <c r="A12" s="16" t="s">
        <v>478</v>
      </c>
      <c r="B12" s="125">
        <v>62</v>
      </c>
      <c r="C12" s="77">
        <v>13238.387699160001</v>
      </c>
      <c r="D12" s="77">
        <v>14950.06227095</v>
      </c>
      <c r="E12" s="77">
        <v>15086.375899999999</v>
      </c>
      <c r="F12" s="77">
        <f t="shared" si="2"/>
        <v>100.91179305195854</v>
      </c>
      <c r="G12" s="78">
        <v>14628.2593</v>
      </c>
      <c r="H12" s="78">
        <f t="shared" si="3"/>
        <v>96.963375412116051</v>
      </c>
      <c r="I12" s="78">
        <v>14963.5612</v>
      </c>
      <c r="J12" s="79">
        <f t="shared" si="4"/>
        <v>102.29215173947594</v>
      </c>
      <c r="K12" s="76"/>
      <c r="N12" s="87"/>
    </row>
    <row r="13" spans="1:14" ht="26.4" x14ac:dyDescent="0.25">
      <c r="A13" s="16" t="s">
        <v>479</v>
      </c>
      <c r="B13" s="125">
        <v>68</v>
      </c>
      <c r="C13" s="77">
        <v>23.682523620000001</v>
      </c>
      <c r="D13" s="77">
        <v>74.1661</v>
      </c>
      <c r="E13" s="77">
        <v>53.043799999999997</v>
      </c>
      <c r="F13" s="77">
        <f t="shared" si="2"/>
        <v>71.520276784137224</v>
      </c>
      <c r="G13" s="78">
        <v>24.436199999999999</v>
      </c>
      <c r="H13" s="78">
        <f t="shared" si="3"/>
        <v>46.067966472990243</v>
      </c>
      <c r="I13" s="78">
        <v>25.0182</v>
      </c>
      <c r="J13" s="79">
        <f t="shared" si="4"/>
        <v>102.38171237753824</v>
      </c>
      <c r="K13" s="76"/>
      <c r="N13" s="87"/>
    </row>
    <row r="14" spans="1:14" x14ac:dyDescent="0.25">
      <c r="A14" s="16" t="s">
        <v>480</v>
      </c>
      <c r="B14" s="125">
        <v>69</v>
      </c>
      <c r="C14" s="77">
        <v>1325.3507213300002</v>
      </c>
      <c r="D14" s="77">
        <v>1513.7489668000001</v>
      </c>
      <c r="E14" s="77">
        <v>1260.7303999999999</v>
      </c>
      <c r="F14" s="77">
        <f t="shared" si="2"/>
        <v>83.285302097687278</v>
      </c>
      <c r="G14" s="78">
        <v>1213.0574999999999</v>
      </c>
      <c r="H14" s="78">
        <f t="shared" si="3"/>
        <v>96.218628502969381</v>
      </c>
      <c r="I14" s="78">
        <v>1283.3010999999999</v>
      </c>
      <c r="J14" s="79">
        <f t="shared" si="4"/>
        <v>105.79062410479305</v>
      </c>
      <c r="K14" s="76"/>
      <c r="N14" s="87"/>
    </row>
    <row r="15" spans="1:14" ht="26.4" x14ac:dyDescent="0.25">
      <c r="A15" s="16" t="s">
        <v>481</v>
      </c>
      <c r="B15" s="125">
        <v>72</v>
      </c>
      <c r="C15" s="77">
        <v>424.24985126999997</v>
      </c>
      <c r="D15" s="77">
        <v>529.849287</v>
      </c>
      <c r="E15" s="77">
        <v>702.73990000000003</v>
      </c>
      <c r="F15" s="77">
        <f t="shared" si="2"/>
        <v>132.63014922203718</v>
      </c>
      <c r="G15" s="78">
        <v>483.27800000000002</v>
      </c>
      <c r="H15" s="78">
        <f t="shared" si="3"/>
        <v>68.770536581173204</v>
      </c>
      <c r="I15" s="78">
        <v>486.39609999999999</v>
      </c>
      <c r="J15" s="79">
        <f t="shared" si="4"/>
        <v>100.64519800197816</v>
      </c>
      <c r="K15" s="76"/>
      <c r="N15" s="87"/>
    </row>
    <row r="16" spans="1:14" ht="26.4" x14ac:dyDescent="0.25">
      <c r="A16" s="16" t="s">
        <v>482</v>
      </c>
      <c r="B16" s="125">
        <v>75</v>
      </c>
      <c r="C16" s="77">
        <v>17858.678331760002</v>
      </c>
      <c r="D16" s="77">
        <v>19587.361069210001</v>
      </c>
      <c r="E16" s="77">
        <v>20619.3753</v>
      </c>
      <c r="F16" s="77">
        <f t="shared" si="2"/>
        <v>105.26877626416073</v>
      </c>
      <c r="G16" s="78">
        <v>21138.2932</v>
      </c>
      <c r="H16" s="78">
        <f t="shared" si="3"/>
        <v>102.51665189876049</v>
      </c>
      <c r="I16" s="78">
        <v>22272.5586</v>
      </c>
      <c r="J16" s="79">
        <f t="shared" si="4"/>
        <v>105.36592708440622</v>
      </c>
      <c r="K16" s="76"/>
      <c r="N16" s="87"/>
    </row>
    <row r="17" spans="1:14" ht="26.4" x14ac:dyDescent="0.25">
      <c r="A17" s="16" t="s">
        <v>483</v>
      </c>
      <c r="B17" s="125">
        <v>83</v>
      </c>
      <c r="C17" s="77">
        <v>1035.79757172</v>
      </c>
      <c r="D17" s="77">
        <v>810.07150000000001</v>
      </c>
      <c r="E17" s="77">
        <v>864.50760000000002</v>
      </c>
      <c r="F17" s="77">
        <f t="shared" si="2"/>
        <v>106.71991299533437</v>
      </c>
      <c r="G17" s="78">
        <v>936.32230000000004</v>
      </c>
      <c r="H17" s="78">
        <f t="shared" si="3"/>
        <v>108.30700620792693</v>
      </c>
      <c r="I17" s="78">
        <v>911.76959999999997</v>
      </c>
      <c r="J17" s="79">
        <f t="shared" si="4"/>
        <v>97.377751229464465</v>
      </c>
      <c r="K17" s="76"/>
      <c r="N17" s="87"/>
    </row>
    <row r="18" spans="1:14" x14ac:dyDescent="0.25">
      <c r="A18" s="16" t="s">
        <v>484</v>
      </c>
      <c r="B18" s="125">
        <v>90</v>
      </c>
      <c r="C18" s="77">
        <v>5095.1565761900001</v>
      </c>
      <c r="D18" s="77">
        <v>6441.9799338000003</v>
      </c>
      <c r="E18" s="77">
        <v>8935.2340000000004</v>
      </c>
      <c r="F18" s="77">
        <f t="shared" si="2"/>
        <v>138.70322621028839</v>
      </c>
      <c r="G18" s="78">
        <v>6926.9516000000003</v>
      </c>
      <c r="H18" s="78">
        <f t="shared" si="3"/>
        <v>77.524008884378404</v>
      </c>
      <c r="I18" s="78">
        <v>7720.5712999999996</v>
      </c>
      <c r="J18" s="79">
        <f t="shared" si="4"/>
        <v>111.45698347307638</v>
      </c>
      <c r="K18" s="76"/>
      <c r="N18" s="87"/>
    </row>
    <row r="19" spans="1:14" x14ac:dyDescent="0.25">
      <c r="A19" s="16" t="s">
        <v>485</v>
      </c>
      <c r="B19" s="125">
        <v>104</v>
      </c>
      <c r="C19" s="78">
        <v>5637.3207344899993</v>
      </c>
      <c r="D19" s="78">
        <v>5491.9005810199997</v>
      </c>
      <c r="E19" s="78">
        <v>6095.7275</v>
      </c>
      <c r="F19" s="77">
        <f t="shared" si="2"/>
        <v>110.99486252658734</v>
      </c>
      <c r="G19" s="78">
        <v>7748.5146000000004</v>
      </c>
      <c r="H19" s="78">
        <f t="shared" si="3"/>
        <v>127.11386130695639</v>
      </c>
      <c r="I19" s="78">
        <v>9651.4909000000007</v>
      </c>
      <c r="J19" s="79">
        <f t="shared" si="4"/>
        <v>124.55924003808421</v>
      </c>
      <c r="K19" s="76">
        <f t="shared" si="0"/>
        <v>-603.8269189800003</v>
      </c>
      <c r="L19" s="73">
        <f t="shared" si="1"/>
        <v>-10.994862526587339</v>
      </c>
      <c r="N19" s="87"/>
    </row>
    <row r="20" spans="1:14" ht="26.4" x14ac:dyDescent="0.25">
      <c r="A20" s="16" t="s">
        <v>486</v>
      </c>
      <c r="B20" s="125">
        <v>138</v>
      </c>
      <c r="C20" s="78">
        <v>143.43392811999999</v>
      </c>
      <c r="D20" s="78">
        <v>202.5437</v>
      </c>
      <c r="E20" s="78">
        <v>212.1858</v>
      </c>
      <c r="F20" s="77">
        <f t="shared" si="2"/>
        <v>104.76050353578017</v>
      </c>
      <c r="G20" s="78">
        <v>191.29830000000001</v>
      </c>
      <c r="H20" s="78">
        <f t="shared" si="3"/>
        <v>90.156033061590364</v>
      </c>
      <c r="I20" s="80">
        <v>193.71530000000001</v>
      </c>
      <c r="J20" s="79">
        <f t="shared" si="4"/>
        <v>101.26347176111862</v>
      </c>
      <c r="K20" s="76"/>
      <c r="N20" s="87"/>
    </row>
    <row r="21" spans="1:14" ht="26.4" x14ac:dyDescent="0.25">
      <c r="A21" s="16" t="s">
        <v>487</v>
      </c>
      <c r="B21" s="125">
        <v>156</v>
      </c>
      <c r="C21" s="78">
        <v>11796.26925123</v>
      </c>
      <c r="D21" s="78">
        <v>12298.33210319</v>
      </c>
      <c r="E21" s="78">
        <v>12642.033600000001</v>
      </c>
      <c r="F21" s="77">
        <f t="shared" si="2"/>
        <v>102.79470007742634</v>
      </c>
      <c r="G21" s="78">
        <v>12698.3382</v>
      </c>
      <c r="H21" s="78">
        <f t="shared" si="3"/>
        <v>100.44537612999224</v>
      </c>
      <c r="I21" s="78">
        <v>12972.3578</v>
      </c>
      <c r="J21" s="79">
        <f t="shared" si="4"/>
        <v>102.15791700995962</v>
      </c>
      <c r="K21" s="76">
        <f t="shared" si="0"/>
        <v>-343.70149681000112</v>
      </c>
      <c r="L21" s="73">
        <f t="shared" si="1"/>
        <v>-2.7947000774263544</v>
      </c>
      <c r="N21" s="87"/>
    </row>
    <row r="22" spans="1:14" ht="26.4" x14ac:dyDescent="0.25">
      <c r="A22" s="16" t="s">
        <v>488</v>
      </c>
      <c r="B22" s="125">
        <v>163</v>
      </c>
      <c r="C22" s="78">
        <v>311.55123639999999</v>
      </c>
      <c r="D22" s="78">
        <v>85.902065260000001</v>
      </c>
      <c r="E22" s="78">
        <v>157.803</v>
      </c>
      <c r="F22" s="77">
        <f t="shared" si="2"/>
        <v>183.70105482607113</v>
      </c>
      <c r="G22" s="78">
        <v>83.749700000000004</v>
      </c>
      <c r="H22" s="78">
        <f t="shared" si="3"/>
        <v>53.072311679752602</v>
      </c>
      <c r="I22" s="80">
        <v>85.986500000000007</v>
      </c>
      <c r="J22" s="79">
        <f t="shared" si="4"/>
        <v>102.67081553724968</v>
      </c>
      <c r="K22" s="76"/>
      <c r="N22" s="87"/>
    </row>
    <row r="23" spans="1:14" ht="26.4" x14ac:dyDescent="0.25">
      <c r="A23" s="16" t="s">
        <v>489</v>
      </c>
      <c r="B23" s="125">
        <v>176</v>
      </c>
      <c r="C23" s="78">
        <v>1117.2975133899999</v>
      </c>
      <c r="D23" s="78">
        <v>1327.49310287</v>
      </c>
      <c r="E23" s="78">
        <v>1552.4301</v>
      </c>
      <c r="F23" s="77">
        <f t="shared" si="2"/>
        <v>116.94449459991114</v>
      </c>
      <c r="G23" s="78">
        <v>1192.0731000000001</v>
      </c>
      <c r="H23" s="78">
        <f t="shared" si="3"/>
        <v>76.787553913055405</v>
      </c>
      <c r="I23" s="80">
        <v>1221.8321000000001</v>
      </c>
      <c r="J23" s="79">
        <f t="shared" si="4"/>
        <v>102.49640730924973</v>
      </c>
      <c r="K23" s="76"/>
      <c r="N23" s="87"/>
    </row>
    <row r="24" spans="1:14" x14ac:dyDescent="0.25">
      <c r="A24" s="16" t="s">
        <v>490</v>
      </c>
      <c r="B24" s="125">
        <v>263</v>
      </c>
      <c r="C24" s="78">
        <v>404.08587281999996</v>
      </c>
      <c r="D24" s="78">
        <v>489.88340110000001</v>
      </c>
      <c r="E24" s="78">
        <v>515.4511</v>
      </c>
      <c r="F24" s="77">
        <f t="shared" si="2"/>
        <v>105.21913966519165</v>
      </c>
      <c r="G24" s="78">
        <v>444.52350000000001</v>
      </c>
      <c r="H24" s="78">
        <f t="shared" si="3"/>
        <v>86.239703436465646</v>
      </c>
      <c r="I24" s="78">
        <v>466.71600000000001</v>
      </c>
      <c r="J24" s="79">
        <f t="shared" si="4"/>
        <v>104.99242447249695</v>
      </c>
      <c r="K24" s="76">
        <f t="shared" si="0"/>
        <v>-25.567698899999982</v>
      </c>
      <c r="L24" s="73">
        <f t="shared" si="1"/>
        <v>-5.2191396651916442</v>
      </c>
      <c r="N24" s="87"/>
    </row>
    <row r="25" spans="1:14" ht="26.4" x14ac:dyDescent="0.25">
      <c r="A25" s="16" t="s">
        <v>491</v>
      </c>
      <c r="B25" s="125">
        <v>300</v>
      </c>
      <c r="C25" s="78">
        <v>13.60287873</v>
      </c>
      <c r="D25" s="78">
        <v>17.942499999999999</v>
      </c>
      <c r="E25" s="78">
        <v>18.716999999999999</v>
      </c>
      <c r="F25" s="77">
        <f t="shared" si="2"/>
        <v>104.31656681064511</v>
      </c>
      <c r="G25" s="78">
        <v>18.013200000000001</v>
      </c>
      <c r="H25" s="78">
        <f t="shared" si="3"/>
        <v>96.239782016348784</v>
      </c>
      <c r="I25" s="78">
        <v>18.678100000000001</v>
      </c>
      <c r="J25" s="79">
        <f t="shared" si="4"/>
        <v>103.69118202207271</v>
      </c>
      <c r="K25" s="76"/>
      <c r="N25" s="87"/>
    </row>
    <row r="26" spans="1:14" ht="26.4" x14ac:dyDescent="0.25">
      <c r="A26" s="16" t="s">
        <v>492</v>
      </c>
      <c r="B26" s="125">
        <v>301</v>
      </c>
      <c r="C26" s="78">
        <v>1011.66264097</v>
      </c>
      <c r="D26" s="78">
        <v>1172.7296346000001</v>
      </c>
      <c r="E26" s="78">
        <v>1415.5893000000001</v>
      </c>
      <c r="F26" s="77">
        <f t="shared" si="2"/>
        <v>120.70892200851016</v>
      </c>
      <c r="G26" s="78">
        <v>878.73979999999995</v>
      </c>
      <c r="H26" s="78">
        <f t="shared" si="3"/>
        <v>62.075900121595993</v>
      </c>
      <c r="I26" s="78">
        <v>898.67729999999995</v>
      </c>
      <c r="J26" s="79">
        <f t="shared" si="4"/>
        <v>102.26887413088608</v>
      </c>
      <c r="K26" s="76"/>
      <c r="N26" s="87"/>
    </row>
    <row r="27" spans="1:14" x14ac:dyDescent="0.25">
      <c r="A27" s="16" t="s">
        <v>493</v>
      </c>
      <c r="B27" s="125">
        <v>304</v>
      </c>
      <c r="C27" s="78">
        <v>42.061365930000001</v>
      </c>
      <c r="D27" s="78">
        <v>47.894432270000003</v>
      </c>
      <c r="E27" s="78">
        <v>48.38</v>
      </c>
      <c r="F27" s="77">
        <f t="shared" si="2"/>
        <v>101.01382918010732</v>
      </c>
      <c r="G27" s="78">
        <v>50.180700000000002</v>
      </c>
      <c r="H27" s="78">
        <f t="shared" si="3"/>
        <v>103.72199255890864</v>
      </c>
      <c r="I27" s="78">
        <v>51.923000000000002</v>
      </c>
      <c r="J27" s="79">
        <f t="shared" si="4"/>
        <v>103.47205200405733</v>
      </c>
      <c r="K27" s="76"/>
      <c r="N27" s="87"/>
    </row>
    <row r="28" spans="1:14" x14ac:dyDescent="0.25">
      <c r="A28" s="16" t="s">
        <v>494</v>
      </c>
      <c r="B28" s="125">
        <v>306</v>
      </c>
      <c r="C28" s="78">
        <v>42.500500000000002</v>
      </c>
      <c r="D28" s="78">
        <v>47.899644000000002</v>
      </c>
      <c r="E28" s="78">
        <v>51.855899999999998</v>
      </c>
      <c r="F28" s="77">
        <f t="shared" si="2"/>
        <v>108.25946848373236</v>
      </c>
      <c r="G28" s="78">
        <v>51.336500000000001</v>
      </c>
      <c r="H28" s="78">
        <f t="shared" si="3"/>
        <v>98.998378198044961</v>
      </c>
      <c r="I28" s="78">
        <v>53.214100000000002</v>
      </c>
      <c r="J28" s="79">
        <f t="shared" si="4"/>
        <v>103.6574367165662</v>
      </c>
      <c r="K28" s="76"/>
      <c r="N28" s="87"/>
    </row>
    <row r="29" spans="1:14" x14ac:dyDescent="0.25">
      <c r="A29" s="16" t="s">
        <v>495</v>
      </c>
      <c r="B29" s="125">
        <v>311</v>
      </c>
      <c r="C29" s="78">
        <v>45.948929060000005</v>
      </c>
      <c r="D29" s="78">
        <v>243.744</v>
      </c>
      <c r="E29" s="78">
        <v>48.42</v>
      </c>
      <c r="F29" s="77">
        <f t="shared" si="2"/>
        <v>19.865104371799923</v>
      </c>
      <c r="G29" s="78">
        <v>210.03819999999999</v>
      </c>
      <c r="H29" s="78">
        <f t="shared" si="3"/>
        <v>433.78397356464274</v>
      </c>
      <c r="I29" s="78">
        <v>52.627600000000001</v>
      </c>
      <c r="J29" s="79">
        <f t="shared" si="4"/>
        <v>25.056204061927783</v>
      </c>
      <c r="K29" s="76"/>
      <c r="N29" s="87"/>
    </row>
    <row r="30" spans="1:14" x14ac:dyDescent="0.25">
      <c r="A30" s="16" t="s">
        <v>496</v>
      </c>
      <c r="B30" s="125">
        <v>329</v>
      </c>
      <c r="C30" s="78">
        <v>173.80670860000001</v>
      </c>
      <c r="D30" s="78">
        <v>211.59163444000001</v>
      </c>
      <c r="E30" s="78">
        <v>183.6934</v>
      </c>
      <c r="F30" s="77">
        <f t="shared" si="2"/>
        <v>86.815057923326847</v>
      </c>
      <c r="G30" s="78">
        <v>187.51730000000001</v>
      </c>
      <c r="H30" s="78">
        <f t="shared" si="3"/>
        <v>102.08167522621933</v>
      </c>
      <c r="I30" s="78">
        <v>190.92230000000001</v>
      </c>
      <c r="J30" s="79">
        <f t="shared" si="4"/>
        <v>101.81583245919177</v>
      </c>
      <c r="K30" s="76"/>
      <c r="N30" s="87"/>
    </row>
    <row r="31" spans="1:14" ht="26.4" x14ac:dyDescent="0.25">
      <c r="A31" s="16" t="s">
        <v>497</v>
      </c>
      <c r="B31" s="125">
        <v>349</v>
      </c>
      <c r="C31" s="78">
        <v>43.386559079999998</v>
      </c>
      <c r="D31" s="78">
        <v>200.95255394</v>
      </c>
      <c r="E31" s="78">
        <v>370.47919999999999</v>
      </c>
      <c r="F31" s="77">
        <f t="shared" si="2"/>
        <v>184.36152849822298</v>
      </c>
      <c r="G31" s="78">
        <v>90.983800000000002</v>
      </c>
      <c r="H31" s="78">
        <f t="shared" si="3"/>
        <v>24.55840975687704</v>
      </c>
      <c r="I31" s="78">
        <v>53.8962</v>
      </c>
      <c r="J31" s="79">
        <f t="shared" si="4"/>
        <v>59.237138919236166</v>
      </c>
      <c r="K31" s="76"/>
      <c r="N31" s="87"/>
    </row>
    <row r="32" spans="1:14" ht="26.4" x14ac:dyDescent="0.25">
      <c r="A32" s="16" t="s">
        <v>498</v>
      </c>
      <c r="B32" s="125">
        <v>351</v>
      </c>
      <c r="C32" s="78">
        <v>95.069699999999997</v>
      </c>
      <c r="D32" s="78">
        <v>150.00299999999999</v>
      </c>
      <c r="E32" s="78">
        <v>137.15649999999999</v>
      </c>
      <c r="F32" s="77">
        <f t="shared" si="2"/>
        <v>91.435837949907679</v>
      </c>
      <c r="G32" s="78">
        <v>122.4157</v>
      </c>
      <c r="H32" s="78">
        <f t="shared" si="3"/>
        <v>89.252569145465216</v>
      </c>
      <c r="I32" s="78">
        <v>87.149000000000001</v>
      </c>
      <c r="J32" s="79">
        <f t="shared" si="4"/>
        <v>71.191031869278206</v>
      </c>
      <c r="K32" s="76"/>
      <c r="N32" s="87"/>
    </row>
    <row r="33" spans="1:14" ht="26.4" x14ac:dyDescent="0.25">
      <c r="A33" s="16" t="s">
        <v>499</v>
      </c>
      <c r="B33" s="125">
        <v>390</v>
      </c>
      <c r="C33" s="78">
        <v>52.380254370000003</v>
      </c>
      <c r="D33" s="78">
        <v>56.231400000000001</v>
      </c>
      <c r="E33" s="78">
        <v>61.721299999999999</v>
      </c>
      <c r="F33" s="77">
        <f t="shared" si="2"/>
        <v>109.76305053759998</v>
      </c>
      <c r="G33" s="78">
        <v>63.9816</v>
      </c>
      <c r="H33" s="78">
        <f t="shared" si="3"/>
        <v>103.66210692256968</v>
      </c>
      <c r="I33" s="78">
        <v>66.171800000000005</v>
      </c>
      <c r="J33" s="79">
        <f t="shared" si="4"/>
        <v>103.42317166185279</v>
      </c>
      <c r="K33" s="76"/>
      <c r="N33" s="87"/>
    </row>
    <row r="34" spans="1:14" ht="26.4" x14ac:dyDescent="0.25">
      <c r="A34" s="16" t="s">
        <v>500</v>
      </c>
      <c r="B34" s="125">
        <v>435</v>
      </c>
      <c r="C34" s="78">
        <v>283.87895609999998</v>
      </c>
      <c r="D34" s="78">
        <v>324.666</v>
      </c>
      <c r="E34" s="78">
        <v>349.03480000000002</v>
      </c>
      <c r="F34" s="77">
        <f t="shared" si="2"/>
        <v>107.50580596674737</v>
      </c>
      <c r="G34" s="78">
        <v>322.803</v>
      </c>
      <c r="H34" s="78">
        <f t="shared" si="3"/>
        <v>92.484474327488257</v>
      </c>
      <c r="I34" s="78">
        <v>330.36279999999999</v>
      </c>
      <c r="J34" s="79">
        <f t="shared" si="4"/>
        <v>102.34192371198532</v>
      </c>
      <c r="K34" s="76">
        <f t="shared" si="0"/>
        <v>-24.368800000000022</v>
      </c>
      <c r="L34" s="73">
        <f t="shared" si="1"/>
        <v>-7.5058059667473715</v>
      </c>
      <c r="N34" s="87"/>
    </row>
    <row r="35" spans="1:14" ht="26.4" x14ac:dyDescent="0.25">
      <c r="A35" s="16" t="s">
        <v>501</v>
      </c>
      <c r="B35" s="125">
        <v>730</v>
      </c>
      <c r="C35" s="78">
        <v>24.37877078</v>
      </c>
      <c r="D35" s="78">
        <v>26.5261</v>
      </c>
      <c r="E35" s="78">
        <v>27.616299999999999</v>
      </c>
      <c r="F35" s="77">
        <f t="shared" si="2"/>
        <v>104.10991438620829</v>
      </c>
      <c r="G35" s="78">
        <v>28.619599999999998</v>
      </c>
      <c r="H35" s="78">
        <f t="shared" si="3"/>
        <v>103.63299935183208</v>
      </c>
      <c r="I35" s="78">
        <v>29.590399999999999</v>
      </c>
      <c r="J35" s="79">
        <f t="shared" si="4"/>
        <v>103.39208095151575</v>
      </c>
      <c r="K35" s="76"/>
      <c r="N35" s="87"/>
    </row>
    <row r="36" spans="1:14" ht="26.4" x14ac:dyDescent="0.25">
      <c r="A36" s="16" t="s">
        <v>502</v>
      </c>
      <c r="B36" s="125">
        <v>732</v>
      </c>
      <c r="C36" s="78">
        <v>24.468499999999999</v>
      </c>
      <c r="D36" s="78">
        <v>26.152000000000001</v>
      </c>
      <c r="E36" s="78">
        <v>26.0122</v>
      </c>
      <c r="F36" s="77">
        <f t="shared" si="2"/>
        <v>99.465432854083815</v>
      </c>
      <c r="G36" s="78">
        <v>26.8185</v>
      </c>
      <c r="H36" s="78">
        <f t="shared" si="3"/>
        <v>103.09969937183321</v>
      </c>
      <c r="I36" s="78">
        <v>27.532699999999998</v>
      </c>
      <c r="J36" s="79">
        <f t="shared" si="4"/>
        <v>102.66308704811978</v>
      </c>
      <c r="K36" s="76"/>
      <c r="N36" s="87"/>
    </row>
    <row r="37" spans="1:14" x14ac:dyDescent="0.25">
      <c r="A37" s="16" t="s">
        <v>503</v>
      </c>
      <c r="B37" s="125">
        <v>735</v>
      </c>
      <c r="C37" s="78">
        <v>53.065300000000001</v>
      </c>
      <c r="D37" s="78">
        <v>59.4467</v>
      </c>
      <c r="E37" s="78">
        <v>64.156899999999993</v>
      </c>
      <c r="F37" s="77">
        <f t="shared" si="2"/>
        <v>107.92340028967125</v>
      </c>
      <c r="G37" s="78">
        <v>61.285299999999999</v>
      </c>
      <c r="H37" s="78">
        <f t="shared" si="3"/>
        <v>95.524097953610607</v>
      </c>
      <c r="I37" s="78">
        <v>63.513800000000003</v>
      </c>
      <c r="J37" s="79">
        <f t="shared" si="4"/>
        <v>103.63627166710452</v>
      </c>
      <c r="K37" s="76"/>
      <c r="N37" s="87"/>
    </row>
    <row r="38" spans="1:14" ht="26.4" x14ac:dyDescent="0.25">
      <c r="A38" s="16" t="s">
        <v>504</v>
      </c>
      <c r="B38" s="125">
        <v>737</v>
      </c>
      <c r="C38" s="78">
        <v>181.36970853</v>
      </c>
      <c r="D38" s="78">
        <v>193.83029999999999</v>
      </c>
      <c r="E38" s="78">
        <v>207.24340000000001</v>
      </c>
      <c r="F38" s="77">
        <f t="shared" si="2"/>
        <v>106.9200223081737</v>
      </c>
      <c r="G38" s="78">
        <v>192.99039999999999</v>
      </c>
      <c r="H38" s="78">
        <f t="shared" si="3"/>
        <v>93.122579536911658</v>
      </c>
      <c r="I38" s="78">
        <v>198.60980000000001</v>
      </c>
      <c r="J38" s="79">
        <f t="shared" si="4"/>
        <v>102.91175105082948</v>
      </c>
      <c r="K38" s="76"/>
      <c r="N38" s="87"/>
    </row>
    <row r="39" spans="1:14" ht="26.4" x14ac:dyDescent="0.25">
      <c r="A39" s="16" t="s">
        <v>505</v>
      </c>
      <c r="B39" s="125">
        <v>738</v>
      </c>
      <c r="C39" s="78">
        <v>22.088463139999998</v>
      </c>
      <c r="D39" s="78">
        <v>53.989263340000001</v>
      </c>
      <c r="E39" s="78">
        <v>33.980899999999998</v>
      </c>
      <c r="F39" s="77">
        <f t="shared" si="2"/>
        <v>62.940106787535953</v>
      </c>
      <c r="G39" s="78">
        <v>26.010200000000001</v>
      </c>
      <c r="H39" s="78">
        <f t="shared" si="3"/>
        <v>76.543587721337587</v>
      </c>
      <c r="I39" s="78">
        <v>26.522300000000001</v>
      </c>
      <c r="J39" s="79">
        <f t="shared" si="4"/>
        <v>101.96884299236453</v>
      </c>
      <c r="K39" s="76">
        <f t="shared" si="0"/>
        <v>20.008363340000002</v>
      </c>
      <c r="L39" s="73">
        <f t="shared" si="1"/>
        <v>37.059893212464054</v>
      </c>
      <c r="N39" s="87"/>
    </row>
    <row r="40" spans="1:14" ht="13.8" thickBot="1" x14ac:dyDescent="0.3">
      <c r="A40" s="19" t="s">
        <v>67</v>
      </c>
      <c r="B40" s="123"/>
      <c r="C40" s="120">
        <f>SUM(C9:C39)</f>
        <v>70714.840973369981</v>
      </c>
      <c r="D40" s="120">
        <f>SUM(D9:D39)</f>
        <v>75469.924425610021</v>
      </c>
      <c r="E40" s="120">
        <f>SUM(E9:E39)</f>
        <v>80735.744300000006</v>
      </c>
      <c r="F40" s="121">
        <f t="shared" ref="F40" si="5">E40/D40*100</f>
        <v>106.97737531138043</v>
      </c>
      <c r="G40" s="120">
        <v>78018.122699999993</v>
      </c>
      <c r="H40" s="120">
        <f t="shared" ref="H40" si="6">G40/E40*100</f>
        <v>96.633930084422332</v>
      </c>
      <c r="I40" s="120">
        <f>SUM(I9:I39)</f>
        <v>80539.628100000016</v>
      </c>
      <c r="J40" s="122">
        <f t="shared" ref="J40" si="7">I40/G40*100</f>
        <v>103.23194831244</v>
      </c>
      <c r="K40" s="76"/>
      <c r="N40" s="87"/>
    </row>
    <row r="41" spans="1:14" ht="13.8" thickTop="1" x14ac:dyDescent="0.25">
      <c r="E41" s="76"/>
      <c r="G41" s="76"/>
      <c r="I41" s="76"/>
    </row>
    <row r="42" spans="1:14" x14ac:dyDescent="0.25">
      <c r="C42" s="76"/>
      <c r="D42" s="76"/>
      <c r="E42" s="76"/>
      <c r="F42" s="76"/>
    </row>
    <row r="43" spans="1:14" x14ac:dyDescent="0.25">
      <c r="C43" s="76"/>
      <c r="D43" s="76"/>
      <c r="E43" s="76"/>
      <c r="F43" s="76"/>
    </row>
    <row r="44" spans="1:14" x14ac:dyDescent="0.25">
      <c r="F44" s="76"/>
    </row>
  </sheetData>
  <mergeCells count="6">
    <mergeCell ref="A3:J3"/>
    <mergeCell ref="A6:A7"/>
    <mergeCell ref="C6:C7"/>
    <mergeCell ref="D6:D7"/>
    <mergeCell ref="E6:J6"/>
    <mergeCell ref="B6:B7"/>
  </mergeCells>
  <pageMargins left="0.39370078740157483" right="0.39370078740157483" top="0.78740157480314965" bottom="0.59055118110236227" header="0.31496062992125984" footer="0.31496062992125984"/>
  <pageSetup paperSize="9" scale="95" fitToHeight="0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4"/>
  <sheetViews>
    <sheetView topLeftCell="A4" zoomScale="115" zoomScaleNormal="115" workbookViewId="0">
      <pane xSplit="1" ySplit="5" topLeftCell="B9" activePane="bottomRight" state="frozen"/>
      <selection activeCell="A4" sqref="A4"/>
      <selection pane="topRight" activeCell="D4" sqref="D4"/>
      <selection pane="bottomLeft" activeCell="A9" sqref="A9"/>
      <selection pane="bottomRight" activeCell="B10" sqref="B10"/>
    </sheetView>
  </sheetViews>
  <sheetFormatPr defaultColWidth="8.88671875" defaultRowHeight="13.2" x14ac:dyDescent="0.25"/>
  <cols>
    <col min="1" max="1" width="51.33203125" style="153" customWidth="1"/>
    <col min="2" max="3" width="12.33203125" style="153" customWidth="1"/>
    <col min="4" max="4" width="9.109375" style="153" bestFit="1" customWidth="1"/>
    <col min="5" max="5" width="13.5546875" style="153" customWidth="1"/>
    <col min="6" max="6" width="9.109375" style="153" bestFit="1" customWidth="1"/>
    <col min="7" max="7" width="10.109375" style="153" customWidth="1"/>
    <col min="8" max="8" width="9.109375" style="153" bestFit="1" customWidth="1"/>
    <col min="9" max="9" width="11.33203125" style="153" customWidth="1"/>
    <col min="10" max="12" width="0" style="153" hidden="1" customWidth="1"/>
    <col min="13" max="16384" width="8.88671875" style="153"/>
  </cols>
  <sheetData>
    <row r="1" spans="1:13" x14ac:dyDescent="0.25">
      <c r="I1" s="154" t="s">
        <v>571</v>
      </c>
    </row>
    <row r="2" spans="1:13" x14ac:dyDescent="0.25">
      <c r="I2" s="154"/>
    </row>
    <row r="3" spans="1:13" x14ac:dyDescent="0.25">
      <c r="A3" s="319" t="s">
        <v>338</v>
      </c>
      <c r="B3" s="319"/>
      <c r="C3" s="319"/>
      <c r="D3" s="319"/>
      <c r="E3" s="319"/>
      <c r="F3" s="319"/>
      <c r="G3" s="319"/>
      <c r="H3" s="319"/>
      <c r="I3" s="319"/>
    </row>
    <row r="5" spans="1:13" ht="13.8" thickBot="1" x14ac:dyDescent="0.3">
      <c r="I5" s="154" t="s">
        <v>281</v>
      </c>
    </row>
    <row r="6" spans="1:13" ht="14.4" customHeight="1" thickTop="1" x14ac:dyDescent="0.25">
      <c r="A6" s="320" t="s">
        <v>339</v>
      </c>
      <c r="B6" s="322" t="s">
        <v>340</v>
      </c>
      <c r="C6" s="322" t="s">
        <v>341</v>
      </c>
      <c r="D6" s="324" t="s">
        <v>64</v>
      </c>
      <c r="E6" s="325"/>
      <c r="F6" s="325"/>
      <c r="G6" s="325"/>
      <c r="H6" s="325"/>
      <c r="I6" s="326"/>
    </row>
    <row r="7" spans="1:13" ht="60" customHeight="1" x14ac:dyDescent="0.25">
      <c r="A7" s="321"/>
      <c r="B7" s="323"/>
      <c r="C7" s="323"/>
      <c r="D7" s="155" t="s">
        <v>26</v>
      </c>
      <c r="E7" s="155" t="s">
        <v>342</v>
      </c>
      <c r="F7" s="155" t="s">
        <v>304</v>
      </c>
      <c r="G7" s="155" t="s">
        <v>305</v>
      </c>
      <c r="H7" s="155" t="s">
        <v>343</v>
      </c>
      <c r="I7" s="156" t="s">
        <v>344</v>
      </c>
    </row>
    <row r="8" spans="1:13" x14ac:dyDescent="0.25">
      <c r="A8" s="157" t="s">
        <v>19</v>
      </c>
      <c r="B8" s="155">
        <v>1</v>
      </c>
      <c r="C8" s="155">
        <v>2</v>
      </c>
      <c r="D8" s="155">
        <v>3</v>
      </c>
      <c r="E8" s="155" t="s">
        <v>306</v>
      </c>
      <c r="F8" s="155">
        <v>5</v>
      </c>
      <c r="G8" s="155" t="s">
        <v>307</v>
      </c>
      <c r="H8" s="155">
        <v>7</v>
      </c>
      <c r="I8" s="156" t="s">
        <v>308</v>
      </c>
      <c r="J8" s="158"/>
    </row>
    <row r="9" spans="1:13" x14ac:dyDescent="0.25">
      <c r="A9" s="16" t="s">
        <v>381</v>
      </c>
      <c r="B9" s="159">
        <f>SUM(B10:B18)</f>
        <v>2122.3132707499999</v>
      </c>
      <c r="C9" s="159">
        <f>SUM(C10:C18)</f>
        <v>3228.5441231699997</v>
      </c>
      <c r="D9" s="159">
        <f>SUM(D10:D18)</f>
        <v>3168.3982999999998</v>
      </c>
      <c r="E9" s="159">
        <f>D9/C9*100</f>
        <v>98.13706051782421</v>
      </c>
      <c r="F9" s="159">
        <f>SUM(F10:F18)</f>
        <v>2714.1950000000002</v>
      </c>
      <c r="G9" s="160">
        <f>F9/D9*100</f>
        <v>85.664576956754473</v>
      </c>
      <c r="H9" s="159">
        <f>SUM(H10:H18)</f>
        <v>2571.0736999999999</v>
      </c>
      <c r="I9" s="161">
        <f>H9/F9*100</f>
        <v>94.726933768575933</v>
      </c>
      <c r="J9" s="158">
        <f t="shared" ref="J9:J57" si="0">C9-D9</f>
        <v>60.145823169999858</v>
      </c>
      <c r="K9" s="153">
        <f t="shared" ref="K9:K57" si="1">J9/C9*100</f>
        <v>1.862939482175783</v>
      </c>
      <c r="M9" s="162"/>
    </row>
    <row r="10" spans="1:13" ht="39.6" x14ac:dyDescent="0.25">
      <c r="A10" s="93" t="s">
        <v>382</v>
      </c>
      <c r="B10" s="159">
        <v>5.4935424400000006</v>
      </c>
      <c r="C10" s="159">
        <v>6.4081999999999999</v>
      </c>
      <c r="D10" s="159">
        <v>6.4958</v>
      </c>
      <c r="E10" s="159">
        <f t="shared" ref="E10:E74" si="2">D10/C10*100</f>
        <v>101.36699853312943</v>
      </c>
      <c r="F10" s="160">
        <v>6.6990999999999996</v>
      </c>
      <c r="G10" s="160">
        <f t="shared" ref="G10:G74" si="3">F10/D10*100</f>
        <v>103.12971458480864</v>
      </c>
      <c r="H10" s="160">
        <v>7.016</v>
      </c>
      <c r="I10" s="161">
        <f t="shared" ref="I10:I74" si="4">H10/F10*100</f>
        <v>104.7304861847114</v>
      </c>
      <c r="J10" s="158"/>
      <c r="M10" s="162"/>
    </row>
    <row r="11" spans="1:13" ht="40.200000000000003" customHeight="1" x14ac:dyDescent="0.25">
      <c r="A11" s="93" t="s">
        <v>383</v>
      </c>
      <c r="B11" s="159">
        <v>199.01663337000002</v>
      </c>
      <c r="C11" s="159">
        <v>230.08512992999999</v>
      </c>
      <c r="D11" s="159">
        <v>183.50309999999999</v>
      </c>
      <c r="E11" s="159">
        <f t="shared" si="2"/>
        <v>79.754437001568988</v>
      </c>
      <c r="F11" s="160">
        <v>187.327</v>
      </c>
      <c r="G11" s="160">
        <f t="shared" si="3"/>
        <v>102.08383400607401</v>
      </c>
      <c r="H11" s="160">
        <v>190.732</v>
      </c>
      <c r="I11" s="161">
        <f t="shared" si="4"/>
        <v>101.81767711008023</v>
      </c>
      <c r="J11" s="158"/>
      <c r="M11" s="162"/>
    </row>
    <row r="12" spans="1:13" ht="52.8" x14ac:dyDescent="0.25">
      <c r="A12" s="93" t="s">
        <v>384</v>
      </c>
      <c r="B12" s="159">
        <v>364.92529645999997</v>
      </c>
      <c r="C12" s="159">
        <v>387.66879872000004</v>
      </c>
      <c r="D12" s="159">
        <v>400.29230000000001</v>
      </c>
      <c r="E12" s="159">
        <f t="shared" si="2"/>
        <v>103.2562592918698</v>
      </c>
      <c r="F12" s="160">
        <v>360.20940000000002</v>
      </c>
      <c r="G12" s="160">
        <f t="shared" si="3"/>
        <v>89.98659229767847</v>
      </c>
      <c r="H12" s="160">
        <v>371.9058</v>
      </c>
      <c r="I12" s="161">
        <f t="shared" si="4"/>
        <v>103.24711126361498</v>
      </c>
      <c r="J12" s="158"/>
      <c r="M12" s="162"/>
    </row>
    <row r="13" spans="1:13" x14ac:dyDescent="0.25">
      <c r="A13" s="93" t="s">
        <v>385</v>
      </c>
      <c r="B13" s="159">
        <v>283.87895609999998</v>
      </c>
      <c r="C13" s="159">
        <v>328.52550000000002</v>
      </c>
      <c r="D13" s="159">
        <v>348.10539999999997</v>
      </c>
      <c r="E13" s="159">
        <f t="shared" si="2"/>
        <v>105.95993309499565</v>
      </c>
      <c r="F13" s="160">
        <v>321.89749999999998</v>
      </c>
      <c r="G13" s="160">
        <f t="shared" si="3"/>
        <v>92.471274504790784</v>
      </c>
      <c r="H13" s="160">
        <v>329.48500000000001</v>
      </c>
      <c r="I13" s="161">
        <f t="shared" si="4"/>
        <v>102.35711678406946</v>
      </c>
      <c r="J13" s="158"/>
      <c r="M13" s="162"/>
    </row>
    <row r="14" spans="1:13" ht="39.6" x14ac:dyDescent="0.25">
      <c r="A14" s="93" t="s">
        <v>386</v>
      </c>
      <c r="B14" s="159">
        <v>130.78983812000001</v>
      </c>
      <c r="C14" s="159">
        <v>147.87333227000002</v>
      </c>
      <c r="D14" s="159">
        <v>153.09059999999999</v>
      </c>
      <c r="E14" s="159">
        <f t="shared" si="2"/>
        <v>103.52820055510337</v>
      </c>
      <c r="F14" s="160">
        <v>156.17529999999999</v>
      </c>
      <c r="G14" s="160">
        <f t="shared" si="3"/>
        <v>102.01495062400959</v>
      </c>
      <c r="H14" s="160">
        <v>161.97389999999999</v>
      </c>
      <c r="I14" s="161">
        <f t="shared" si="4"/>
        <v>103.71287905321776</v>
      </c>
      <c r="J14" s="158"/>
      <c r="M14" s="162"/>
    </row>
    <row r="15" spans="1:13" ht="26.4" x14ac:dyDescent="0.25">
      <c r="A15" s="93" t="s">
        <v>387</v>
      </c>
      <c r="B15" s="159">
        <v>45.948929060000005</v>
      </c>
      <c r="C15" s="159">
        <v>243.744</v>
      </c>
      <c r="D15" s="159">
        <v>48.42</v>
      </c>
      <c r="E15" s="159">
        <f t="shared" si="2"/>
        <v>19.865104371799923</v>
      </c>
      <c r="F15" s="160">
        <v>210.03819999999999</v>
      </c>
      <c r="G15" s="160">
        <f t="shared" si="3"/>
        <v>433.78397356464274</v>
      </c>
      <c r="H15" s="160">
        <v>52.627600000000001</v>
      </c>
      <c r="I15" s="161">
        <f t="shared" si="4"/>
        <v>25.056204061927783</v>
      </c>
      <c r="J15" s="158"/>
      <c r="M15" s="162"/>
    </row>
    <row r="16" spans="1:13" x14ac:dyDescent="0.25">
      <c r="A16" s="93" t="s">
        <v>388</v>
      </c>
      <c r="B16" s="159">
        <v>0</v>
      </c>
      <c r="C16" s="159">
        <v>66.950892850000002</v>
      </c>
      <c r="D16" s="159">
        <v>216.7148</v>
      </c>
      <c r="E16" s="159">
        <f t="shared" si="2"/>
        <v>323.69217313582095</v>
      </c>
      <c r="F16" s="160">
        <v>216.7148</v>
      </c>
      <c r="G16" s="160">
        <f t="shared" si="3"/>
        <v>100</v>
      </c>
      <c r="H16" s="160">
        <v>216.7148</v>
      </c>
      <c r="I16" s="161">
        <f t="shared" si="4"/>
        <v>100</v>
      </c>
      <c r="J16" s="158"/>
      <c r="M16" s="162"/>
    </row>
    <row r="17" spans="1:13" ht="26.4" x14ac:dyDescent="0.25">
      <c r="A17" s="93" t="s">
        <v>389</v>
      </c>
      <c r="B17" s="159">
        <v>11.82</v>
      </c>
      <c r="C17" s="159">
        <v>66.198563339999993</v>
      </c>
      <c r="D17" s="159">
        <v>20.65</v>
      </c>
      <c r="E17" s="159">
        <f t="shared" si="2"/>
        <v>31.194030441325886</v>
      </c>
      <c r="F17" s="160">
        <v>14.19</v>
      </c>
      <c r="G17" s="160">
        <f t="shared" si="3"/>
        <v>68.716707021791763</v>
      </c>
      <c r="H17" s="160">
        <v>14.19</v>
      </c>
      <c r="I17" s="161">
        <f t="shared" si="4"/>
        <v>100</v>
      </c>
      <c r="J17" s="158"/>
      <c r="M17" s="162"/>
    </row>
    <row r="18" spans="1:13" x14ac:dyDescent="0.25">
      <c r="A18" s="93" t="s">
        <v>390</v>
      </c>
      <c r="B18" s="159">
        <v>1080.4400751999999</v>
      </c>
      <c r="C18" s="159">
        <v>1751.08970606</v>
      </c>
      <c r="D18" s="159">
        <v>1791.1262999999999</v>
      </c>
      <c r="E18" s="159">
        <f t="shared" si="2"/>
        <v>102.28638166288371</v>
      </c>
      <c r="F18" s="160">
        <v>1240.9437</v>
      </c>
      <c r="G18" s="160">
        <f t="shared" si="3"/>
        <v>69.282869666979934</v>
      </c>
      <c r="H18" s="160">
        <v>1226.4286</v>
      </c>
      <c r="I18" s="161">
        <f t="shared" si="4"/>
        <v>98.830317604255526</v>
      </c>
      <c r="J18" s="158"/>
      <c r="M18" s="162"/>
    </row>
    <row r="19" spans="1:13" x14ac:dyDescent="0.25">
      <c r="A19" s="16" t="s">
        <v>392</v>
      </c>
      <c r="B19" s="160">
        <f>+B20</f>
        <v>30.395782500000003</v>
      </c>
      <c r="C19" s="160">
        <f t="shared" ref="C19:H19" si="5">+C20</f>
        <v>30.6313</v>
      </c>
      <c r="D19" s="160">
        <f t="shared" si="5"/>
        <v>39.395800000000001</v>
      </c>
      <c r="E19" s="159">
        <f t="shared" si="2"/>
        <v>128.61288943009274</v>
      </c>
      <c r="F19" s="160">
        <f t="shared" si="5"/>
        <v>39.395800000000001</v>
      </c>
      <c r="G19" s="160">
        <f t="shared" si="3"/>
        <v>100</v>
      </c>
      <c r="H19" s="160">
        <f t="shared" si="5"/>
        <v>39.395800000000001</v>
      </c>
      <c r="I19" s="161">
        <f t="shared" si="4"/>
        <v>100</v>
      </c>
      <c r="J19" s="158">
        <f t="shared" si="0"/>
        <v>-8.7645000000000017</v>
      </c>
      <c r="K19" s="153">
        <f t="shared" si="1"/>
        <v>-28.612889430092753</v>
      </c>
      <c r="M19" s="162"/>
    </row>
    <row r="20" spans="1:13" x14ac:dyDescent="0.25">
      <c r="A20" s="93" t="s">
        <v>391</v>
      </c>
      <c r="B20" s="160">
        <v>30.395782500000003</v>
      </c>
      <c r="C20" s="160">
        <v>30.6313</v>
      </c>
      <c r="D20" s="160">
        <v>39.395800000000001</v>
      </c>
      <c r="E20" s="159">
        <f t="shared" si="2"/>
        <v>128.61288943009274</v>
      </c>
      <c r="F20" s="160">
        <v>39.395800000000001</v>
      </c>
      <c r="G20" s="160">
        <f t="shared" si="3"/>
        <v>100</v>
      </c>
      <c r="H20" s="169">
        <v>39.395800000000001</v>
      </c>
      <c r="I20" s="161">
        <f t="shared" si="4"/>
        <v>100</v>
      </c>
      <c r="J20" s="158"/>
      <c r="M20" s="162"/>
    </row>
    <row r="21" spans="1:13" ht="26.4" x14ac:dyDescent="0.25">
      <c r="A21" s="16" t="s">
        <v>393</v>
      </c>
      <c r="B21" s="160">
        <f>SUM(B22:B23)</f>
        <v>1108.7959097299999</v>
      </c>
      <c r="C21" s="160">
        <f t="shared" ref="C21:H21" si="6">SUM(C22:C23)</f>
        <v>1315.78780287</v>
      </c>
      <c r="D21" s="160">
        <f t="shared" si="6"/>
        <v>1541.5002999999999</v>
      </c>
      <c r="E21" s="159">
        <f t="shared" si="2"/>
        <v>117.15417156456955</v>
      </c>
      <c r="F21" s="160">
        <f t="shared" si="6"/>
        <v>1181.8126</v>
      </c>
      <c r="G21" s="160">
        <f t="shared" si="3"/>
        <v>76.666387933884934</v>
      </c>
      <c r="H21" s="160">
        <f t="shared" si="6"/>
        <v>1211.1505</v>
      </c>
      <c r="I21" s="161">
        <f t="shared" si="4"/>
        <v>102.48244941710725</v>
      </c>
      <c r="J21" s="158">
        <f t="shared" si="0"/>
        <v>-225.71249712999997</v>
      </c>
      <c r="K21" s="153">
        <f t="shared" si="1"/>
        <v>-17.154171564569552</v>
      </c>
      <c r="M21" s="162"/>
    </row>
    <row r="22" spans="1:13" ht="39.6" x14ac:dyDescent="0.25">
      <c r="A22" s="93" t="s">
        <v>394</v>
      </c>
      <c r="B22" s="160">
        <v>230.91990709999999</v>
      </c>
      <c r="C22" s="160">
        <v>381.71545736000002</v>
      </c>
      <c r="D22" s="160">
        <v>554.82529999999997</v>
      </c>
      <c r="E22" s="159">
        <f t="shared" si="2"/>
        <v>145.35049322792767</v>
      </c>
      <c r="F22" s="160">
        <v>202.3409</v>
      </c>
      <c r="G22" s="160">
        <f t="shared" si="3"/>
        <v>36.46929943533577</v>
      </c>
      <c r="H22" s="170">
        <v>208.61170000000001</v>
      </c>
      <c r="I22" s="161">
        <f t="shared" si="4"/>
        <v>103.09912627649676</v>
      </c>
      <c r="J22" s="158"/>
      <c r="M22" s="162"/>
    </row>
    <row r="23" spans="1:13" x14ac:dyDescent="0.25">
      <c r="A23" s="93" t="s">
        <v>395</v>
      </c>
      <c r="B23" s="160">
        <v>877.87600263000002</v>
      </c>
      <c r="C23" s="160">
        <v>934.07234550999999</v>
      </c>
      <c r="D23" s="160">
        <v>986.67499999999995</v>
      </c>
      <c r="E23" s="159">
        <f t="shared" si="2"/>
        <v>105.63153964924194</v>
      </c>
      <c r="F23" s="160">
        <v>979.47170000000006</v>
      </c>
      <c r="G23" s="160">
        <f t="shared" si="3"/>
        <v>99.269941976841423</v>
      </c>
      <c r="H23" s="170">
        <v>1002.5388</v>
      </c>
      <c r="I23" s="161">
        <f t="shared" si="4"/>
        <v>102.35505528133176</v>
      </c>
      <c r="J23" s="158"/>
      <c r="M23" s="162"/>
    </row>
    <row r="24" spans="1:13" x14ac:dyDescent="0.25">
      <c r="A24" s="16" t="s">
        <v>396</v>
      </c>
      <c r="B24" s="160">
        <f>SUM(B25:B35)</f>
        <v>9245.3107255699997</v>
      </c>
      <c r="C24" s="160">
        <f t="shared" ref="C24:H24" si="7">SUM(C25:C35)</f>
        <v>9235.978131150001</v>
      </c>
      <c r="D24" s="160">
        <f t="shared" si="7"/>
        <v>10737.620900000002</v>
      </c>
      <c r="E24" s="159">
        <f t="shared" si="2"/>
        <v>116.25862196214432</v>
      </c>
      <c r="F24" s="160">
        <f t="shared" si="7"/>
        <v>12280.9234</v>
      </c>
      <c r="G24" s="160">
        <f t="shared" si="3"/>
        <v>114.37285330123731</v>
      </c>
      <c r="H24" s="160">
        <f t="shared" si="7"/>
        <v>12872.447999999999</v>
      </c>
      <c r="I24" s="161">
        <f t="shared" si="4"/>
        <v>104.81661338267121</v>
      </c>
      <c r="J24" s="158">
        <f t="shared" si="0"/>
        <v>-1501.6427688500007</v>
      </c>
      <c r="K24" s="153">
        <f t="shared" si="1"/>
        <v>-16.258621962144321</v>
      </c>
      <c r="M24" s="162"/>
    </row>
    <row r="25" spans="1:13" x14ac:dyDescent="0.25">
      <c r="A25" s="93" t="s">
        <v>397</v>
      </c>
      <c r="B25" s="160">
        <v>515.94444704</v>
      </c>
      <c r="C25" s="160">
        <v>556.71449095999992</v>
      </c>
      <c r="D25" s="160">
        <v>593.16390000000001</v>
      </c>
      <c r="E25" s="159">
        <f t="shared" si="2"/>
        <v>106.54723554566483</v>
      </c>
      <c r="F25" s="160">
        <v>598.92529999999999</v>
      </c>
      <c r="G25" s="160">
        <f t="shared" si="3"/>
        <v>100.97129983803801</v>
      </c>
      <c r="H25" s="160">
        <v>612.59010000000001</v>
      </c>
      <c r="I25" s="161">
        <f t="shared" si="4"/>
        <v>102.28155330890181</v>
      </c>
      <c r="J25" s="158"/>
      <c r="M25" s="162"/>
    </row>
    <row r="26" spans="1:13" x14ac:dyDescent="0.25">
      <c r="A26" s="93" t="s">
        <v>398</v>
      </c>
      <c r="B26" s="160">
        <v>54.066957499999994</v>
      </c>
      <c r="C26" s="160">
        <v>56.600070180000003</v>
      </c>
      <c r="D26" s="160">
        <v>57.549399999999999</v>
      </c>
      <c r="E26" s="159">
        <f t="shared" si="2"/>
        <v>101.677259086395</v>
      </c>
      <c r="F26" s="160">
        <v>58.427799999999998</v>
      </c>
      <c r="G26" s="160">
        <f t="shared" si="3"/>
        <v>101.52634084803664</v>
      </c>
      <c r="H26" s="160">
        <v>60.521000000000001</v>
      </c>
      <c r="I26" s="161">
        <f t="shared" si="4"/>
        <v>103.58254118758536</v>
      </c>
      <c r="J26" s="158"/>
      <c r="M26" s="162"/>
    </row>
    <row r="27" spans="1:13" x14ac:dyDescent="0.25">
      <c r="A27" s="93" t="s">
        <v>529</v>
      </c>
      <c r="B27" s="160"/>
      <c r="C27" s="160"/>
      <c r="D27" s="160">
        <v>2</v>
      </c>
      <c r="E27" s="159" t="s">
        <v>530</v>
      </c>
      <c r="F27" s="160">
        <v>0.45</v>
      </c>
      <c r="G27" s="160">
        <f t="shared" si="3"/>
        <v>22.5</v>
      </c>
      <c r="H27" s="160"/>
      <c r="I27" s="161">
        <f t="shared" si="4"/>
        <v>0</v>
      </c>
      <c r="J27" s="158"/>
      <c r="M27" s="162"/>
    </row>
    <row r="28" spans="1:13" x14ac:dyDescent="0.25">
      <c r="A28" s="93" t="s">
        <v>399</v>
      </c>
      <c r="B28" s="160">
        <v>1148.8645720699999</v>
      </c>
      <c r="C28" s="160">
        <v>946.24440000000004</v>
      </c>
      <c r="D28" s="160">
        <v>941.87779999999998</v>
      </c>
      <c r="E28" s="159">
        <f t="shared" si="2"/>
        <v>99.538533596605689</v>
      </c>
      <c r="F28" s="160">
        <v>965.17970000000003</v>
      </c>
      <c r="G28" s="160">
        <f t="shared" si="3"/>
        <v>102.47398335537797</v>
      </c>
      <c r="H28" s="160">
        <v>968.26909999999998</v>
      </c>
      <c r="I28" s="161">
        <f t="shared" si="4"/>
        <v>100.32008547216647</v>
      </c>
      <c r="J28" s="158"/>
      <c r="M28" s="162"/>
    </row>
    <row r="29" spans="1:13" x14ac:dyDescent="0.25">
      <c r="A29" s="93" t="s">
        <v>400</v>
      </c>
      <c r="B29" s="160">
        <v>137.18672818000002</v>
      </c>
      <c r="C29" s="160">
        <v>144.29567415</v>
      </c>
      <c r="D29" s="160">
        <v>197.0497</v>
      </c>
      <c r="E29" s="159">
        <f t="shared" si="2"/>
        <v>136.55967246472025</v>
      </c>
      <c r="F29" s="160">
        <v>98.781400000000005</v>
      </c>
      <c r="G29" s="160">
        <f t="shared" si="3"/>
        <v>50.130195580099844</v>
      </c>
      <c r="H29" s="160">
        <v>79.020600000000002</v>
      </c>
      <c r="I29" s="161">
        <f t="shared" si="4"/>
        <v>79.995424239786033</v>
      </c>
      <c r="J29" s="158"/>
      <c r="M29" s="162"/>
    </row>
    <row r="30" spans="1:13" x14ac:dyDescent="0.25">
      <c r="A30" s="93" t="s">
        <v>401</v>
      </c>
      <c r="B30" s="160">
        <v>831.27661924000006</v>
      </c>
      <c r="C30" s="160">
        <v>1014.0436</v>
      </c>
      <c r="D30" s="160">
        <v>1092.0853999999999</v>
      </c>
      <c r="E30" s="159">
        <f t="shared" si="2"/>
        <v>107.6960990631961</v>
      </c>
      <c r="F30" s="160">
        <v>1067.5334</v>
      </c>
      <c r="G30" s="160">
        <f t="shared" si="3"/>
        <v>97.751824170527328</v>
      </c>
      <c r="H30" s="160">
        <v>1102.3105</v>
      </c>
      <c r="I30" s="161">
        <f t="shared" si="4"/>
        <v>103.25770603523974</v>
      </c>
      <c r="J30" s="158"/>
      <c r="M30" s="162"/>
    </row>
    <row r="31" spans="1:13" x14ac:dyDescent="0.25">
      <c r="A31" s="93" t="s">
        <v>402</v>
      </c>
      <c r="B31" s="160">
        <v>541.16208886000004</v>
      </c>
      <c r="C31" s="160">
        <v>1203.6577333</v>
      </c>
      <c r="D31" s="160">
        <v>2015.2361000000001</v>
      </c>
      <c r="E31" s="159">
        <f t="shared" si="2"/>
        <v>167.42600859423234</v>
      </c>
      <c r="F31" s="160">
        <v>2002.4781</v>
      </c>
      <c r="G31" s="160">
        <f t="shared" si="3"/>
        <v>99.3669228136594</v>
      </c>
      <c r="H31" s="160">
        <v>812.89359999999999</v>
      </c>
      <c r="I31" s="161">
        <f t="shared" si="4"/>
        <v>40.594381531563315</v>
      </c>
      <c r="J31" s="158"/>
      <c r="M31" s="162"/>
    </row>
    <row r="32" spans="1:13" x14ac:dyDescent="0.25">
      <c r="A32" s="93" t="s">
        <v>403</v>
      </c>
      <c r="B32" s="160">
        <v>5453.6859192899992</v>
      </c>
      <c r="C32" s="160">
        <v>4947.2352556100004</v>
      </c>
      <c r="D32" s="160">
        <v>5309.4825000000001</v>
      </c>
      <c r="E32" s="159">
        <f t="shared" si="2"/>
        <v>107.32221585741699</v>
      </c>
      <c r="F32" s="160">
        <v>6968.2587000000003</v>
      </c>
      <c r="G32" s="160">
        <f t="shared" si="3"/>
        <v>131.24176791240956</v>
      </c>
      <c r="H32" s="160">
        <v>8838.5972999999994</v>
      </c>
      <c r="I32" s="161">
        <f t="shared" si="4"/>
        <v>126.84083184225061</v>
      </c>
      <c r="J32" s="158"/>
      <c r="M32" s="162"/>
    </row>
    <row r="33" spans="1:13" x14ac:dyDescent="0.25">
      <c r="A33" s="93" t="s">
        <v>404</v>
      </c>
      <c r="B33" s="160">
        <v>32.115930200000001</v>
      </c>
      <c r="C33" s="160">
        <v>33.509399999999999</v>
      </c>
      <c r="D33" s="160">
        <v>33.295400000000001</v>
      </c>
      <c r="E33" s="159">
        <f t="shared" si="2"/>
        <v>99.361373226617005</v>
      </c>
      <c r="F33" s="160">
        <v>34.524999999999999</v>
      </c>
      <c r="G33" s="160">
        <f t="shared" si="3"/>
        <v>103.6930026370009</v>
      </c>
      <c r="H33" s="160">
        <v>35.756799999999998</v>
      </c>
      <c r="I33" s="161">
        <f t="shared" si="4"/>
        <v>103.56784938450399</v>
      </c>
      <c r="J33" s="158"/>
      <c r="M33" s="162"/>
    </row>
    <row r="34" spans="1:13" ht="26.4" x14ac:dyDescent="0.25">
      <c r="A34" s="93" t="s">
        <v>405</v>
      </c>
      <c r="B34" s="160">
        <v>0.96499999999999997</v>
      </c>
      <c r="C34" s="160">
        <v>0.95569999999999999</v>
      </c>
      <c r="D34" s="160">
        <v>1.2703</v>
      </c>
      <c r="E34" s="159">
        <f t="shared" si="2"/>
        <v>132.91827979491472</v>
      </c>
      <c r="F34" s="160">
        <v>1.2703</v>
      </c>
      <c r="G34" s="160">
        <f t="shared" si="3"/>
        <v>100</v>
      </c>
      <c r="H34" s="160">
        <v>1.2703</v>
      </c>
      <c r="I34" s="161">
        <f t="shared" si="4"/>
        <v>100</v>
      </c>
      <c r="J34" s="158"/>
      <c r="M34" s="162"/>
    </row>
    <row r="35" spans="1:13" ht="26.4" x14ac:dyDescent="0.25">
      <c r="A35" s="93" t="s">
        <v>406</v>
      </c>
      <c r="B35" s="160">
        <v>530.04246318999992</v>
      </c>
      <c r="C35" s="160">
        <v>332.72180694999997</v>
      </c>
      <c r="D35" s="160">
        <v>494.61040000000003</v>
      </c>
      <c r="E35" s="159">
        <f t="shared" si="2"/>
        <v>148.65584090625234</v>
      </c>
      <c r="F35" s="160">
        <v>485.09370000000001</v>
      </c>
      <c r="G35" s="160">
        <f t="shared" si="3"/>
        <v>98.07591995639396</v>
      </c>
      <c r="H35" s="160">
        <v>361.21870000000001</v>
      </c>
      <c r="I35" s="161">
        <f t="shared" si="4"/>
        <v>74.463696395150052</v>
      </c>
      <c r="J35" s="158"/>
      <c r="M35" s="162"/>
    </row>
    <row r="36" spans="1:13" x14ac:dyDescent="0.25">
      <c r="A36" s="16" t="s">
        <v>407</v>
      </c>
      <c r="B36" s="160">
        <f>SUM(B37:B40)</f>
        <v>7696.5836571500004</v>
      </c>
      <c r="C36" s="160">
        <f t="shared" ref="C36:H36" si="8">SUM(C37:C40)</f>
        <v>5085.2833147299998</v>
      </c>
      <c r="D36" s="160">
        <f t="shared" si="8"/>
        <v>4201.9611000000004</v>
      </c>
      <c r="E36" s="159">
        <f t="shared" si="2"/>
        <v>82.629832792769406</v>
      </c>
      <c r="F36" s="160">
        <f t="shared" si="8"/>
        <v>4227.2936</v>
      </c>
      <c r="G36" s="160">
        <f t="shared" si="3"/>
        <v>100.60287326315323</v>
      </c>
      <c r="H36" s="160">
        <f t="shared" si="8"/>
        <v>4378.9059000000007</v>
      </c>
      <c r="I36" s="161">
        <f t="shared" si="4"/>
        <v>103.58650981800746</v>
      </c>
      <c r="J36" s="158">
        <f t="shared" si="0"/>
        <v>883.32221472999936</v>
      </c>
      <c r="K36" s="153">
        <f t="shared" si="1"/>
        <v>17.370167207230594</v>
      </c>
      <c r="M36" s="162"/>
    </row>
    <row r="37" spans="1:13" x14ac:dyDescent="0.25">
      <c r="A37" s="93" t="s">
        <v>408</v>
      </c>
      <c r="B37" s="160">
        <v>3301.9308814499996</v>
      </c>
      <c r="C37" s="160">
        <v>1096.9156145699999</v>
      </c>
      <c r="D37" s="160">
        <v>318.08850000000001</v>
      </c>
      <c r="E37" s="159">
        <f t="shared" si="2"/>
        <v>28.998447626683969</v>
      </c>
      <c r="F37" s="160">
        <v>337.37130000000002</v>
      </c>
      <c r="G37" s="160">
        <f t="shared" si="3"/>
        <v>106.06208649479628</v>
      </c>
      <c r="H37" s="160">
        <v>393.62270000000001</v>
      </c>
      <c r="I37" s="161">
        <f t="shared" si="4"/>
        <v>116.67343961978982</v>
      </c>
      <c r="J37" s="158"/>
      <c r="M37" s="162"/>
    </row>
    <row r="38" spans="1:13" x14ac:dyDescent="0.25">
      <c r="A38" s="93" t="s">
        <v>409</v>
      </c>
      <c r="B38" s="160">
        <v>4054.6769314100002</v>
      </c>
      <c r="C38" s="160">
        <v>3621.4510381599998</v>
      </c>
      <c r="D38" s="160">
        <v>3411.0005999999998</v>
      </c>
      <c r="E38" s="159">
        <f t="shared" si="2"/>
        <v>94.188781349176367</v>
      </c>
      <c r="F38" s="160">
        <v>3446.7020000000002</v>
      </c>
      <c r="G38" s="160">
        <f t="shared" si="3"/>
        <v>101.0466547557922</v>
      </c>
      <c r="H38" s="160">
        <v>3560.7350000000001</v>
      </c>
      <c r="I38" s="161">
        <f t="shared" si="4"/>
        <v>103.30846705053121</v>
      </c>
      <c r="J38" s="158"/>
      <c r="M38" s="162"/>
    </row>
    <row r="39" spans="1:13" x14ac:dyDescent="0.25">
      <c r="A39" s="93" t="s">
        <v>410</v>
      </c>
      <c r="B39" s="160">
        <v>287.59558992000001</v>
      </c>
      <c r="C39" s="160">
        <v>310.78526199999999</v>
      </c>
      <c r="D39" s="160">
        <v>414.91860000000003</v>
      </c>
      <c r="E39" s="159">
        <f t="shared" si="2"/>
        <v>133.50652387113519</v>
      </c>
      <c r="F39" s="160">
        <v>383.14299999999997</v>
      </c>
      <c r="G39" s="160">
        <f t="shared" si="3"/>
        <v>92.341726786892636</v>
      </c>
      <c r="H39" s="160">
        <v>362.41269999999997</v>
      </c>
      <c r="I39" s="161">
        <f t="shared" si="4"/>
        <v>94.589409176208363</v>
      </c>
      <c r="J39" s="158"/>
      <c r="M39" s="162"/>
    </row>
    <row r="40" spans="1:13" ht="26.4" x14ac:dyDescent="0.25">
      <c r="A40" s="93" t="s">
        <v>411</v>
      </c>
      <c r="B40" s="160">
        <v>52.380254370000003</v>
      </c>
      <c r="C40" s="160">
        <v>56.131399999999999</v>
      </c>
      <c r="D40" s="160">
        <v>57.953400000000002</v>
      </c>
      <c r="E40" s="159">
        <f t="shared" si="2"/>
        <v>103.24595502695462</v>
      </c>
      <c r="F40" s="160">
        <v>60.077300000000001</v>
      </c>
      <c r="G40" s="160">
        <f t="shared" si="3"/>
        <v>103.66484106195668</v>
      </c>
      <c r="H40" s="160">
        <v>62.1355</v>
      </c>
      <c r="I40" s="161">
        <f t="shared" si="4"/>
        <v>103.42591960690643</v>
      </c>
      <c r="J40" s="158"/>
      <c r="M40" s="162"/>
    </row>
    <row r="41" spans="1:13" x14ac:dyDescent="0.25">
      <c r="A41" s="16" t="s">
        <v>412</v>
      </c>
      <c r="B41" s="160">
        <f>SUM(B42:B44)</f>
        <v>78.80528846</v>
      </c>
      <c r="C41" s="160">
        <f t="shared" ref="C41:F41" si="9">SUM(C42:C44)</f>
        <v>63.349203999999993</v>
      </c>
      <c r="D41" s="160">
        <f t="shared" si="9"/>
        <v>99.164999999999992</v>
      </c>
      <c r="E41" s="159">
        <f t="shared" si="2"/>
        <v>156.53708924266832</v>
      </c>
      <c r="F41" s="160">
        <f t="shared" si="9"/>
        <v>67.838700000000003</v>
      </c>
      <c r="G41" s="160">
        <f t="shared" si="3"/>
        <v>68.409922855846332</v>
      </c>
      <c r="H41" s="160">
        <f>SUM(H42:H44)</f>
        <v>69.933899999999994</v>
      </c>
      <c r="I41" s="161">
        <f t="shared" si="4"/>
        <v>103.08850258038551</v>
      </c>
      <c r="J41" s="158">
        <f t="shared" si="0"/>
        <v>-35.815795999999999</v>
      </c>
      <c r="K41" s="153">
        <f t="shared" si="1"/>
        <v>-56.537089242668316</v>
      </c>
      <c r="M41" s="162"/>
    </row>
    <row r="42" spans="1:13" ht="26.4" x14ac:dyDescent="0.25">
      <c r="A42" s="93" t="s">
        <v>413</v>
      </c>
      <c r="B42" s="160">
        <v>35.468593630000001</v>
      </c>
      <c r="C42" s="160">
        <v>37.329603999999996</v>
      </c>
      <c r="D42" s="160">
        <v>51.527900000000002</v>
      </c>
      <c r="E42" s="159">
        <f t="shared" si="2"/>
        <v>138.03494941976885</v>
      </c>
      <c r="F42" s="160">
        <v>40.585999999999999</v>
      </c>
      <c r="G42" s="160">
        <f t="shared" si="3"/>
        <v>78.765096190607409</v>
      </c>
      <c r="H42" s="160">
        <v>42.447400000000002</v>
      </c>
      <c r="I42" s="161">
        <f t="shared" si="4"/>
        <v>104.58631055043612</v>
      </c>
      <c r="J42" s="158"/>
      <c r="M42" s="162"/>
    </row>
    <row r="43" spans="1:13" ht="26.4" x14ac:dyDescent="0.25">
      <c r="A43" s="93" t="s">
        <v>414</v>
      </c>
      <c r="B43" s="160">
        <v>6</v>
      </c>
      <c r="C43" s="160">
        <v>3</v>
      </c>
      <c r="D43" s="160"/>
      <c r="E43" s="159">
        <f t="shared" si="2"/>
        <v>0</v>
      </c>
      <c r="F43" s="160"/>
      <c r="G43" s="160" t="s">
        <v>530</v>
      </c>
      <c r="H43" s="160"/>
      <c r="I43" s="161" t="s">
        <v>530</v>
      </c>
      <c r="J43" s="158"/>
      <c r="M43" s="162"/>
    </row>
    <row r="44" spans="1:13" ht="26.4" x14ac:dyDescent="0.25">
      <c r="A44" s="93" t="s">
        <v>415</v>
      </c>
      <c r="B44" s="160">
        <v>37.336694829999999</v>
      </c>
      <c r="C44" s="160">
        <v>23.019599999999997</v>
      </c>
      <c r="D44" s="160">
        <v>47.637099999999997</v>
      </c>
      <c r="E44" s="159">
        <f t="shared" si="2"/>
        <v>206.94147595961704</v>
      </c>
      <c r="F44" s="160">
        <v>27.252700000000001</v>
      </c>
      <c r="G44" s="160">
        <f t="shared" si="3"/>
        <v>57.20898207489541</v>
      </c>
      <c r="H44" s="160">
        <v>27.486499999999999</v>
      </c>
      <c r="I44" s="161">
        <f t="shared" si="4"/>
        <v>100.85789664877241</v>
      </c>
      <c r="J44" s="158"/>
      <c r="M44" s="162"/>
    </row>
    <row r="45" spans="1:13" x14ac:dyDescent="0.25">
      <c r="A45" s="16" t="s">
        <v>416</v>
      </c>
      <c r="B45" s="160">
        <f>SUM(B46:B53)</f>
        <v>17588.689970049996</v>
      </c>
      <c r="C45" s="160">
        <f t="shared" ref="C45:H45" si="10">SUM(C46:C53)</f>
        <v>20316.235189889998</v>
      </c>
      <c r="D45" s="160">
        <f t="shared" si="10"/>
        <v>21846.457000000002</v>
      </c>
      <c r="E45" s="159">
        <f t="shared" si="2"/>
        <v>107.53201464645127</v>
      </c>
      <c r="F45" s="160">
        <f t="shared" si="10"/>
        <v>21564.813099999999</v>
      </c>
      <c r="G45" s="160">
        <f t="shared" si="3"/>
        <v>98.710802854668827</v>
      </c>
      <c r="H45" s="160">
        <f t="shared" si="10"/>
        <v>22128.2768</v>
      </c>
      <c r="I45" s="161">
        <f t="shared" si="4"/>
        <v>102.61288469038483</v>
      </c>
      <c r="J45" s="158">
        <f t="shared" si="0"/>
        <v>-1530.2218101100043</v>
      </c>
      <c r="K45" s="153">
        <f t="shared" si="1"/>
        <v>-7.5320146464512838</v>
      </c>
      <c r="M45" s="162"/>
    </row>
    <row r="46" spans="1:13" x14ac:dyDescent="0.25">
      <c r="A46" s="93" t="s">
        <v>417</v>
      </c>
      <c r="B46" s="160">
        <v>57.608259500000003</v>
      </c>
      <c r="C46" s="160">
        <v>823.95860927000001</v>
      </c>
      <c r="D46" s="160">
        <v>1043.0953999999999</v>
      </c>
      <c r="E46" s="159">
        <f t="shared" si="2"/>
        <v>126.59560665603675</v>
      </c>
      <c r="F46" s="160">
        <v>15.427300000000001</v>
      </c>
      <c r="G46" s="160">
        <f t="shared" si="3"/>
        <v>1.4789922379103582</v>
      </c>
      <c r="H46" s="160">
        <v>15.427300000000001</v>
      </c>
      <c r="I46" s="161">
        <f t="shared" si="4"/>
        <v>100</v>
      </c>
      <c r="J46" s="158"/>
      <c r="M46" s="162"/>
    </row>
    <row r="47" spans="1:13" x14ac:dyDescent="0.25">
      <c r="A47" s="93" t="s">
        <v>418</v>
      </c>
      <c r="B47" s="160">
        <v>13839.18788636</v>
      </c>
      <c r="C47" s="160">
        <v>15408.81045689</v>
      </c>
      <c r="D47" s="160">
        <v>16410.248800000001</v>
      </c>
      <c r="E47" s="159">
        <f t="shared" si="2"/>
        <v>106.49912818326746</v>
      </c>
      <c r="F47" s="160">
        <v>17296.903600000001</v>
      </c>
      <c r="G47" s="160">
        <f t="shared" si="3"/>
        <v>105.40305519316684</v>
      </c>
      <c r="H47" s="160">
        <v>17724.284100000001</v>
      </c>
      <c r="I47" s="161">
        <f t="shared" si="4"/>
        <v>102.47084975370969</v>
      </c>
      <c r="J47" s="158"/>
      <c r="M47" s="162"/>
    </row>
    <row r="48" spans="1:13" x14ac:dyDescent="0.25">
      <c r="A48" s="93" t="s">
        <v>419</v>
      </c>
      <c r="B48" s="160">
        <v>215.54601739</v>
      </c>
      <c r="C48" s="160">
        <v>207.09798264999998</v>
      </c>
      <c r="D48" s="160">
        <v>203.64599999999999</v>
      </c>
      <c r="E48" s="159">
        <f t="shared" si="2"/>
        <v>98.333164521532822</v>
      </c>
      <c r="F48" s="160">
        <v>200.00030000000001</v>
      </c>
      <c r="G48" s="160">
        <f t="shared" si="3"/>
        <v>98.20978560835961</v>
      </c>
      <c r="H48" s="160">
        <v>210.6908</v>
      </c>
      <c r="I48" s="161">
        <f t="shared" si="4"/>
        <v>105.34524198213701</v>
      </c>
      <c r="J48" s="158"/>
      <c r="M48" s="162"/>
    </row>
    <row r="49" spans="1:13" x14ac:dyDescent="0.25">
      <c r="A49" s="93" t="s">
        <v>420</v>
      </c>
      <c r="B49" s="160">
        <v>2202.9015027299997</v>
      </c>
      <c r="C49" s="160">
        <v>2494.55812169</v>
      </c>
      <c r="D49" s="160">
        <v>2628.1053999999999</v>
      </c>
      <c r="E49" s="159">
        <f t="shared" si="2"/>
        <v>105.35354446740752</v>
      </c>
      <c r="F49" s="160">
        <v>2658.6774999999998</v>
      </c>
      <c r="G49" s="160">
        <f t="shared" si="3"/>
        <v>101.16327526285664</v>
      </c>
      <c r="H49" s="160">
        <v>2769.5886</v>
      </c>
      <c r="I49" s="161">
        <f t="shared" si="4"/>
        <v>104.17166429550031</v>
      </c>
      <c r="J49" s="158"/>
      <c r="M49" s="162"/>
    </row>
    <row r="50" spans="1:13" ht="26.4" x14ac:dyDescent="0.25">
      <c r="A50" s="93" t="s">
        <v>421</v>
      </c>
      <c r="B50" s="160">
        <v>98.9418024</v>
      </c>
      <c r="C50" s="160">
        <v>126.54373799999999</v>
      </c>
      <c r="D50" s="160">
        <v>123.90819999999999</v>
      </c>
      <c r="E50" s="159">
        <f t="shared" si="2"/>
        <v>97.917290857964062</v>
      </c>
      <c r="F50" s="160">
        <v>115.9453</v>
      </c>
      <c r="G50" s="160">
        <f t="shared" si="3"/>
        <v>93.573548804679589</v>
      </c>
      <c r="H50" s="160">
        <v>119.3023</v>
      </c>
      <c r="I50" s="161">
        <f t="shared" si="4"/>
        <v>102.89533081547937</v>
      </c>
      <c r="J50" s="158"/>
      <c r="M50" s="162"/>
    </row>
    <row r="51" spans="1:13" x14ac:dyDescent="0.25">
      <c r="A51" s="93" t="s">
        <v>422</v>
      </c>
      <c r="B51" s="160">
        <v>459.06311846000006</v>
      </c>
      <c r="C51" s="160">
        <v>499.29854499999999</v>
      </c>
      <c r="D51" s="160">
        <v>612.92579999999998</v>
      </c>
      <c r="E51" s="159">
        <f t="shared" si="2"/>
        <v>122.75737755254224</v>
      </c>
      <c r="F51" s="160">
        <v>476.79899999999998</v>
      </c>
      <c r="G51" s="160">
        <f t="shared" si="3"/>
        <v>77.790655899947438</v>
      </c>
      <c r="H51" s="160">
        <v>479.97109999999998</v>
      </c>
      <c r="I51" s="161">
        <f t="shared" si="4"/>
        <v>100.66529082485491</v>
      </c>
      <c r="J51" s="158"/>
      <c r="M51" s="162"/>
    </row>
    <row r="52" spans="1:13" ht="26.4" x14ac:dyDescent="0.25">
      <c r="A52" s="93" t="s">
        <v>423</v>
      </c>
      <c r="B52" s="160">
        <v>3.5954002099999998</v>
      </c>
      <c r="C52" s="160">
        <v>3.62</v>
      </c>
      <c r="D52" s="160">
        <v>4.2596999999999996</v>
      </c>
      <c r="E52" s="159">
        <f t="shared" si="2"/>
        <v>117.67127071823202</v>
      </c>
      <c r="F52" s="160">
        <v>3.8031000000000001</v>
      </c>
      <c r="G52" s="160">
        <f t="shared" si="3"/>
        <v>89.280935277132201</v>
      </c>
      <c r="H52" s="160">
        <v>3.9300999999999999</v>
      </c>
      <c r="I52" s="161">
        <f t="shared" si="4"/>
        <v>103.33938103126397</v>
      </c>
      <c r="J52" s="158"/>
      <c r="M52" s="162"/>
    </row>
    <row r="53" spans="1:13" x14ac:dyDescent="0.25">
      <c r="A53" s="93" t="s">
        <v>424</v>
      </c>
      <c r="B53" s="160">
        <v>711.84598300000005</v>
      </c>
      <c r="C53" s="160">
        <v>752.34773639000002</v>
      </c>
      <c r="D53" s="160">
        <v>820.26769999999999</v>
      </c>
      <c r="E53" s="159">
        <f t="shared" si="2"/>
        <v>109.02773549049289</v>
      </c>
      <c r="F53" s="160">
        <v>797.25699999999995</v>
      </c>
      <c r="G53" s="160">
        <f t="shared" si="3"/>
        <v>97.194732890250336</v>
      </c>
      <c r="H53" s="160">
        <v>805.08249999999998</v>
      </c>
      <c r="I53" s="161">
        <f t="shared" si="4"/>
        <v>100.98155299984823</v>
      </c>
      <c r="J53" s="158"/>
      <c r="M53" s="162"/>
    </row>
    <row r="54" spans="1:13" x14ac:dyDescent="0.25">
      <c r="A54" s="16" t="s">
        <v>425</v>
      </c>
      <c r="B54" s="160">
        <f>SUM(B55:B56)</f>
        <v>1523.3833936600001</v>
      </c>
      <c r="C54" s="160">
        <f t="shared" ref="C54:H54" si="11">SUM(C55:C56)</f>
        <v>1659.1319391499999</v>
      </c>
      <c r="D54" s="160">
        <f t="shared" si="11"/>
        <v>1127.4978000000001</v>
      </c>
      <c r="E54" s="159">
        <f t="shared" si="2"/>
        <v>67.957090897643468</v>
      </c>
      <c r="F54" s="160">
        <f t="shared" si="11"/>
        <v>1004.0129000000001</v>
      </c>
      <c r="G54" s="160">
        <f t="shared" si="3"/>
        <v>89.047881069036222</v>
      </c>
      <c r="H54" s="160">
        <f t="shared" si="11"/>
        <v>1011.612</v>
      </c>
      <c r="I54" s="161">
        <f t="shared" si="4"/>
        <v>100.75687274536014</v>
      </c>
      <c r="J54" s="158">
        <f t="shared" si="0"/>
        <v>531.63413914999978</v>
      </c>
      <c r="K54" s="153">
        <f t="shared" si="1"/>
        <v>32.042909102356532</v>
      </c>
      <c r="M54" s="162"/>
    </row>
    <row r="55" spans="1:13" x14ac:dyDescent="0.25">
      <c r="A55" s="93" t="s">
        <v>426</v>
      </c>
      <c r="B55" s="160">
        <v>1480.1874850900001</v>
      </c>
      <c r="C55" s="160">
        <v>1611.6031391499998</v>
      </c>
      <c r="D55" s="160">
        <v>1085.3804</v>
      </c>
      <c r="E55" s="159">
        <f t="shared" si="2"/>
        <v>67.347870802265689</v>
      </c>
      <c r="F55" s="160">
        <v>961.33870000000002</v>
      </c>
      <c r="G55" s="160">
        <f t="shared" si="3"/>
        <v>88.57159204275294</v>
      </c>
      <c r="H55" s="160">
        <v>967.41570000000002</v>
      </c>
      <c r="I55" s="161">
        <f t="shared" si="4"/>
        <v>100.63213932820972</v>
      </c>
      <c r="J55" s="158"/>
      <c r="M55" s="162"/>
    </row>
    <row r="56" spans="1:13" ht="26.4" x14ac:dyDescent="0.25">
      <c r="A56" s="93" t="s">
        <v>427</v>
      </c>
      <c r="B56" s="160">
        <v>43.195908569999993</v>
      </c>
      <c r="C56" s="160">
        <v>47.528800000000004</v>
      </c>
      <c r="D56" s="160">
        <v>42.117400000000004</v>
      </c>
      <c r="E56" s="159">
        <f t="shared" si="2"/>
        <v>88.614482166602144</v>
      </c>
      <c r="F56" s="160">
        <v>42.674199999999999</v>
      </c>
      <c r="G56" s="160">
        <f t="shared" si="3"/>
        <v>101.32201892804397</v>
      </c>
      <c r="H56" s="160">
        <v>44.196300000000001</v>
      </c>
      <c r="I56" s="161">
        <f t="shared" si="4"/>
        <v>103.56679211326751</v>
      </c>
      <c r="J56" s="158"/>
      <c r="M56" s="162"/>
    </row>
    <row r="57" spans="1:13" x14ac:dyDescent="0.25">
      <c r="A57" s="16" t="s">
        <v>428</v>
      </c>
      <c r="B57" s="160">
        <f>SUM(B58:B64)</f>
        <v>5466.5402494300006</v>
      </c>
      <c r="C57" s="160">
        <f t="shared" ref="C57:H57" si="12">SUM(C58:C64)</f>
        <v>6485.988150449999</v>
      </c>
      <c r="D57" s="160">
        <f t="shared" si="12"/>
        <v>7181.9159999999993</v>
      </c>
      <c r="E57" s="159">
        <f t="shared" si="2"/>
        <v>110.72971201006152</v>
      </c>
      <c r="F57" s="160">
        <f t="shared" si="12"/>
        <v>6417.1187999999993</v>
      </c>
      <c r="G57" s="160">
        <f t="shared" si="3"/>
        <v>89.351070104412244</v>
      </c>
      <c r="H57" s="160">
        <f t="shared" si="12"/>
        <v>6428.2224999999999</v>
      </c>
      <c r="I57" s="161">
        <f t="shared" si="4"/>
        <v>100.17303248305143</v>
      </c>
      <c r="J57" s="158">
        <f t="shared" si="0"/>
        <v>-695.92784955000025</v>
      </c>
      <c r="K57" s="153">
        <f t="shared" si="1"/>
        <v>-10.729712010061515</v>
      </c>
      <c r="M57" s="162"/>
    </row>
    <row r="58" spans="1:13" x14ac:dyDescent="0.25">
      <c r="A58" s="93" t="s">
        <v>429</v>
      </c>
      <c r="B58" s="160">
        <v>1874.2478956000002</v>
      </c>
      <c r="C58" s="160">
        <v>2129.3012107499999</v>
      </c>
      <c r="D58" s="170">
        <v>2519.9542999999999</v>
      </c>
      <c r="E58" s="159">
        <f t="shared" si="2"/>
        <v>118.3465395725953</v>
      </c>
      <c r="F58" s="160">
        <v>2535.7574</v>
      </c>
      <c r="G58" s="160">
        <f t="shared" si="3"/>
        <v>100.62711851560167</v>
      </c>
      <c r="H58" s="160">
        <v>2671.0663</v>
      </c>
      <c r="I58" s="161">
        <f t="shared" si="4"/>
        <v>105.33603490617833</v>
      </c>
      <c r="J58" s="158"/>
      <c r="M58" s="162"/>
    </row>
    <row r="59" spans="1:13" x14ac:dyDescent="0.25">
      <c r="A59" s="93" t="s">
        <v>430</v>
      </c>
      <c r="B59" s="160">
        <v>1868.88370693</v>
      </c>
      <c r="C59" s="160">
        <v>2475.9856175600003</v>
      </c>
      <c r="D59" s="170">
        <v>2738.4027999999998</v>
      </c>
      <c r="E59" s="159">
        <f t="shared" si="2"/>
        <v>110.59849381106675</v>
      </c>
      <c r="F59" s="160">
        <v>2043.6371999999999</v>
      </c>
      <c r="G59" s="160">
        <f t="shared" si="3"/>
        <v>74.628801869469314</v>
      </c>
      <c r="H59" s="160">
        <v>1832.7882999999999</v>
      </c>
      <c r="I59" s="161">
        <f t="shared" si="4"/>
        <v>89.682664809585575</v>
      </c>
      <c r="J59" s="158"/>
      <c r="M59" s="162"/>
    </row>
    <row r="60" spans="1:13" ht="26.4" x14ac:dyDescent="0.25">
      <c r="A60" s="93" t="s">
        <v>431</v>
      </c>
      <c r="B60" s="160">
        <v>22.983700000000002</v>
      </c>
      <c r="C60" s="160">
        <v>28.890099999999997</v>
      </c>
      <c r="D60" s="170">
        <v>70.222399999999993</v>
      </c>
      <c r="E60" s="159">
        <f t="shared" si="2"/>
        <v>243.06734833039692</v>
      </c>
      <c r="F60" s="160">
        <v>28.220400000000001</v>
      </c>
      <c r="G60" s="160">
        <f t="shared" si="3"/>
        <v>40.187176741324713</v>
      </c>
      <c r="H60" s="160">
        <v>29.4192</v>
      </c>
      <c r="I60" s="161">
        <f t="shared" si="4"/>
        <v>104.24799081515499</v>
      </c>
      <c r="J60" s="158"/>
      <c r="M60" s="162"/>
    </row>
    <row r="61" spans="1:13" x14ac:dyDescent="0.25">
      <c r="A61" s="93" t="s">
        <v>432</v>
      </c>
      <c r="B61" s="160">
        <v>368.22119935000001</v>
      </c>
      <c r="C61" s="160">
        <v>483.94613551999998</v>
      </c>
      <c r="D61" s="170">
        <v>564.99030000000005</v>
      </c>
      <c r="E61" s="159">
        <f t="shared" si="2"/>
        <v>116.74652580765381</v>
      </c>
      <c r="F61" s="160">
        <v>537.66719999999998</v>
      </c>
      <c r="G61" s="160">
        <f t="shared" si="3"/>
        <v>95.163970071698571</v>
      </c>
      <c r="H61" s="160">
        <v>572.51980000000003</v>
      </c>
      <c r="I61" s="161">
        <f t="shared" si="4"/>
        <v>106.48218823837496</v>
      </c>
      <c r="J61" s="158"/>
      <c r="M61" s="162"/>
    </row>
    <row r="62" spans="1:13" x14ac:dyDescent="0.25">
      <c r="A62" s="93" t="s">
        <v>433</v>
      </c>
      <c r="B62" s="160">
        <v>190.37200887</v>
      </c>
      <c r="C62" s="160">
        <v>174.16937100000001</v>
      </c>
      <c r="D62" s="170">
        <v>178.34270000000001</v>
      </c>
      <c r="E62" s="159">
        <f t="shared" si="2"/>
        <v>102.39613255536186</v>
      </c>
      <c r="F62" s="160">
        <v>183.96340000000001</v>
      </c>
      <c r="G62" s="160">
        <f t="shared" si="3"/>
        <v>103.15162885837211</v>
      </c>
      <c r="H62" s="160">
        <v>190.54060000000001</v>
      </c>
      <c r="I62" s="161">
        <f t="shared" si="4"/>
        <v>103.57527638649862</v>
      </c>
      <c r="J62" s="158"/>
      <c r="M62" s="162"/>
    </row>
    <row r="63" spans="1:13" ht="26.4" x14ac:dyDescent="0.25">
      <c r="A63" s="93" t="s">
        <v>434</v>
      </c>
      <c r="B63" s="160">
        <v>121.41489999999999</v>
      </c>
      <c r="C63" s="160">
        <v>144.00409999999999</v>
      </c>
      <c r="D63" s="170">
        <v>149.27610000000001</v>
      </c>
      <c r="E63" s="159">
        <f t="shared" si="2"/>
        <v>103.66100687410984</v>
      </c>
      <c r="F63" s="160">
        <v>154.32400000000001</v>
      </c>
      <c r="G63" s="160">
        <f t="shared" si="3"/>
        <v>103.38158620167594</v>
      </c>
      <c r="H63" s="160">
        <v>160.27549999999999</v>
      </c>
      <c r="I63" s="161">
        <f t="shared" si="4"/>
        <v>103.856496721184</v>
      </c>
      <c r="J63" s="158"/>
      <c r="M63" s="162"/>
    </row>
    <row r="64" spans="1:13" x14ac:dyDescent="0.25">
      <c r="A64" s="93" t="s">
        <v>435</v>
      </c>
      <c r="B64" s="160">
        <v>1020.4168386800001</v>
      </c>
      <c r="C64" s="160">
        <v>1049.69161562</v>
      </c>
      <c r="D64" s="170">
        <v>960.72739999999999</v>
      </c>
      <c r="E64" s="159">
        <f t="shared" si="2"/>
        <v>91.524728377728977</v>
      </c>
      <c r="F64" s="160">
        <v>933.54920000000004</v>
      </c>
      <c r="G64" s="160">
        <f t="shared" si="3"/>
        <v>97.171080995504028</v>
      </c>
      <c r="H64" s="160">
        <v>971.61279999999999</v>
      </c>
      <c r="I64" s="161">
        <f t="shared" si="4"/>
        <v>104.07729983593794</v>
      </c>
      <c r="J64" s="158"/>
      <c r="M64" s="162"/>
    </row>
    <row r="65" spans="1:13" x14ac:dyDescent="0.25">
      <c r="A65" s="16" t="s">
        <v>436</v>
      </c>
      <c r="B65" s="160">
        <f>SUM(B66:B70)</f>
        <v>20426.024674790002</v>
      </c>
      <c r="C65" s="160">
        <f t="shared" ref="C65:H65" si="13">SUM(C66:C70)</f>
        <v>21471.558233430002</v>
      </c>
      <c r="D65" s="160">
        <f t="shared" si="13"/>
        <v>21411.870500000001</v>
      </c>
      <c r="E65" s="159">
        <f t="shared" si="2"/>
        <v>99.72201489625904</v>
      </c>
      <c r="F65" s="160">
        <f t="shared" si="13"/>
        <v>21388.179100000001</v>
      </c>
      <c r="G65" s="160">
        <f t="shared" si="3"/>
        <v>99.889353898343444</v>
      </c>
      <c r="H65" s="160">
        <f t="shared" si="13"/>
        <v>21959.463100000001</v>
      </c>
      <c r="I65" s="161">
        <f t="shared" si="4"/>
        <v>102.67102681966975</v>
      </c>
      <c r="J65" s="158"/>
      <c r="K65" s="158">
        <f>D65-C65</f>
        <v>-59.687733430000662</v>
      </c>
      <c r="L65" s="158">
        <f>K65/C65*100</f>
        <v>-0.27798510374095831</v>
      </c>
      <c r="M65" s="162"/>
    </row>
    <row r="66" spans="1:13" x14ac:dyDescent="0.25">
      <c r="A66" s="93" t="s">
        <v>437</v>
      </c>
      <c r="B66" s="160">
        <v>79.896461590000001</v>
      </c>
      <c r="C66" s="160">
        <v>75.876229999999993</v>
      </c>
      <c r="D66" s="160">
        <v>101.9254</v>
      </c>
      <c r="E66" s="159">
        <f t="shared" si="2"/>
        <v>134.33113374241182</v>
      </c>
      <c r="F66" s="160">
        <v>104.2012</v>
      </c>
      <c r="G66" s="160">
        <f t="shared" si="3"/>
        <v>102.23280948615361</v>
      </c>
      <c r="H66" s="160">
        <v>104.2602</v>
      </c>
      <c r="I66" s="161">
        <f t="shared" si="4"/>
        <v>100.05662122893017</v>
      </c>
      <c r="J66" s="158"/>
      <c r="K66" s="158"/>
      <c r="L66" s="158"/>
      <c r="M66" s="162"/>
    </row>
    <row r="67" spans="1:13" x14ac:dyDescent="0.25">
      <c r="A67" s="93" t="s">
        <v>438</v>
      </c>
      <c r="B67" s="160">
        <v>2101.23181002</v>
      </c>
      <c r="C67" s="160">
        <v>2638.4085617399996</v>
      </c>
      <c r="D67" s="160">
        <v>2801.5319</v>
      </c>
      <c r="E67" s="159">
        <f t="shared" si="2"/>
        <v>106.18264133256233</v>
      </c>
      <c r="F67" s="160">
        <v>2709.7505999999998</v>
      </c>
      <c r="G67" s="160">
        <f t="shared" si="3"/>
        <v>96.723888812402961</v>
      </c>
      <c r="H67" s="160">
        <v>2817.4881</v>
      </c>
      <c r="I67" s="161">
        <f t="shared" si="4"/>
        <v>103.97591940749086</v>
      </c>
      <c r="J67" s="158"/>
      <c r="K67" s="158"/>
      <c r="L67" s="158"/>
      <c r="M67" s="162"/>
    </row>
    <row r="68" spans="1:13" x14ac:dyDescent="0.25">
      <c r="A68" s="93" t="s">
        <v>439</v>
      </c>
      <c r="B68" s="160">
        <v>15315.33893609</v>
      </c>
      <c r="C68" s="160">
        <v>15527.878980000001</v>
      </c>
      <c r="D68" s="160">
        <v>15102.443600000001</v>
      </c>
      <c r="E68" s="159">
        <f t="shared" si="2"/>
        <v>97.260183566938124</v>
      </c>
      <c r="F68" s="160">
        <v>15467.298699999999</v>
      </c>
      <c r="G68" s="160">
        <f t="shared" si="3"/>
        <v>102.41586798576093</v>
      </c>
      <c r="H68" s="160">
        <v>15891.0247</v>
      </c>
      <c r="I68" s="161">
        <f t="shared" si="4"/>
        <v>102.73949581124984</v>
      </c>
      <c r="J68" s="158"/>
      <c r="K68" s="158"/>
      <c r="L68" s="158"/>
      <c r="M68" s="162"/>
    </row>
    <row r="69" spans="1:13" x14ac:dyDescent="0.25">
      <c r="A69" s="93" t="s">
        <v>440</v>
      </c>
      <c r="B69" s="160">
        <v>2786.4615252200001</v>
      </c>
      <c r="C69" s="160">
        <v>3078.9631239999999</v>
      </c>
      <c r="D69" s="160">
        <v>3395.0672</v>
      </c>
      <c r="E69" s="159">
        <f t="shared" si="2"/>
        <v>110.26657557331629</v>
      </c>
      <c r="F69" s="160">
        <v>3095.6893</v>
      </c>
      <c r="G69" s="160">
        <f t="shared" si="3"/>
        <v>91.181974247814594</v>
      </c>
      <c r="H69" s="160">
        <v>3135.3917999999999</v>
      </c>
      <c r="I69" s="161">
        <f t="shared" si="4"/>
        <v>101.28250919754768</v>
      </c>
      <c r="J69" s="158"/>
      <c r="K69" s="158"/>
      <c r="L69" s="158"/>
      <c r="M69" s="162"/>
    </row>
    <row r="70" spans="1:13" x14ac:dyDescent="0.25">
      <c r="A70" s="93" t="s">
        <v>441</v>
      </c>
      <c r="B70" s="160">
        <v>143.09594187000002</v>
      </c>
      <c r="C70" s="160">
        <v>150.43133768999999</v>
      </c>
      <c r="D70" s="160">
        <v>10.9024</v>
      </c>
      <c r="E70" s="159">
        <f t="shared" si="2"/>
        <v>7.2474260798418362</v>
      </c>
      <c r="F70" s="160">
        <v>11.2393</v>
      </c>
      <c r="G70" s="160">
        <f t="shared" si="3"/>
        <v>103.09014528911065</v>
      </c>
      <c r="H70" s="160">
        <v>11.298299999999999</v>
      </c>
      <c r="I70" s="161">
        <f t="shared" si="4"/>
        <v>100.52494372425329</v>
      </c>
      <c r="J70" s="158"/>
      <c r="K70" s="158"/>
      <c r="L70" s="158"/>
      <c r="M70" s="162"/>
    </row>
    <row r="71" spans="1:13" x14ac:dyDescent="0.25">
      <c r="A71" s="16" t="s">
        <v>442</v>
      </c>
      <c r="B71" s="160">
        <f>SUM(B72:B74)</f>
        <v>400.32463890000002</v>
      </c>
      <c r="C71" s="160">
        <f t="shared" ref="C71:H71" si="14">SUM(C72:C74)</f>
        <v>613.8302000000001</v>
      </c>
      <c r="D71" s="160">
        <f t="shared" si="14"/>
        <v>730.07990000000007</v>
      </c>
      <c r="E71" s="159">
        <f t="shared" si="2"/>
        <v>118.9384132615176</v>
      </c>
      <c r="F71" s="160">
        <f t="shared" si="14"/>
        <v>520.93079999999998</v>
      </c>
      <c r="G71" s="160">
        <f t="shared" si="3"/>
        <v>71.352573875818237</v>
      </c>
      <c r="H71" s="160">
        <f t="shared" si="14"/>
        <v>466.71600000000001</v>
      </c>
      <c r="I71" s="161">
        <f t="shared" si="4"/>
        <v>89.592705979373861</v>
      </c>
      <c r="J71" s="158">
        <f>C71-D71</f>
        <v>-116.24969999999996</v>
      </c>
      <c r="K71" s="153">
        <f>J71/C71*100</f>
        <v>-18.938413261517589</v>
      </c>
      <c r="M71" s="162"/>
    </row>
    <row r="72" spans="1:13" x14ac:dyDescent="0.25">
      <c r="A72" s="93" t="s">
        <v>443</v>
      </c>
      <c r="B72" s="160">
        <v>30.276050080000001</v>
      </c>
      <c r="C72" s="160">
        <v>174.8895</v>
      </c>
      <c r="D72" s="160">
        <v>238.37790000000001</v>
      </c>
      <c r="E72" s="159">
        <f t="shared" si="2"/>
        <v>136.30200783923564</v>
      </c>
      <c r="F72" s="160">
        <v>78.607299999999995</v>
      </c>
      <c r="G72" s="160">
        <f t="shared" si="3"/>
        <v>32.97591765008417</v>
      </c>
      <c r="H72" s="160">
        <v>20.567299999999999</v>
      </c>
      <c r="I72" s="161">
        <f t="shared" si="4"/>
        <v>26.164618298809401</v>
      </c>
      <c r="J72" s="158"/>
      <c r="M72" s="162"/>
    </row>
    <row r="73" spans="1:13" x14ac:dyDescent="0.25">
      <c r="A73" s="93" t="s">
        <v>444</v>
      </c>
      <c r="B73" s="160">
        <v>354.12540000000001</v>
      </c>
      <c r="C73" s="160">
        <v>423.13650000000001</v>
      </c>
      <c r="D73" s="160">
        <v>475.37810000000002</v>
      </c>
      <c r="E73" s="159">
        <f t="shared" si="2"/>
        <v>112.34627596532087</v>
      </c>
      <c r="F73" s="160">
        <v>425.37650000000002</v>
      </c>
      <c r="G73" s="160">
        <f t="shared" si="3"/>
        <v>89.481719919365247</v>
      </c>
      <c r="H73" s="160">
        <v>428.59890000000001</v>
      </c>
      <c r="I73" s="161">
        <f t="shared" si="4"/>
        <v>100.75754067279222</v>
      </c>
      <c r="J73" s="158"/>
      <c r="M73" s="162"/>
    </row>
    <row r="74" spans="1:13" ht="26.4" x14ac:dyDescent="0.25">
      <c r="A74" s="93" t="s">
        <v>445</v>
      </c>
      <c r="B74" s="160">
        <v>15.92318882</v>
      </c>
      <c r="C74" s="160">
        <v>15.804200000000002</v>
      </c>
      <c r="D74" s="160">
        <v>16.323899999999998</v>
      </c>
      <c r="E74" s="159">
        <f t="shared" si="2"/>
        <v>103.28836638361952</v>
      </c>
      <c r="F74" s="160">
        <v>16.946999999999999</v>
      </c>
      <c r="G74" s="160">
        <f t="shared" si="3"/>
        <v>103.81710253064527</v>
      </c>
      <c r="H74" s="160">
        <v>17.549800000000001</v>
      </c>
      <c r="I74" s="161">
        <f t="shared" si="4"/>
        <v>103.55697173541041</v>
      </c>
      <c r="J74" s="158"/>
      <c r="M74" s="162"/>
    </row>
    <row r="75" spans="1:13" x14ac:dyDescent="0.25">
      <c r="A75" s="16" t="s">
        <v>446</v>
      </c>
      <c r="B75" s="160">
        <f>SUM(B76:B77)</f>
        <v>95.037173800000005</v>
      </c>
      <c r="C75" s="160">
        <f t="shared" ref="C75:H75" si="15">SUM(C76:C77)</f>
        <v>75.480937000000011</v>
      </c>
      <c r="D75" s="160">
        <f t="shared" si="15"/>
        <v>86.9</v>
      </c>
      <c r="E75" s="159">
        <f t="shared" ref="E75:E83" si="16">D75/C75*100</f>
        <v>115.12840652733286</v>
      </c>
      <c r="F75" s="160">
        <f t="shared" si="15"/>
        <v>57.434600000000003</v>
      </c>
      <c r="G75" s="160">
        <f t="shared" ref="G75:G83" si="17">F75/D75*100</f>
        <v>66.092750287686997</v>
      </c>
      <c r="H75" s="160">
        <f t="shared" si="15"/>
        <v>57.959000000000003</v>
      </c>
      <c r="I75" s="161">
        <f t="shared" ref="I75:I84" si="18">H75/F75*100</f>
        <v>100.91303848202999</v>
      </c>
      <c r="J75" s="158">
        <f>C75-D75</f>
        <v>-11.419062999999994</v>
      </c>
      <c r="K75" s="153">
        <f>J75/C75*100</f>
        <v>-15.128406527332844</v>
      </c>
      <c r="M75" s="162"/>
    </row>
    <row r="76" spans="1:13" x14ac:dyDescent="0.25">
      <c r="A76" s="93" t="s">
        <v>447</v>
      </c>
      <c r="B76" s="160">
        <v>71.803460000000001</v>
      </c>
      <c r="C76" s="160">
        <v>75.480937000000011</v>
      </c>
      <c r="D76" s="160">
        <v>86.9</v>
      </c>
      <c r="E76" s="159">
        <f t="shared" si="16"/>
        <v>115.12840652733286</v>
      </c>
      <c r="F76" s="160">
        <v>57.434600000000003</v>
      </c>
      <c r="G76" s="160">
        <f t="shared" si="17"/>
        <v>66.092750287686997</v>
      </c>
      <c r="H76" s="160">
        <v>57.959000000000003</v>
      </c>
      <c r="I76" s="161">
        <f t="shared" si="18"/>
        <v>100.91303848202999</v>
      </c>
      <c r="J76" s="158"/>
      <c r="M76" s="162"/>
    </row>
    <row r="77" spans="1:13" ht="26.4" x14ac:dyDescent="0.25">
      <c r="A77" s="93" t="s">
        <v>448</v>
      </c>
      <c r="B77" s="160">
        <v>23.2337138</v>
      </c>
      <c r="C77" s="160"/>
      <c r="D77" s="160"/>
      <c r="E77" s="159" t="s">
        <v>530</v>
      </c>
      <c r="F77" s="160"/>
      <c r="G77" s="160" t="s">
        <v>530</v>
      </c>
      <c r="H77" s="160"/>
      <c r="I77" s="161" t="s">
        <v>530</v>
      </c>
      <c r="J77" s="158"/>
      <c r="M77" s="162"/>
    </row>
    <row r="78" spans="1:13" ht="26.4" x14ac:dyDescent="0.25">
      <c r="A78" s="16" t="s">
        <v>449</v>
      </c>
      <c r="B78" s="160">
        <f>+B79</f>
        <v>1595.96193735</v>
      </c>
      <c r="C78" s="160">
        <f t="shared" ref="C78:H78" si="19">+C79</f>
        <v>1590.8408999999999</v>
      </c>
      <c r="D78" s="160">
        <f t="shared" si="19"/>
        <v>2759.8438999999998</v>
      </c>
      <c r="E78" s="159">
        <f t="shared" si="16"/>
        <v>173.48333827725952</v>
      </c>
      <c r="F78" s="160">
        <f t="shared" si="19"/>
        <v>2576.3784999999998</v>
      </c>
      <c r="G78" s="160">
        <f t="shared" si="17"/>
        <v>93.352326919649329</v>
      </c>
      <c r="H78" s="160">
        <f t="shared" si="19"/>
        <v>2466.6071000000002</v>
      </c>
      <c r="I78" s="161">
        <f t="shared" si="18"/>
        <v>95.739313924565067</v>
      </c>
      <c r="J78" s="158">
        <f>C78-D78</f>
        <v>-1169.0029999999999</v>
      </c>
      <c r="K78" s="153">
        <f>J78/C78*100</f>
        <v>-73.48333827725952</v>
      </c>
      <c r="M78" s="162"/>
    </row>
    <row r="79" spans="1:13" ht="26.4" x14ac:dyDescent="0.25">
      <c r="A79" s="93" t="s">
        <v>450</v>
      </c>
      <c r="B79" s="160">
        <v>1595.96193735</v>
      </c>
      <c r="C79" s="160">
        <v>1590.8408999999999</v>
      </c>
      <c r="D79" s="160">
        <v>2759.8438999999998</v>
      </c>
      <c r="E79" s="159">
        <f t="shared" si="16"/>
        <v>173.48333827725952</v>
      </c>
      <c r="F79" s="160">
        <v>2576.3784999999998</v>
      </c>
      <c r="G79" s="160">
        <f t="shared" si="17"/>
        <v>93.352326919649329</v>
      </c>
      <c r="H79" s="160">
        <v>2466.6071000000002</v>
      </c>
      <c r="I79" s="161">
        <f t="shared" si="18"/>
        <v>95.739313924565067</v>
      </c>
      <c r="J79" s="158"/>
      <c r="M79" s="162"/>
    </row>
    <row r="80" spans="1:13" ht="39.6" x14ac:dyDescent="0.25">
      <c r="A80" s="16" t="s">
        <v>451</v>
      </c>
      <c r="B80" s="160">
        <f>SUM(B81:B83)</f>
        <v>3336.6743012300003</v>
      </c>
      <c r="C80" s="160">
        <f t="shared" ref="C80:H80" si="20">SUM(C81:C83)</f>
        <v>4297.2849999999999</v>
      </c>
      <c r="D80" s="160">
        <f t="shared" si="20"/>
        <v>5803.1378000000004</v>
      </c>
      <c r="E80" s="159">
        <f t="shared" si="16"/>
        <v>135.04195788736376</v>
      </c>
      <c r="F80" s="160">
        <f t="shared" si="20"/>
        <v>3977.7957999999999</v>
      </c>
      <c r="G80" s="160">
        <f t="shared" si="17"/>
        <v>68.545603035654253</v>
      </c>
      <c r="H80" s="160">
        <f t="shared" si="20"/>
        <v>4877.8638000000001</v>
      </c>
      <c r="I80" s="161">
        <f t="shared" si="18"/>
        <v>122.6273053031028</v>
      </c>
      <c r="J80" s="158">
        <f>C80-D80</f>
        <v>-1505.8528000000006</v>
      </c>
      <c r="K80" s="153">
        <f>J80/C80*100</f>
        <v>-35.041957887363779</v>
      </c>
      <c r="M80" s="162"/>
    </row>
    <row r="81" spans="1:13" ht="39.6" x14ac:dyDescent="0.25">
      <c r="A81" s="93" t="s">
        <v>452</v>
      </c>
      <c r="B81" s="160">
        <v>1303.4321</v>
      </c>
      <c r="C81" s="160">
        <v>1345.1326000000001</v>
      </c>
      <c r="D81" s="160">
        <v>1353.9517000000001</v>
      </c>
      <c r="E81" s="159">
        <f t="shared" si="16"/>
        <v>100.65563053040272</v>
      </c>
      <c r="F81" s="160">
        <v>1461.8744999999999</v>
      </c>
      <c r="G81" s="160">
        <f t="shared" si="17"/>
        <v>107.97094903754689</v>
      </c>
      <c r="H81" s="160">
        <v>1535.6484</v>
      </c>
      <c r="I81" s="161">
        <f t="shared" si="18"/>
        <v>105.04652759180082</v>
      </c>
      <c r="J81" s="158"/>
      <c r="M81" s="162"/>
    </row>
    <row r="82" spans="1:13" x14ac:dyDescent="0.25">
      <c r="A82" s="93" t="s">
        <v>453</v>
      </c>
      <c r="B82" s="160">
        <v>229.42746966000001</v>
      </c>
      <c r="C82" s="160">
        <v>168.76400000000001</v>
      </c>
      <c r="D82" s="160">
        <v>160.21299999999999</v>
      </c>
      <c r="E82" s="159">
        <f t="shared" si="16"/>
        <v>94.933161100708674</v>
      </c>
      <c r="F82" s="160">
        <v>132.696</v>
      </c>
      <c r="G82" s="160">
        <f t="shared" si="17"/>
        <v>82.824739565453484</v>
      </c>
      <c r="H82" s="160">
        <v>129.958</v>
      </c>
      <c r="I82" s="161">
        <f t="shared" si="18"/>
        <v>97.936637125459697</v>
      </c>
      <c r="J82" s="158"/>
      <c r="M82" s="162"/>
    </row>
    <row r="83" spans="1:13" ht="26.4" x14ac:dyDescent="0.25">
      <c r="A83" s="93" t="s">
        <v>454</v>
      </c>
      <c r="B83" s="160">
        <v>1803.81473157</v>
      </c>
      <c r="C83" s="160">
        <v>2783.3883999999998</v>
      </c>
      <c r="D83" s="160">
        <v>4288.9731000000002</v>
      </c>
      <c r="E83" s="159">
        <f t="shared" si="16"/>
        <v>154.0917932976943</v>
      </c>
      <c r="F83" s="160">
        <v>2383.2253000000001</v>
      </c>
      <c r="G83" s="160">
        <f t="shared" si="17"/>
        <v>55.566338245394917</v>
      </c>
      <c r="H83" s="160">
        <v>3212.2574</v>
      </c>
      <c r="I83" s="161">
        <f t="shared" si="18"/>
        <v>134.78614044589071</v>
      </c>
      <c r="J83" s="158"/>
      <c r="M83" s="162"/>
    </row>
    <row r="84" spans="1:13" x14ac:dyDescent="0.25">
      <c r="A84" s="16" t="s">
        <v>66</v>
      </c>
      <c r="B84" s="160"/>
      <c r="C84" s="160"/>
      <c r="D84" s="160"/>
      <c r="E84" s="160"/>
      <c r="F84" s="160">
        <v>2119.107</v>
      </c>
      <c r="G84" s="160" t="s">
        <v>530</v>
      </c>
      <c r="H84" s="160">
        <v>4132.8869999999997</v>
      </c>
      <c r="I84" s="161">
        <f t="shared" si="18"/>
        <v>195.02965164099783</v>
      </c>
      <c r="J84" s="158">
        <f>C84-D84</f>
        <v>0</v>
      </c>
      <c r="M84" s="162"/>
    </row>
    <row r="85" spans="1:13" x14ac:dyDescent="0.25">
      <c r="A85" s="17" t="s">
        <v>67</v>
      </c>
      <c r="B85" s="81">
        <f>+B9+B19+B21+B24+B36+B41+B45+B54+B57+B65+B71+B75+B78+B80+B84</f>
        <v>70714.840973369995</v>
      </c>
      <c r="C85" s="81">
        <f t="shared" ref="C85:H85" si="21">+C9+C19+C21+C24+C36+C41+C45+C54+C57+C65+C71+C75+C78+C80+C84</f>
        <v>75469.924425839999</v>
      </c>
      <c r="D85" s="81">
        <f t="shared" si="21"/>
        <v>80735.744299999991</v>
      </c>
      <c r="E85" s="82">
        <f>D85/C85*100</f>
        <v>106.97737531105443</v>
      </c>
      <c r="F85" s="81">
        <f t="shared" si="21"/>
        <v>80137.229700000011</v>
      </c>
      <c r="G85" s="83">
        <f>F85/D85*100</f>
        <v>99.258674574453664</v>
      </c>
      <c r="H85" s="81">
        <f t="shared" si="21"/>
        <v>84672.515100000004</v>
      </c>
      <c r="I85" s="84">
        <f>H85/F85*100</f>
        <v>105.65939878004042</v>
      </c>
      <c r="J85" s="85">
        <f>SUM(J9:J84)</f>
        <v>-5325.507607590006</v>
      </c>
      <c r="K85" s="86">
        <f>SUM(K9:K84)</f>
        <v>-287.82833244769927</v>
      </c>
    </row>
    <row r="86" spans="1:13" x14ac:dyDescent="0.25">
      <c r="A86" s="16" t="s">
        <v>68</v>
      </c>
      <c r="B86" s="163"/>
      <c r="C86" s="163"/>
      <c r="D86" s="163"/>
      <c r="E86" s="163"/>
      <c r="F86" s="163"/>
      <c r="G86" s="163"/>
      <c r="H86" s="163"/>
      <c r="I86" s="164"/>
      <c r="J86" s="158">
        <f>J85+K85</f>
        <v>-5613.3359400377049</v>
      </c>
    </row>
    <row r="87" spans="1:13" x14ac:dyDescent="0.25">
      <c r="A87" s="18" t="s">
        <v>69</v>
      </c>
      <c r="B87" s="163">
        <f>B45+B54+B57+B65+B71</f>
        <v>45404.96292682999</v>
      </c>
      <c r="C87" s="163">
        <f>C45+C54+C57+C65+C71</f>
        <v>50546.743712919997</v>
      </c>
      <c r="D87" s="163">
        <f>D45+D54+D57+D65+D71</f>
        <v>52297.821200000006</v>
      </c>
      <c r="E87" s="159">
        <f>D87/C87*100</f>
        <v>103.46427357818587</v>
      </c>
      <c r="F87" s="163">
        <f>F45+F54+F57+F65+F71</f>
        <v>50895.054700000008</v>
      </c>
      <c r="G87" s="160">
        <f>F87/D87*100</f>
        <v>97.317734338041603</v>
      </c>
      <c r="H87" s="163">
        <f>H45+H54+H57+H65+H71</f>
        <v>51994.290399999998</v>
      </c>
      <c r="I87" s="161">
        <f>H87/F87*100</f>
        <v>102.15980846563465</v>
      </c>
      <c r="J87" s="165">
        <f>J86/C85*100</f>
        <v>-7.4378449200033465</v>
      </c>
    </row>
    <row r="88" spans="1:13" x14ac:dyDescent="0.25">
      <c r="A88" s="16" t="s">
        <v>70</v>
      </c>
      <c r="B88" s="163">
        <f>B87/B85*100</f>
        <v>64.208534307428806</v>
      </c>
      <c r="C88" s="163">
        <f t="shared" ref="C88:H88" si="22">C87/C85*100</f>
        <v>66.97600944676897</v>
      </c>
      <c r="D88" s="163">
        <f t="shared" si="22"/>
        <v>64.776539379720575</v>
      </c>
      <c r="E88" s="163"/>
      <c r="F88" s="163">
        <f t="shared" si="22"/>
        <v>63.509875360715149</v>
      </c>
      <c r="G88" s="163"/>
      <c r="H88" s="163">
        <f t="shared" si="22"/>
        <v>61.406337509395648</v>
      </c>
      <c r="I88" s="164"/>
      <c r="J88" s="165">
        <f>J85/C85*100</f>
        <v>-7.0564634165270421</v>
      </c>
    </row>
    <row r="89" spans="1:13" x14ac:dyDescent="0.25">
      <c r="A89" s="166" t="s">
        <v>71</v>
      </c>
      <c r="B89" s="163">
        <f>B24+B36</f>
        <v>16941.894382719998</v>
      </c>
      <c r="C89" s="163">
        <f>C24+C36</f>
        <v>14321.261445880002</v>
      </c>
      <c r="D89" s="163">
        <f>D24+D36</f>
        <v>14939.582000000002</v>
      </c>
      <c r="E89" s="163">
        <f>D89/C89*100</f>
        <v>104.31750063677443</v>
      </c>
      <c r="F89" s="163">
        <f>F24+F36</f>
        <v>16508.217000000001</v>
      </c>
      <c r="G89" s="163">
        <f>F89/D89*100</f>
        <v>110.4998586975191</v>
      </c>
      <c r="H89" s="163">
        <f>H24+H36</f>
        <v>17251.353899999998</v>
      </c>
      <c r="I89" s="164">
        <f>H89/F89*100</f>
        <v>104.5016181941393</v>
      </c>
      <c r="J89" s="158">
        <f>J88+L65</f>
        <v>-7.3344485202680003</v>
      </c>
    </row>
    <row r="90" spans="1:13" ht="13.8" thickBot="1" x14ac:dyDescent="0.3">
      <c r="A90" s="19" t="s">
        <v>70</v>
      </c>
      <c r="B90" s="167">
        <f>B89/B85*100</f>
        <v>23.95804635847237</v>
      </c>
      <c r="C90" s="167">
        <f t="shared" ref="C90:H90" si="23">C89/C85*100</f>
        <v>18.976117380311798</v>
      </c>
      <c r="D90" s="167">
        <f t="shared" si="23"/>
        <v>18.504297110939007</v>
      </c>
      <c r="E90" s="167"/>
      <c r="F90" s="167">
        <f t="shared" si="23"/>
        <v>20.599934714239314</v>
      </c>
      <c r="G90" s="167"/>
      <c r="H90" s="167">
        <f t="shared" si="23"/>
        <v>20.374207474085058</v>
      </c>
      <c r="I90" s="168"/>
    </row>
    <row r="91" spans="1:13" ht="13.8" thickTop="1" x14ac:dyDescent="0.25">
      <c r="D91" s="158"/>
      <c r="F91" s="158"/>
      <c r="H91" s="158"/>
    </row>
    <row r="92" spans="1:13" x14ac:dyDescent="0.25">
      <c r="B92" s="158"/>
      <c r="C92" s="158"/>
      <c r="D92" s="158"/>
      <c r="E92" s="158"/>
    </row>
    <row r="93" spans="1:13" x14ac:dyDescent="0.25">
      <c r="B93" s="158"/>
      <c r="C93" s="158"/>
      <c r="D93" s="158"/>
      <c r="E93" s="158"/>
    </row>
    <row r="94" spans="1:13" x14ac:dyDescent="0.25">
      <c r="E94" s="158"/>
    </row>
  </sheetData>
  <mergeCells count="5">
    <mergeCell ref="A3:I3"/>
    <mergeCell ref="A6:A7"/>
    <mergeCell ref="B6:B7"/>
    <mergeCell ref="C6:C7"/>
    <mergeCell ref="D6:I6"/>
  </mergeCells>
  <pageMargins left="0.39370078740157483" right="0.39370078740157483" top="0.78740157480314965" bottom="0.59055118110236227" header="0.31496062992125984" footer="0.31496062992125984"/>
  <pageSetup paperSize="9" fitToHeight="0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40"/>
  <sheetViews>
    <sheetView topLeftCell="A4" zoomScale="115" zoomScaleNormal="115" workbookViewId="0">
      <pane xSplit="3" ySplit="5" topLeftCell="S9" activePane="bottomRight" state="frozen"/>
      <selection activeCell="A4" sqref="A4"/>
      <selection pane="topRight" activeCell="D4" sqref="D4"/>
      <selection pane="bottomLeft" activeCell="A9" sqref="A9"/>
      <selection pane="bottomRight" activeCell="T11" sqref="T11"/>
    </sheetView>
  </sheetViews>
  <sheetFormatPr defaultColWidth="9.109375" defaultRowHeight="13.2" x14ac:dyDescent="0.3"/>
  <cols>
    <col min="1" max="1" width="48.44140625" style="171" customWidth="1"/>
    <col min="2" max="2" width="4.109375" style="171" customWidth="1"/>
    <col min="3" max="3" width="4.88671875" style="171" customWidth="1"/>
    <col min="4" max="4" width="7.6640625" style="172" bestFit="1" customWidth="1"/>
    <col min="5" max="5" width="10.44140625" style="172" customWidth="1"/>
    <col min="6" max="7" width="9.109375" style="172" customWidth="1"/>
    <col min="8" max="8" width="7.6640625" style="172" hidden="1" customWidth="1"/>
    <col min="9" max="11" width="9.109375" style="172" hidden="1" customWidth="1"/>
    <col min="12" max="12" width="7.6640625" style="172" bestFit="1" customWidth="1"/>
    <col min="13" max="13" width="10.44140625" style="172" customWidth="1"/>
    <col min="14" max="15" width="9.109375" style="172" customWidth="1"/>
    <col min="16" max="16" width="7.6640625" style="172" bestFit="1" customWidth="1"/>
    <col min="17" max="17" width="10.109375" style="172" customWidth="1"/>
    <col min="18" max="19" width="9.109375" style="172"/>
    <col min="20" max="20" width="7.6640625" style="172" bestFit="1" customWidth="1"/>
    <col min="21" max="21" width="10.88671875" style="172" customWidth="1"/>
    <col min="22" max="23" width="9.109375" style="172"/>
    <col min="24" max="24" width="7.6640625" style="172" bestFit="1" customWidth="1"/>
    <col min="25" max="25" width="10.5546875" style="172" customWidth="1"/>
    <col min="26" max="27" width="9.109375" style="172" customWidth="1"/>
    <col min="28" max="16384" width="9.109375" style="172"/>
  </cols>
  <sheetData>
    <row r="1" spans="1:44" ht="13.95" customHeight="1" x14ac:dyDescent="0.3">
      <c r="AA1" s="173" t="s">
        <v>572</v>
      </c>
    </row>
    <row r="3" spans="1:44" s="171" customFormat="1" ht="15.6" customHeight="1" x14ac:dyDescent="0.3">
      <c r="A3" s="332" t="s">
        <v>473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2"/>
      <c r="W3" s="332"/>
      <c r="X3" s="332"/>
      <c r="Y3" s="332"/>
      <c r="Z3" s="332"/>
      <c r="AA3" s="332"/>
    </row>
    <row r="4" spans="1:44" s="171" customFormat="1" ht="14.4" customHeight="1" thickBot="1" x14ac:dyDescent="0.35">
      <c r="A4" s="174"/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</row>
    <row r="5" spans="1:44" s="174" customFormat="1" ht="34.5" customHeight="1" thickTop="1" x14ac:dyDescent="0.3">
      <c r="A5" s="334" t="s">
        <v>0</v>
      </c>
      <c r="B5" s="327" t="s">
        <v>27</v>
      </c>
      <c r="C5" s="327" t="s">
        <v>28</v>
      </c>
      <c r="D5" s="329" t="s">
        <v>508</v>
      </c>
      <c r="E5" s="329"/>
      <c r="F5" s="329"/>
      <c r="G5" s="329"/>
      <c r="H5" s="329" t="s">
        <v>309</v>
      </c>
      <c r="I5" s="329"/>
      <c r="J5" s="329"/>
      <c r="K5" s="329"/>
      <c r="L5" s="329" t="s">
        <v>531</v>
      </c>
      <c r="M5" s="329"/>
      <c r="N5" s="329"/>
      <c r="O5" s="329"/>
      <c r="P5" s="329" t="s">
        <v>310</v>
      </c>
      <c r="Q5" s="329"/>
      <c r="R5" s="329"/>
      <c r="S5" s="329"/>
      <c r="T5" s="329" t="s">
        <v>311</v>
      </c>
      <c r="U5" s="329"/>
      <c r="V5" s="329"/>
      <c r="W5" s="329"/>
      <c r="X5" s="329" t="s">
        <v>509</v>
      </c>
      <c r="Y5" s="329"/>
      <c r="Z5" s="329"/>
      <c r="AA5" s="333"/>
    </row>
    <row r="6" spans="1:44" s="174" customFormat="1" x14ac:dyDescent="0.3">
      <c r="A6" s="335"/>
      <c r="B6" s="328"/>
      <c r="C6" s="328"/>
      <c r="D6" s="330" t="s">
        <v>29</v>
      </c>
      <c r="E6" s="330" t="s">
        <v>30</v>
      </c>
      <c r="F6" s="330"/>
      <c r="G6" s="330"/>
      <c r="H6" s="330" t="s">
        <v>29</v>
      </c>
      <c r="I6" s="330" t="s">
        <v>30</v>
      </c>
      <c r="J6" s="330"/>
      <c r="K6" s="330"/>
      <c r="L6" s="330" t="s">
        <v>29</v>
      </c>
      <c r="M6" s="330" t="s">
        <v>30</v>
      </c>
      <c r="N6" s="330"/>
      <c r="O6" s="330"/>
      <c r="P6" s="330" t="s">
        <v>29</v>
      </c>
      <c r="Q6" s="330" t="s">
        <v>30</v>
      </c>
      <c r="R6" s="330"/>
      <c r="S6" s="330"/>
      <c r="T6" s="330" t="s">
        <v>29</v>
      </c>
      <c r="U6" s="330" t="s">
        <v>30</v>
      </c>
      <c r="V6" s="330"/>
      <c r="W6" s="330"/>
      <c r="X6" s="330" t="s">
        <v>29</v>
      </c>
      <c r="Y6" s="330" t="s">
        <v>30</v>
      </c>
      <c r="Z6" s="330"/>
      <c r="AA6" s="331"/>
    </row>
    <row r="7" spans="1:44" s="174" customFormat="1" ht="52.8" x14ac:dyDescent="0.3">
      <c r="A7" s="335"/>
      <c r="B7" s="328"/>
      <c r="C7" s="328"/>
      <c r="D7" s="330"/>
      <c r="E7" s="175" t="s">
        <v>31</v>
      </c>
      <c r="F7" s="175" t="s">
        <v>32</v>
      </c>
      <c r="G7" s="175" t="s">
        <v>61</v>
      </c>
      <c r="H7" s="330"/>
      <c r="I7" s="175" t="s">
        <v>31</v>
      </c>
      <c r="J7" s="175" t="s">
        <v>32</v>
      </c>
      <c r="K7" s="175" t="s">
        <v>61</v>
      </c>
      <c r="L7" s="330"/>
      <c r="M7" s="175" t="s">
        <v>31</v>
      </c>
      <c r="N7" s="175" t="s">
        <v>32</v>
      </c>
      <c r="O7" s="175" t="s">
        <v>61</v>
      </c>
      <c r="P7" s="330"/>
      <c r="Q7" s="175" t="s">
        <v>31</v>
      </c>
      <c r="R7" s="175" t="s">
        <v>32</v>
      </c>
      <c r="S7" s="175" t="s">
        <v>61</v>
      </c>
      <c r="T7" s="330"/>
      <c r="U7" s="175" t="s">
        <v>31</v>
      </c>
      <c r="V7" s="175" t="s">
        <v>32</v>
      </c>
      <c r="W7" s="175" t="s">
        <v>61</v>
      </c>
      <c r="X7" s="330"/>
      <c r="Y7" s="175" t="s">
        <v>31</v>
      </c>
      <c r="Z7" s="175" t="s">
        <v>32</v>
      </c>
      <c r="AA7" s="176" t="s">
        <v>61</v>
      </c>
    </row>
    <row r="8" spans="1:44" s="171" customFormat="1" x14ac:dyDescent="0.3">
      <c r="A8" s="177" t="s">
        <v>19</v>
      </c>
      <c r="B8" s="178" t="s">
        <v>314</v>
      </c>
      <c r="C8" s="178" t="s">
        <v>315</v>
      </c>
      <c r="D8" s="179">
        <v>1</v>
      </c>
      <c r="E8" s="179">
        <v>2</v>
      </c>
      <c r="F8" s="179">
        <v>3</v>
      </c>
      <c r="G8" s="179">
        <v>4</v>
      </c>
      <c r="H8" s="179"/>
      <c r="I8" s="179"/>
      <c r="J8" s="179"/>
      <c r="K8" s="179"/>
      <c r="L8" s="179">
        <v>5</v>
      </c>
      <c r="M8" s="179">
        <v>6</v>
      </c>
      <c r="N8" s="179">
        <v>7</v>
      </c>
      <c r="O8" s="179">
        <v>8</v>
      </c>
      <c r="P8" s="179">
        <v>9</v>
      </c>
      <c r="Q8" s="179">
        <v>10</v>
      </c>
      <c r="R8" s="179">
        <v>11</v>
      </c>
      <c r="S8" s="179">
        <v>12</v>
      </c>
      <c r="T8" s="179">
        <v>13</v>
      </c>
      <c r="U8" s="179">
        <v>14</v>
      </c>
      <c r="V8" s="179">
        <v>15</v>
      </c>
      <c r="W8" s="179">
        <v>16</v>
      </c>
      <c r="X8" s="179">
        <v>17</v>
      </c>
      <c r="Y8" s="179">
        <v>18</v>
      </c>
      <c r="Z8" s="179">
        <v>19</v>
      </c>
      <c r="AA8" s="180">
        <v>20</v>
      </c>
    </row>
    <row r="9" spans="1:44" s="186" customFormat="1" x14ac:dyDescent="0.3">
      <c r="A9" s="181" t="s">
        <v>33</v>
      </c>
      <c r="B9" s="182">
        <v>1</v>
      </c>
      <c r="C9" s="182"/>
      <c r="D9" s="183">
        <f>E9+F9+G9</f>
        <v>965.85444563999988</v>
      </c>
      <c r="E9" s="183">
        <f>E10+E11+E12+E13+E14+E15+E16</f>
        <v>871.12450597999987</v>
      </c>
      <c r="F9" s="183">
        <f>F10+F11+F12+F13+F14+F15+F16</f>
        <v>93.497908310000014</v>
      </c>
      <c r="G9" s="183">
        <f>G10+G11+G12+G13+G14+G15+G16</f>
        <v>1.23203135</v>
      </c>
      <c r="H9" s="183">
        <f>H10+H11+H12+H13+H14+H15+H16</f>
        <v>942.76640000000009</v>
      </c>
      <c r="I9" s="183">
        <f>I10+I11+I12+I13+I14+I15+I16</f>
        <v>845.19190000000003</v>
      </c>
      <c r="J9" s="183">
        <f t="shared" ref="J9:S9" si="0">J10+J11+J12+J13+J14+J15+J16</f>
        <v>96.79249999999999</v>
      </c>
      <c r="K9" s="183">
        <f t="shared" si="0"/>
        <v>0.78200000000000003</v>
      </c>
      <c r="L9" s="183">
        <f t="shared" si="0"/>
        <v>1082.0213254300002</v>
      </c>
      <c r="M9" s="183">
        <f t="shared" si="0"/>
        <v>948.36012044999995</v>
      </c>
      <c r="N9" s="183">
        <f t="shared" si="0"/>
        <v>131.82935143</v>
      </c>
      <c r="O9" s="183">
        <f t="shared" si="0"/>
        <v>1.8318535499999999</v>
      </c>
      <c r="P9" s="183">
        <f>P10+P11+P12+P13+P14+P15+P16</f>
        <v>1097.7618</v>
      </c>
      <c r="Q9" s="183">
        <f>Q10+Q11+Q12+Q13+Q14+Q15+Q16</f>
        <v>969.40859999999998</v>
      </c>
      <c r="R9" s="183">
        <f t="shared" si="0"/>
        <v>127.50930000000001</v>
      </c>
      <c r="S9" s="183">
        <f t="shared" si="0"/>
        <v>0.84390000000000009</v>
      </c>
      <c r="T9" s="183">
        <f>T10+T11+T12+T13+T14+T15+T16</f>
        <v>1109.2289000000001</v>
      </c>
      <c r="U9" s="183">
        <f>U10+U11+U12+U13+U14+U15+U16</f>
        <v>1005.9489</v>
      </c>
      <c r="V9" s="183">
        <f t="shared" ref="V9:W9" si="1">V10+V11+V12+V13+V14+V15+V16</f>
        <v>102.57490000000001</v>
      </c>
      <c r="W9" s="183">
        <f t="shared" si="1"/>
        <v>0.70510000000000006</v>
      </c>
      <c r="X9" s="183">
        <f>X10+X11+X12+X13+X14+X15+X16</f>
        <v>1145.0371</v>
      </c>
      <c r="Y9" s="183">
        <f>Y10+Y11+Y12+Y13+Y14+Y15+Y16</f>
        <v>1042.7071000000001</v>
      </c>
      <c r="Z9" s="183">
        <f t="shared" ref="Z9:AA9" si="2">Z10+Z11+Z12+Z13+Z14+Z15+Z16</f>
        <v>101.5048</v>
      </c>
      <c r="AA9" s="184">
        <f t="shared" si="2"/>
        <v>0.82520000000000004</v>
      </c>
      <c r="AB9" s="185"/>
      <c r="AC9" s="185"/>
      <c r="AD9" s="185"/>
      <c r="AE9" s="185"/>
      <c r="AF9" s="185"/>
      <c r="AG9" s="185"/>
      <c r="AH9" s="185"/>
      <c r="AI9" s="185"/>
      <c r="AJ9" s="185"/>
      <c r="AK9" s="185"/>
      <c r="AL9" s="185"/>
      <c r="AM9" s="185"/>
      <c r="AN9" s="185"/>
      <c r="AO9" s="185"/>
      <c r="AP9" s="185"/>
      <c r="AQ9" s="185"/>
      <c r="AR9" s="185"/>
    </row>
    <row r="10" spans="1:44" ht="39.6" x14ac:dyDescent="0.3">
      <c r="A10" s="187" t="s">
        <v>34</v>
      </c>
      <c r="B10" s="188">
        <v>1</v>
      </c>
      <c r="C10" s="188">
        <v>2</v>
      </c>
      <c r="D10" s="189">
        <f>E10+F10+G10</f>
        <v>5.4935424399999997</v>
      </c>
      <c r="E10" s="189">
        <v>5.4935424399999997</v>
      </c>
      <c r="F10" s="189">
        <v>0</v>
      </c>
      <c r="G10" s="189">
        <v>0</v>
      </c>
      <c r="H10" s="189">
        <f>I10+J10+K10</f>
        <v>5.4971000000000005</v>
      </c>
      <c r="I10" s="189">
        <f>5497.1/1000</f>
        <v>5.4971000000000005</v>
      </c>
      <c r="J10" s="189">
        <v>0</v>
      </c>
      <c r="K10" s="189">
        <v>0</v>
      </c>
      <c r="L10" s="189">
        <f>SUM(M10:O10)</f>
        <v>6.4081999999999999</v>
      </c>
      <c r="M10" s="189">
        <v>6.4081999999999999</v>
      </c>
      <c r="N10" s="189"/>
      <c r="O10" s="189"/>
      <c r="P10" s="189">
        <f t="shared" ref="P10:P16" si="3">Q10+R10+S10</f>
        <v>6.4958</v>
      </c>
      <c r="Q10" s="189">
        <v>6.4958</v>
      </c>
      <c r="R10" s="189"/>
      <c r="S10" s="189"/>
      <c r="T10" s="189">
        <f t="shared" ref="T10:T16" si="4">U10+V10+W10</f>
        <v>6.6990999999999996</v>
      </c>
      <c r="U10" s="189">
        <v>6.6990999999999996</v>
      </c>
      <c r="V10" s="189"/>
      <c r="W10" s="189"/>
      <c r="X10" s="189">
        <f t="shared" ref="X10:X16" si="5">Y10+Z10+AA10</f>
        <v>7.016</v>
      </c>
      <c r="Y10" s="189">
        <v>7.016</v>
      </c>
      <c r="Z10" s="189"/>
      <c r="AA10" s="190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1"/>
      <c r="AO10" s="191"/>
      <c r="AP10" s="191"/>
      <c r="AQ10" s="191"/>
      <c r="AR10" s="191"/>
    </row>
    <row r="11" spans="1:44" ht="52.8" x14ac:dyDescent="0.3">
      <c r="A11" s="187" t="s">
        <v>35</v>
      </c>
      <c r="B11" s="188">
        <v>1</v>
      </c>
      <c r="C11" s="188">
        <v>3</v>
      </c>
      <c r="D11" s="189">
        <f t="shared" ref="D11:D19" si="6">E11+F11+G11</f>
        <v>161.40335166000003</v>
      </c>
      <c r="E11" s="189">
        <v>147.31206351</v>
      </c>
      <c r="F11" s="189">
        <v>14.01086735</v>
      </c>
      <c r="G11" s="189">
        <v>8.0420800000000001E-2</v>
      </c>
      <c r="H11" s="189">
        <f t="shared" ref="H11:H16" si="7">I11+J11+K11</f>
        <v>166.4502</v>
      </c>
      <c r="I11" s="192">
        <f>149826/1000</f>
        <v>149.82599999999999</v>
      </c>
      <c r="J11" s="189">
        <f>16584.5/1000</f>
        <v>16.584499999999998</v>
      </c>
      <c r="K11" s="189">
        <f>39.7/1000</f>
        <v>3.9700000000000006E-2</v>
      </c>
      <c r="L11" s="189">
        <f t="shared" ref="L11:L38" si="8">SUM(M11:O11)</f>
        <v>197.35703444000001</v>
      </c>
      <c r="M11" s="189">
        <v>164.8852</v>
      </c>
      <c r="N11" s="189">
        <v>32.157616439999998</v>
      </c>
      <c r="O11" s="189">
        <v>0.314218</v>
      </c>
      <c r="P11" s="189">
        <f t="shared" si="3"/>
        <v>165.3296</v>
      </c>
      <c r="Q11" s="189">
        <v>145.71170000000001</v>
      </c>
      <c r="R11" s="189">
        <v>19.5763</v>
      </c>
      <c r="S11" s="189">
        <v>4.1599999999999998E-2</v>
      </c>
      <c r="T11" s="189">
        <f t="shared" si="4"/>
        <v>169.15349999999998</v>
      </c>
      <c r="U11" s="189">
        <f>150330.4/1000</f>
        <v>150.3304</v>
      </c>
      <c r="V11" s="189">
        <f>18800.2/1000</f>
        <v>18.8002</v>
      </c>
      <c r="W11" s="189">
        <f>22.9/1000</f>
        <v>2.29E-2</v>
      </c>
      <c r="X11" s="189">
        <f t="shared" si="5"/>
        <v>172.55849999999998</v>
      </c>
      <c r="Y11" s="189">
        <f>154699.5/1000</f>
        <v>154.6995</v>
      </c>
      <c r="Z11" s="189">
        <f>17836.1/1000</f>
        <v>17.836099999999998</v>
      </c>
      <c r="AA11" s="193">
        <f>22.9/1000</f>
        <v>2.29E-2</v>
      </c>
      <c r="AB11" s="191"/>
      <c r="AC11" s="191"/>
      <c r="AD11" s="191"/>
      <c r="AE11" s="191"/>
      <c r="AF11" s="191"/>
      <c r="AG11" s="191"/>
      <c r="AH11" s="191"/>
      <c r="AI11" s="191"/>
      <c r="AJ11" s="191"/>
      <c r="AK11" s="191"/>
      <c r="AL11" s="191"/>
      <c r="AM11" s="191"/>
      <c r="AN11" s="191"/>
      <c r="AO11" s="191"/>
      <c r="AP11" s="191"/>
      <c r="AQ11" s="191"/>
      <c r="AR11" s="191"/>
    </row>
    <row r="12" spans="1:44" ht="52.8" x14ac:dyDescent="0.3">
      <c r="A12" s="187" t="s">
        <v>36</v>
      </c>
      <c r="B12" s="188">
        <v>1</v>
      </c>
      <c r="C12" s="188">
        <v>4</v>
      </c>
      <c r="D12" s="189">
        <f t="shared" si="6"/>
        <v>264.72791747999997</v>
      </c>
      <c r="E12" s="189">
        <v>228.94441199999997</v>
      </c>
      <c r="F12" s="189">
        <v>35.506483180000004</v>
      </c>
      <c r="G12" s="189">
        <v>0.27702230000000005</v>
      </c>
      <c r="H12" s="189">
        <f t="shared" si="7"/>
        <v>232.9092</v>
      </c>
      <c r="I12" s="189">
        <f>195858/1000</f>
        <v>195.858</v>
      </c>
      <c r="J12" s="189">
        <f>36853.2/1000</f>
        <v>36.853199999999994</v>
      </c>
      <c r="K12" s="189">
        <f>198/1000</f>
        <v>0.19800000000000001</v>
      </c>
      <c r="L12" s="189">
        <f t="shared" si="8"/>
        <v>298.23115872</v>
      </c>
      <c r="M12" s="189">
        <v>243.34162044999999</v>
      </c>
      <c r="N12" s="189">
        <v>54.11160272</v>
      </c>
      <c r="O12" s="189">
        <v>0.77793555000000003</v>
      </c>
      <c r="P12" s="189">
        <f t="shared" si="3"/>
        <v>321.59500000000003</v>
      </c>
      <c r="Q12" s="189">
        <v>261.12180000000001</v>
      </c>
      <c r="R12" s="189">
        <v>60.353200000000001</v>
      </c>
      <c r="S12" s="189">
        <v>0.12</v>
      </c>
      <c r="T12" s="189">
        <f t="shared" si="4"/>
        <v>312.89370000000002</v>
      </c>
      <c r="U12" s="189">
        <f>272337.8/1000</f>
        <v>272.33780000000002</v>
      </c>
      <c r="V12" s="189">
        <f>40435.9/1000</f>
        <v>40.435900000000004</v>
      </c>
      <c r="W12" s="189">
        <f>120/1000</f>
        <v>0.12</v>
      </c>
      <c r="X12" s="189">
        <f t="shared" si="5"/>
        <v>323.73719999999997</v>
      </c>
      <c r="Y12" s="189">
        <f>282461.6/1000</f>
        <v>282.46159999999998</v>
      </c>
      <c r="Z12" s="189">
        <f>41035.6/1000</f>
        <v>41.035599999999995</v>
      </c>
      <c r="AA12" s="190">
        <f>240/1000</f>
        <v>0.24</v>
      </c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  <c r="AL12" s="191"/>
      <c r="AM12" s="191"/>
      <c r="AN12" s="191"/>
      <c r="AO12" s="191"/>
      <c r="AP12" s="191"/>
      <c r="AQ12" s="191"/>
      <c r="AR12" s="191"/>
    </row>
    <row r="13" spans="1:44" x14ac:dyDescent="0.3">
      <c r="A13" s="187" t="s">
        <v>37</v>
      </c>
      <c r="B13" s="188">
        <v>1</v>
      </c>
      <c r="C13" s="188">
        <v>5</v>
      </c>
      <c r="D13" s="189">
        <f t="shared" si="6"/>
        <v>168.20546417999998</v>
      </c>
      <c r="E13" s="189">
        <v>158.5746762</v>
      </c>
      <c r="F13" s="189">
        <v>9.6165999800000002</v>
      </c>
      <c r="G13" s="189">
        <v>1.4188000000000001E-2</v>
      </c>
      <c r="H13" s="189">
        <f t="shared" si="7"/>
        <v>168.19130000000001</v>
      </c>
      <c r="I13" s="189">
        <f>158574.7/1000</f>
        <v>158.57470000000001</v>
      </c>
      <c r="J13" s="189">
        <f>9616.6/1000</f>
        <v>9.6166</v>
      </c>
      <c r="K13" s="189">
        <v>0</v>
      </c>
      <c r="L13" s="189">
        <f t="shared" si="8"/>
        <v>175.1001</v>
      </c>
      <c r="M13" s="189">
        <v>167.66059999999999</v>
      </c>
      <c r="N13" s="189">
        <v>7.2558999999999996</v>
      </c>
      <c r="O13" s="189">
        <v>0.18360000000000001</v>
      </c>
      <c r="P13" s="189">
        <f t="shared" si="3"/>
        <v>183.9864</v>
      </c>
      <c r="Q13" s="189">
        <v>174.9248</v>
      </c>
      <c r="R13" s="189">
        <v>8.8806999999999992</v>
      </c>
      <c r="S13" s="189">
        <v>0.18090000000000001</v>
      </c>
      <c r="T13" s="189">
        <f t="shared" si="4"/>
        <v>191.2165</v>
      </c>
      <c r="U13" s="189">
        <f>182103.7/1000</f>
        <v>182.1037</v>
      </c>
      <c r="V13" s="189">
        <f>8931.9/1000</f>
        <v>8.9318999999999988</v>
      </c>
      <c r="W13" s="189">
        <f>180.9/1000</f>
        <v>0.18090000000000001</v>
      </c>
      <c r="X13" s="189">
        <f t="shared" si="5"/>
        <v>198.2081</v>
      </c>
      <c r="Y13" s="189">
        <f>189049.7/1000</f>
        <v>189.0497</v>
      </c>
      <c r="Z13" s="189">
        <f>8977.5/1000</f>
        <v>8.9774999999999991</v>
      </c>
      <c r="AA13" s="190">
        <f>180.9/1000</f>
        <v>0.18090000000000001</v>
      </c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1"/>
      <c r="AO13" s="191"/>
      <c r="AP13" s="191"/>
      <c r="AQ13" s="191"/>
      <c r="AR13" s="191"/>
    </row>
    <row r="14" spans="1:44" ht="39.6" x14ac:dyDescent="0.3">
      <c r="A14" s="187" t="s">
        <v>38</v>
      </c>
      <c r="B14" s="188">
        <v>1</v>
      </c>
      <c r="C14" s="188">
        <v>6</v>
      </c>
      <c r="D14" s="189">
        <f t="shared" si="6"/>
        <v>123.82321812000002</v>
      </c>
      <c r="E14" s="189">
        <v>117.96098250000001</v>
      </c>
      <c r="F14" s="189">
        <v>5.4505984200000004</v>
      </c>
      <c r="G14" s="189">
        <v>0.41163719999999998</v>
      </c>
      <c r="H14" s="189">
        <f t="shared" si="7"/>
        <v>124.04209999999999</v>
      </c>
      <c r="I14" s="189">
        <f>117806/1000</f>
        <v>117.806</v>
      </c>
      <c r="J14" s="189">
        <f>6020.4/1000</f>
        <v>6.0203999999999995</v>
      </c>
      <c r="K14" s="189">
        <f>215.7/1000</f>
        <v>0.21569999999999998</v>
      </c>
      <c r="L14" s="189">
        <f t="shared" si="8"/>
        <v>137.23133227</v>
      </c>
      <c r="M14" s="189">
        <v>130.4255</v>
      </c>
      <c r="N14" s="189">
        <v>6.5928322699999997</v>
      </c>
      <c r="O14" s="189">
        <v>0.21299999999999999</v>
      </c>
      <c r="P14" s="189">
        <f t="shared" si="3"/>
        <v>143.30509999999998</v>
      </c>
      <c r="Q14" s="189">
        <v>133.92619999999999</v>
      </c>
      <c r="R14" s="189">
        <v>9.2584999999999997</v>
      </c>
      <c r="S14" s="189">
        <v>0.12039999999999999</v>
      </c>
      <c r="T14" s="189">
        <f t="shared" si="4"/>
        <v>145.80269999999999</v>
      </c>
      <c r="U14" s="189">
        <f>139286.3/1000</f>
        <v>139.28629999999998</v>
      </c>
      <c r="V14" s="189">
        <f>6426.1/1000</f>
        <v>6.4260999999999999</v>
      </c>
      <c r="W14" s="189">
        <f>90.3/1000</f>
        <v>9.0299999999999991E-2</v>
      </c>
      <c r="X14" s="189">
        <f t="shared" si="5"/>
        <v>150.97889999999998</v>
      </c>
      <c r="Y14" s="189">
        <f>144472.4/1000</f>
        <v>144.47239999999999</v>
      </c>
      <c r="Z14" s="189">
        <f>6416.1/1000</f>
        <v>6.4161000000000001</v>
      </c>
      <c r="AA14" s="190">
        <f>90.4/1000</f>
        <v>9.0400000000000008E-2</v>
      </c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  <c r="AN14" s="191"/>
      <c r="AO14" s="191"/>
      <c r="AP14" s="191"/>
      <c r="AQ14" s="191"/>
      <c r="AR14" s="191"/>
    </row>
    <row r="15" spans="1:44" x14ac:dyDescent="0.3">
      <c r="A15" s="187" t="s">
        <v>39</v>
      </c>
      <c r="B15" s="188">
        <v>1</v>
      </c>
      <c r="C15" s="188">
        <v>7</v>
      </c>
      <c r="D15" s="189">
        <f t="shared" si="6"/>
        <v>37.735839199999994</v>
      </c>
      <c r="E15" s="189">
        <v>37.412538199999993</v>
      </c>
      <c r="F15" s="189">
        <v>0.30610000000000004</v>
      </c>
      <c r="G15" s="189">
        <v>1.7201000000000001E-2</v>
      </c>
      <c r="H15" s="189">
        <f t="shared" si="7"/>
        <v>38.611200000000004</v>
      </c>
      <c r="I15" s="189">
        <f>38287.5/1000</f>
        <v>38.287500000000001</v>
      </c>
      <c r="J15" s="189">
        <f>306.1/1000</f>
        <v>0.30610000000000004</v>
      </c>
      <c r="K15" s="189">
        <f>17.6/1000</f>
        <v>1.7600000000000001E-2</v>
      </c>
      <c r="L15" s="189">
        <f t="shared" si="8"/>
        <v>41.858200000000004</v>
      </c>
      <c r="M15" s="189">
        <v>41.28</v>
      </c>
      <c r="N15" s="189">
        <v>0.56110000000000004</v>
      </c>
      <c r="O15" s="189">
        <v>1.7100000000000001E-2</v>
      </c>
      <c r="P15" s="189">
        <f t="shared" si="3"/>
        <v>43.660600000000002</v>
      </c>
      <c r="Q15" s="189">
        <v>43.090499999999999</v>
      </c>
      <c r="R15" s="189">
        <v>0.55310000000000004</v>
      </c>
      <c r="S15" s="189">
        <v>1.7000000000000001E-2</v>
      </c>
      <c r="T15" s="189">
        <f t="shared" si="4"/>
        <v>45.797600000000003</v>
      </c>
      <c r="U15" s="189">
        <f>45320.3/1000</f>
        <v>45.320300000000003</v>
      </c>
      <c r="V15" s="189">
        <f>460.3/1000</f>
        <v>0.46029999999999999</v>
      </c>
      <c r="W15" s="189">
        <f>17/1000</f>
        <v>1.7000000000000001E-2</v>
      </c>
      <c r="X15" s="189">
        <f t="shared" si="5"/>
        <v>47.868200000000009</v>
      </c>
      <c r="Y15" s="189">
        <f>47390.8/1000</f>
        <v>47.390800000000006</v>
      </c>
      <c r="Z15" s="189">
        <f>460.4/1000</f>
        <v>0.46039999999999998</v>
      </c>
      <c r="AA15" s="190">
        <f>17/1000</f>
        <v>1.7000000000000001E-2</v>
      </c>
      <c r="AB15" s="191"/>
      <c r="AC15" s="191"/>
      <c r="AD15" s="191"/>
      <c r="AE15" s="191"/>
      <c r="AF15" s="191"/>
      <c r="AG15" s="191"/>
      <c r="AH15" s="191"/>
      <c r="AI15" s="191"/>
      <c r="AJ15" s="191"/>
      <c r="AK15" s="191"/>
      <c r="AL15" s="191"/>
      <c r="AM15" s="191"/>
      <c r="AN15" s="191"/>
      <c r="AO15" s="191"/>
      <c r="AP15" s="191"/>
      <c r="AQ15" s="191"/>
      <c r="AR15" s="191"/>
    </row>
    <row r="16" spans="1:44" x14ac:dyDescent="0.3">
      <c r="A16" s="187" t="s">
        <v>40</v>
      </c>
      <c r="B16" s="188">
        <v>1</v>
      </c>
      <c r="C16" s="188">
        <v>13</v>
      </c>
      <c r="D16" s="189">
        <f t="shared" si="6"/>
        <v>204.46511255999999</v>
      </c>
      <c r="E16" s="189">
        <v>175.42629113000001</v>
      </c>
      <c r="F16" s="189">
        <v>28.607259379999999</v>
      </c>
      <c r="G16" s="189">
        <v>0.43156204999999997</v>
      </c>
      <c r="H16" s="189">
        <f t="shared" si="7"/>
        <v>207.06530000000001</v>
      </c>
      <c r="I16" s="189">
        <f>179342.6/1000</f>
        <v>179.3426</v>
      </c>
      <c r="J16" s="189">
        <f>27411.7/1000</f>
        <v>27.4117</v>
      </c>
      <c r="K16" s="189">
        <f>311/1000</f>
        <v>0.311</v>
      </c>
      <c r="L16" s="189">
        <f t="shared" si="8"/>
        <v>225.83529999999999</v>
      </c>
      <c r="M16" s="189">
        <v>194.35900000000001</v>
      </c>
      <c r="N16" s="189">
        <v>31.150300000000001</v>
      </c>
      <c r="O16" s="189">
        <v>0.32600000000000001</v>
      </c>
      <c r="P16" s="189">
        <f t="shared" si="3"/>
        <v>233.38929999999999</v>
      </c>
      <c r="Q16" s="189">
        <v>204.1378</v>
      </c>
      <c r="R16" s="189">
        <v>28.887499999999999</v>
      </c>
      <c r="S16" s="189">
        <v>0.36399999999999999</v>
      </c>
      <c r="T16" s="189">
        <f t="shared" si="4"/>
        <v>237.66579999999999</v>
      </c>
      <c r="U16" s="189">
        <f>209871.3/1000</f>
        <v>209.87129999999999</v>
      </c>
      <c r="V16" s="189">
        <f>27520.5/1000</f>
        <v>27.520499999999998</v>
      </c>
      <c r="W16" s="189">
        <f>274/1000</f>
        <v>0.27400000000000002</v>
      </c>
      <c r="X16" s="189">
        <f t="shared" si="5"/>
        <v>244.67019999999999</v>
      </c>
      <c r="Y16" s="189">
        <f>217617.1/1000</f>
        <v>217.61709999999999</v>
      </c>
      <c r="Z16" s="189">
        <f>26779.1/1000</f>
        <v>26.7791</v>
      </c>
      <c r="AA16" s="190">
        <f>274/1000</f>
        <v>0.27400000000000002</v>
      </c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  <c r="AN16" s="191"/>
      <c r="AO16" s="191"/>
      <c r="AP16" s="191"/>
      <c r="AQ16" s="191"/>
      <c r="AR16" s="191"/>
    </row>
    <row r="17" spans="1:44" s="186" customFormat="1" ht="26.4" x14ac:dyDescent="0.3">
      <c r="A17" s="181" t="s">
        <v>41</v>
      </c>
      <c r="B17" s="182">
        <v>3</v>
      </c>
      <c r="C17" s="182"/>
      <c r="D17" s="183">
        <f t="shared" si="6"/>
        <v>15.978367609999999</v>
      </c>
      <c r="E17" s="183">
        <f>E18</f>
        <v>14.7156</v>
      </c>
      <c r="F17" s="183">
        <f>F18</f>
        <v>1.22916761</v>
      </c>
      <c r="G17" s="183">
        <f>G18</f>
        <v>3.3600000000000005E-2</v>
      </c>
      <c r="H17" s="183">
        <f>H18</f>
        <v>15.985300000000001</v>
      </c>
      <c r="I17" s="183">
        <f t="shared" ref="I17:AA17" si="9">I18</f>
        <v>14.7156</v>
      </c>
      <c r="J17" s="183">
        <f t="shared" si="9"/>
        <v>1.2361</v>
      </c>
      <c r="K17" s="183">
        <f t="shared" si="9"/>
        <v>3.3600000000000005E-2</v>
      </c>
      <c r="L17" s="183">
        <f t="shared" si="9"/>
        <v>16.906400000000001</v>
      </c>
      <c r="M17" s="183">
        <f t="shared" si="9"/>
        <v>15.895300000000001</v>
      </c>
      <c r="N17" s="183">
        <f t="shared" si="9"/>
        <v>0.94750000000000001</v>
      </c>
      <c r="O17" s="183">
        <f t="shared" si="9"/>
        <v>6.3600000000000004E-2</v>
      </c>
      <c r="P17" s="183">
        <f t="shared" si="9"/>
        <v>17.321800000000003</v>
      </c>
      <c r="Q17" s="183">
        <f t="shared" si="9"/>
        <v>16.341100000000001</v>
      </c>
      <c r="R17" s="183">
        <f t="shared" si="9"/>
        <v>0.94750000000000001</v>
      </c>
      <c r="S17" s="183">
        <f t="shared" si="9"/>
        <v>3.32E-2</v>
      </c>
      <c r="T17" s="183">
        <f t="shared" si="9"/>
        <v>17.950300000000002</v>
      </c>
      <c r="U17" s="183">
        <f t="shared" si="9"/>
        <v>16.9696</v>
      </c>
      <c r="V17" s="183">
        <f t="shared" si="9"/>
        <v>0.94750000000000001</v>
      </c>
      <c r="W17" s="183">
        <f t="shared" si="9"/>
        <v>3.32E-2</v>
      </c>
      <c r="X17" s="183">
        <f t="shared" si="9"/>
        <v>18.558400000000002</v>
      </c>
      <c r="Y17" s="183">
        <f t="shared" si="9"/>
        <v>17.5777</v>
      </c>
      <c r="Z17" s="183">
        <f t="shared" si="9"/>
        <v>0.94750000000000001</v>
      </c>
      <c r="AA17" s="184">
        <f t="shared" si="9"/>
        <v>3.32E-2</v>
      </c>
      <c r="AB17" s="185"/>
      <c r="AC17" s="185"/>
      <c r="AD17" s="185"/>
      <c r="AE17" s="185"/>
      <c r="AF17" s="185"/>
      <c r="AG17" s="185"/>
      <c r="AH17" s="185"/>
      <c r="AI17" s="185"/>
      <c r="AJ17" s="185"/>
      <c r="AK17" s="185"/>
      <c r="AL17" s="185"/>
      <c r="AM17" s="185"/>
      <c r="AN17" s="185"/>
      <c r="AO17" s="185"/>
      <c r="AP17" s="185"/>
      <c r="AQ17" s="185"/>
      <c r="AR17" s="185"/>
    </row>
    <row r="18" spans="1:44" ht="39.6" x14ac:dyDescent="0.3">
      <c r="A18" s="187" t="s">
        <v>42</v>
      </c>
      <c r="B18" s="188">
        <v>3</v>
      </c>
      <c r="C18" s="188">
        <v>9</v>
      </c>
      <c r="D18" s="189">
        <f t="shared" si="6"/>
        <v>15.978367609999999</v>
      </c>
      <c r="E18" s="189">
        <v>14.7156</v>
      </c>
      <c r="F18" s="189">
        <v>1.22916761</v>
      </c>
      <c r="G18" s="189">
        <v>3.3600000000000005E-2</v>
      </c>
      <c r="H18" s="189">
        <f>I18+J18+K18</f>
        <v>15.985300000000001</v>
      </c>
      <c r="I18" s="189">
        <f>14715.6/1000</f>
        <v>14.7156</v>
      </c>
      <c r="J18" s="189">
        <f>1236.1/1000</f>
        <v>1.2361</v>
      </c>
      <c r="K18" s="189">
        <f>33.6/1000</f>
        <v>3.3600000000000005E-2</v>
      </c>
      <c r="L18" s="189">
        <f t="shared" si="8"/>
        <v>16.906400000000001</v>
      </c>
      <c r="M18" s="189">
        <v>15.895300000000001</v>
      </c>
      <c r="N18" s="189">
        <v>0.94750000000000001</v>
      </c>
      <c r="O18" s="189">
        <v>6.3600000000000004E-2</v>
      </c>
      <c r="P18" s="189">
        <f>Q18+R18+S18</f>
        <v>17.321800000000003</v>
      </c>
      <c r="Q18" s="189">
        <v>16.341100000000001</v>
      </c>
      <c r="R18" s="189">
        <v>0.94750000000000001</v>
      </c>
      <c r="S18" s="189">
        <v>3.32E-2</v>
      </c>
      <c r="T18" s="189">
        <f>U18+V18+W18</f>
        <v>17.950300000000002</v>
      </c>
      <c r="U18" s="189">
        <f>16969.6/1000</f>
        <v>16.9696</v>
      </c>
      <c r="V18" s="189">
        <f>947.5/1000</f>
        <v>0.94750000000000001</v>
      </c>
      <c r="W18" s="189">
        <f>33.2/1000</f>
        <v>3.32E-2</v>
      </c>
      <c r="X18" s="189">
        <f>Y18+Z18+AA18</f>
        <v>18.558400000000002</v>
      </c>
      <c r="Y18" s="189">
        <f>17577.7/1000</f>
        <v>17.5777</v>
      </c>
      <c r="Z18" s="189">
        <f>947.5/1000</f>
        <v>0.94750000000000001</v>
      </c>
      <c r="AA18" s="190">
        <f>33.2/1000</f>
        <v>3.32E-2</v>
      </c>
      <c r="AB18" s="191"/>
      <c r="AC18" s="191"/>
      <c r="AD18" s="191"/>
      <c r="AE18" s="191"/>
      <c r="AF18" s="191"/>
      <c r="AG18" s="191"/>
      <c r="AH18" s="191"/>
      <c r="AI18" s="191"/>
      <c r="AJ18" s="191"/>
      <c r="AK18" s="191"/>
      <c r="AL18" s="191"/>
      <c r="AM18" s="191"/>
      <c r="AN18" s="191"/>
      <c r="AO18" s="191"/>
      <c r="AP18" s="191"/>
      <c r="AQ18" s="191"/>
      <c r="AR18" s="191"/>
    </row>
    <row r="19" spans="1:44" s="186" customFormat="1" x14ac:dyDescent="0.3">
      <c r="A19" s="194" t="s">
        <v>43</v>
      </c>
      <c r="B19" s="182">
        <v>4</v>
      </c>
      <c r="C19" s="182"/>
      <c r="D19" s="183">
        <f t="shared" si="6"/>
        <v>431.7759149800001</v>
      </c>
      <c r="E19" s="183">
        <f>E20+E21+E22+E23+E24+E25</f>
        <v>404.09998007000007</v>
      </c>
      <c r="F19" s="183">
        <f>F20+F21+F22+F23+F24+F25</f>
        <v>26.130750280000004</v>
      </c>
      <c r="G19" s="183">
        <f>G20+G21+G22+G23+G24+G25</f>
        <v>1.5451846299999998</v>
      </c>
      <c r="H19" s="183">
        <f>H20+H21+H22+H23+H24+H25</f>
        <v>434.53719999999998</v>
      </c>
      <c r="I19" s="183">
        <f>I20+I21+I22+I23+I24+I25</f>
        <v>407.38240000000002</v>
      </c>
      <c r="J19" s="183">
        <f t="shared" ref="J19:AA19" si="10">J20+J21+J22+J23+J24+J25</f>
        <v>26.031500000000001</v>
      </c>
      <c r="K19" s="183">
        <f t="shared" si="10"/>
        <v>1.1233</v>
      </c>
      <c r="L19" s="183">
        <f t="shared" si="10"/>
        <v>461.65461417999995</v>
      </c>
      <c r="M19" s="183">
        <f t="shared" si="10"/>
        <v>432.69670574000003</v>
      </c>
      <c r="N19" s="183">
        <f t="shared" si="10"/>
        <v>26.367570180000005</v>
      </c>
      <c r="O19" s="183">
        <f t="shared" si="10"/>
        <v>2.5903382599999998</v>
      </c>
      <c r="P19" s="183">
        <f t="shared" si="10"/>
        <v>485.30770000000001</v>
      </c>
      <c r="Q19" s="183">
        <f t="shared" si="10"/>
        <v>451.51299999999998</v>
      </c>
      <c r="R19" s="183">
        <f t="shared" si="10"/>
        <v>32.952100000000002</v>
      </c>
      <c r="S19" s="183">
        <f t="shared" si="10"/>
        <v>0.84260000000000013</v>
      </c>
      <c r="T19" s="183">
        <f t="shared" si="10"/>
        <v>496.62070000000006</v>
      </c>
      <c r="U19" s="183">
        <f t="shared" si="10"/>
        <v>467.58589999999992</v>
      </c>
      <c r="V19" s="183">
        <f t="shared" si="10"/>
        <v>28.254199999999997</v>
      </c>
      <c r="W19" s="183">
        <f t="shared" si="10"/>
        <v>0.78060000000000007</v>
      </c>
      <c r="X19" s="183">
        <f t="shared" si="10"/>
        <v>514.68000000000006</v>
      </c>
      <c r="Y19" s="183">
        <f t="shared" si="10"/>
        <v>485.49629999999996</v>
      </c>
      <c r="Z19" s="183">
        <f t="shared" si="10"/>
        <v>28.366999999999997</v>
      </c>
      <c r="AA19" s="184">
        <f t="shared" si="10"/>
        <v>0.81670000000000009</v>
      </c>
      <c r="AB19" s="185"/>
      <c r="AC19" s="185"/>
      <c r="AD19" s="185"/>
      <c r="AE19" s="185"/>
      <c r="AF19" s="185"/>
      <c r="AG19" s="185"/>
      <c r="AH19" s="185"/>
      <c r="AI19" s="185"/>
      <c r="AJ19" s="185"/>
      <c r="AK19" s="185"/>
      <c r="AL19" s="185"/>
      <c r="AM19" s="185"/>
      <c r="AN19" s="185"/>
      <c r="AO19" s="185"/>
      <c r="AP19" s="185"/>
      <c r="AQ19" s="185"/>
      <c r="AR19" s="185"/>
    </row>
    <row r="20" spans="1:44" ht="14.4" x14ac:dyDescent="0.3">
      <c r="A20" s="187" t="s">
        <v>44</v>
      </c>
      <c r="B20" s="188">
        <v>4</v>
      </c>
      <c r="C20" s="188">
        <v>1</v>
      </c>
      <c r="D20" s="189">
        <f>E20+F20+G20</f>
        <v>214.27869079000001</v>
      </c>
      <c r="E20" s="189">
        <v>201.32111925000001</v>
      </c>
      <c r="F20" s="189">
        <v>12.486733560000001</v>
      </c>
      <c r="G20" s="189">
        <v>0.47083797999999999</v>
      </c>
      <c r="H20" s="189">
        <f t="shared" ref="H20:H27" si="11">I20+J20+K20</f>
        <v>217.6079</v>
      </c>
      <c r="I20" s="189">
        <f>203759.7/1000</f>
        <v>203.75970000000001</v>
      </c>
      <c r="J20" s="189">
        <f>13283.8/1000</f>
        <v>13.283799999999999</v>
      </c>
      <c r="K20" s="189">
        <f>564.4/1000</f>
        <v>0.56440000000000001</v>
      </c>
      <c r="L20" s="189">
        <f t="shared" si="8"/>
        <v>232.71844400000001</v>
      </c>
      <c r="M20" s="189">
        <v>217.63712698000001</v>
      </c>
      <c r="N20" s="189">
        <v>13.1287</v>
      </c>
      <c r="O20" s="189">
        <v>1.9526170199999999</v>
      </c>
      <c r="P20" s="189">
        <f t="shared" ref="P20:P25" si="12">Q20+R20+S20</f>
        <v>242.70429999999999</v>
      </c>
      <c r="Q20" s="189">
        <v>227.33269999999999</v>
      </c>
      <c r="R20" s="189">
        <v>14.876300000000001</v>
      </c>
      <c r="S20" s="189">
        <v>0.49530000000000002</v>
      </c>
      <c r="T20" s="189">
        <f t="shared" ref="T20:T25" si="13">U20+V20+W20</f>
        <v>246.72800000000001</v>
      </c>
      <c r="U20" s="189">
        <f>234222.4/1000</f>
        <v>234.22239999999999</v>
      </c>
      <c r="V20" s="189">
        <f>12070.5/1000</f>
        <v>12.070499999999999</v>
      </c>
      <c r="W20" s="195">
        <f>435.1/1000</f>
        <v>0.43510000000000004</v>
      </c>
      <c r="X20" s="189">
        <f t="shared" ref="X20:X25" si="14">Y20+Z20+AA20</f>
        <v>255.559</v>
      </c>
      <c r="Y20" s="189">
        <f>243219.8/1000</f>
        <v>243.21979999999999</v>
      </c>
      <c r="Z20" s="189">
        <f>11904.1/1000</f>
        <v>11.9041</v>
      </c>
      <c r="AA20" s="190">
        <f>435.1/1000</f>
        <v>0.43510000000000004</v>
      </c>
      <c r="AB20" s="191"/>
      <c r="AC20" s="191"/>
      <c r="AD20" s="191"/>
      <c r="AE20" s="191"/>
      <c r="AF20" s="191"/>
      <c r="AG20" s="191"/>
      <c r="AH20" s="191"/>
      <c r="AI20" s="191"/>
      <c r="AJ20" s="191"/>
      <c r="AK20" s="191"/>
      <c r="AL20" s="191"/>
      <c r="AM20" s="191"/>
      <c r="AN20" s="191"/>
      <c r="AO20" s="191"/>
      <c r="AP20" s="191"/>
      <c r="AQ20" s="191"/>
      <c r="AR20" s="191"/>
    </row>
    <row r="21" spans="1:44" x14ac:dyDescent="0.3">
      <c r="A21" s="187" t="s">
        <v>45</v>
      </c>
      <c r="B21" s="188">
        <v>4</v>
      </c>
      <c r="C21" s="188">
        <v>2</v>
      </c>
      <c r="D21" s="189">
        <f t="shared" ref="D21:D38" si="15">E21+F21+G21</f>
        <v>53.271457499999997</v>
      </c>
      <c r="E21" s="189">
        <v>50.837699999999998</v>
      </c>
      <c r="F21" s="189">
        <v>2.2227053900000002</v>
      </c>
      <c r="G21" s="189">
        <v>0.21105210999999999</v>
      </c>
      <c r="H21" s="189">
        <f t="shared" si="11"/>
        <v>53.012499999999996</v>
      </c>
      <c r="I21" s="189">
        <f>50578.7/1000</f>
        <v>50.578699999999998</v>
      </c>
      <c r="J21" s="189">
        <f>2194.8/1000</f>
        <v>2.1948000000000003</v>
      </c>
      <c r="K21" s="189">
        <f>239/1000</f>
        <v>0.23899999999999999</v>
      </c>
      <c r="L21" s="189">
        <f t="shared" si="8"/>
        <v>55.90307018</v>
      </c>
      <c r="M21" s="189">
        <v>52.795400000000001</v>
      </c>
      <c r="N21" s="189">
        <v>3.1016701800000002</v>
      </c>
      <c r="O21" s="189">
        <v>6.0000000000000001E-3</v>
      </c>
      <c r="P21" s="189">
        <f t="shared" si="12"/>
        <v>56.6494</v>
      </c>
      <c r="Q21" s="189">
        <v>53.099600000000002</v>
      </c>
      <c r="R21" s="189">
        <v>3.5497999999999998</v>
      </c>
      <c r="S21" s="189"/>
      <c r="T21" s="189">
        <f t="shared" si="13"/>
        <v>57.527799999999999</v>
      </c>
      <c r="U21" s="189">
        <f>55263/1000</f>
        <v>55.262999999999998</v>
      </c>
      <c r="V21" s="189">
        <f>2264.8/1000</f>
        <v>2.2648000000000001</v>
      </c>
      <c r="W21" s="189"/>
      <c r="X21" s="189">
        <f t="shared" si="14"/>
        <v>59.620999999999995</v>
      </c>
      <c r="Y21" s="189">
        <f>57356.2/1000</f>
        <v>57.356199999999994</v>
      </c>
      <c r="Z21" s="189">
        <f>2264.8/1000</f>
        <v>2.2648000000000001</v>
      </c>
      <c r="AA21" s="190"/>
      <c r="AB21" s="191"/>
      <c r="AC21" s="191"/>
      <c r="AD21" s="191"/>
      <c r="AE21" s="191"/>
      <c r="AF21" s="191"/>
      <c r="AG21" s="191"/>
      <c r="AH21" s="191"/>
      <c r="AI21" s="191"/>
      <c r="AJ21" s="191"/>
      <c r="AK21" s="191"/>
      <c r="AL21" s="191"/>
      <c r="AM21" s="191"/>
      <c r="AN21" s="191"/>
      <c r="AO21" s="191"/>
      <c r="AP21" s="191"/>
      <c r="AQ21" s="191"/>
      <c r="AR21" s="191"/>
    </row>
    <row r="22" spans="1:44" x14ac:dyDescent="0.3">
      <c r="A22" s="187" t="s">
        <v>46</v>
      </c>
      <c r="B22" s="188">
        <v>4</v>
      </c>
      <c r="C22" s="188">
        <v>5</v>
      </c>
      <c r="D22" s="189">
        <f t="shared" si="15"/>
        <v>56.558987500000001</v>
      </c>
      <c r="E22" s="189">
        <v>54.644331319999999</v>
      </c>
      <c r="F22" s="189">
        <v>1.5092582200000002</v>
      </c>
      <c r="G22" s="189">
        <v>0.40539796</v>
      </c>
      <c r="H22" s="189">
        <f t="shared" si="11"/>
        <v>56.618300000000005</v>
      </c>
      <c r="I22" s="189">
        <f>55112/1000</f>
        <v>55.112000000000002</v>
      </c>
      <c r="J22" s="189">
        <f>1409.3/1000</f>
        <v>1.4093</v>
      </c>
      <c r="K22" s="189">
        <f>97/1000</f>
        <v>9.7000000000000003E-2</v>
      </c>
      <c r="L22" s="189">
        <f t="shared" si="8"/>
        <v>59.613700000000001</v>
      </c>
      <c r="M22" s="189">
        <v>58.107399999999998</v>
      </c>
      <c r="N22" s="189">
        <v>1.4093</v>
      </c>
      <c r="O22" s="189">
        <v>9.7000000000000003E-2</v>
      </c>
      <c r="P22" s="189">
        <f t="shared" si="12"/>
        <v>62.159799999999997</v>
      </c>
      <c r="Q22" s="189">
        <v>60.069499999999998</v>
      </c>
      <c r="R22" s="189">
        <v>2.0083000000000002</v>
      </c>
      <c r="S22" s="189">
        <v>8.2000000000000003E-2</v>
      </c>
      <c r="T22" s="189">
        <f t="shared" si="13"/>
        <v>64.526999999999987</v>
      </c>
      <c r="U22" s="189">
        <f>62436.7/1000</f>
        <v>62.436699999999995</v>
      </c>
      <c r="V22" s="189">
        <f>2008.3/1000</f>
        <v>2.0082999999999998</v>
      </c>
      <c r="W22" s="189">
        <f>82/1000</f>
        <v>8.2000000000000003E-2</v>
      </c>
      <c r="X22" s="189">
        <f t="shared" si="14"/>
        <v>66.817599999999999</v>
      </c>
      <c r="Y22" s="189">
        <f>64727.3/1000</f>
        <v>64.7273</v>
      </c>
      <c r="Z22" s="189">
        <f>2008.3/1000</f>
        <v>2.0082999999999998</v>
      </c>
      <c r="AA22" s="190">
        <f>82/1000</f>
        <v>8.2000000000000003E-2</v>
      </c>
      <c r="AB22" s="191"/>
      <c r="AC22" s="191"/>
      <c r="AD22" s="191"/>
      <c r="AE22" s="191"/>
      <c r="AF22" s="191"/>
      <c r="AG22" s="191"/>
      <c r="AH22" s="191"/>
      <c r="AI22" s="191"/>
      <c r="AJ22" s="191"/>
      <c r="AK22" s="191"/>
      <c r="AL22" s="191"/>
      <c r="AM22" s="191"/>
      <c r="AN22" s="191"/>
      <c r="AO22" s="191"/>
      <c r="AP22" s="191"/>
      <c r="AQ22" s="191"/>
      <c r="AR22" s="191"/>
    </row>
    <row r="23" spans="1:44" x14ac:dyDescent="0.3">
      <c r="A23" s="187" t="s">
        <v>47</v>
      </c>
      <c r="B23" s="188">
        <v>4</v>
      </c>
      <c r="C23" s="188">
        <v>8</v>
      </c>
      <c r="D23" s="189">
        <f t="shared" si="15"/>
        <v>42.485764259999996</v>
      </c>
      <c r="E23" s="189">
        <v>38.107145809999999</v>
      </c>
      <c r="F23" s="189">
        <v>3.9282248499999999</v>
      </c>
      <c r="G23" s="189">
        <v>0.45039360000000001</v>
      </c>
      <c r="H23" s="189">
        <f t="shared" si="11"/>
        <v>41.670300000000005</v>
      </c>
      <c r="I23" s="189">
        <f>38311.3/1000</f>
        <v>38.311300000000003</v>
      </c>
      <c r="J23" s="189">
        <f>3230.6/1000</f>
        <v>3.2305999999999999</v>
      </c>
      <c r="K23" s="189">
        <f>128.4/1000</f>
        <v>0.12840000000000001</v>
      </c>
      <c r="L23" s="189">
        <f t="shared" si="8"/>
        <v>44.084099999999999</v>
      </c>
      <c r="M23" s="189">
        <v>40.186978760000002</v>
      </c>
      <c r="N23" s="189">
        <v>3.5348000000000002</v>
      </c>
      <c r="O23" s="189">
        <v>0.36232123999999999</v>
      </c>
      <c r="P23" s="189">
        <f t="shared" si="12"/>
        <v>51.394500000000008</v>
      </c>
      <c r="Q23" s="189">
        <v>44.109000000000002</v>
      </c>
      <c r="R23" s="189">
        <v>7.1436999999999999</v>
      </c>
      <c r="S23" s="189">
        <v>0.14180000000000001</v>
      </c>
      <c r="T23" s="189">
        <f t="shared" si="13"/>
        <v>52.664099999999998</v>
      </c>
      <c r="U23" s="189">
        <f>46088.2/1000</f>
        <v>46.088200000000001</v>
      </c>
      <c r="V23" s="189">
        <f>6435.9/1000</f>
        <v>6.4358999999999993</v>
      </c>
      <c r="W23" s="189">
        <f>140/1000</f>
        <v>0.14000000000000001</v>
      </c>
      <c r="X23" s="189">
        <f t="shared" si="14"/>
        <v>54.809199999999997</v>
      </c>
      <c r="Y23" s="189">
        <f>48030.7/1000</f>
        <v>48.030699999999996</v>
      </c>
      <c r="Z23" s="189">
        <f>6602.4/1000</f>
        <v>6.6023999999999994</v>
      </c>
      <c r="AA23" s="190">
        <f>176.1/1000</f>
        <v>0.17610000000000001</v>
      </c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191"/>
      <c r="AP23" s="191"/>
      <c r="AQ23" s="191"/>
      <c r="AR23" s="191"/>
    </row>
    <row r="24" spans="1:44" x14ac:dyDescent="0.3">
      <c r="A24" s="187" t="s">
        <v>48</v>
      </c>
      <c r="B24" s="188">
        <v>4</v>
      </c>
      <c r="C24" s="188">
        <v>10</v>
      </c>
      <c r="D24" s="189">
        <f t="shared" si="15"/>
        <v>23.264114670000001</v>
      </c>
      <c r="E24" s="189">
        <v>19.14431467</v>
      </c>
      <c r="F24" s="189">
        <v>4.1198000000000006</v>
      </c>
      <c r="G24" s="189">
        <v>0</v>
      </c>
      <c r="H24" s="189">
        <f t="shared" si="11"/>
        <v>23.392900000000001</v>
      </c>
      <c r="I24" s="189">
        <f>19273.1/1000</f>
        <v>19.273099999999999</v>
      </c>
      <c r="J24" s="189">
        <f>4119.8/1000</f>
        <v>4.1198000000000006</v>
      </c>
      <c r="K24" s="189">
        <v>0</v>
      </c>
      <c r="L24" s="189">
        <f t="shared" si="8"/>
        <v>26.681700000000003</v>
      </c>
      <c r="M24" s="189">
        <v>23.148900000000001</v>
      </c>
      <c r="N24" s="189">
        <v>3.4569000000000001</v>
      </c>
      <c r="O24" s="189">
        <v>7.5899999999999995E-2</v>
      </c>
      <c r="P24" s="189">
        <f t="shared" si="12"/>
        <v>28.847000000000001</v>
      </c>
      <c r="Q24" s="189">
        <v>25.021100000000001</v>
      </c>
      <c r="R24" s="189">
        <v>3.7959000000000001</v>
      </c>
      <c r="S24" s="189">
        <v>0.03</v>
      </c>
      <c r="T24" s="189">
        <f t="shared" si="13"/>
        <v>29.9391</v>
      </c>
      <c r="U24" s="189">
        <f>26012.6/1000</f>
        <v>26.012599999999999</v>
      </c>
      <c r="V24" s="189">
        <f>3896.5/1000</f>
        <v>3.8965000000000001</v>
      </c>
      <c r="W24" s="189">
        <f>30/1000</f>
        <v>0.03</v>
      </c>
      <c r="X24" s="189">
        <f t="shared" si="14"/>
        <v>31.011100000000003</v>
      </c>
      <c r="Y24" s="189">
        <f>26971.9/1000</f>
        <v>26.971900000000002</v>
      </c>
      <c r="Z24" s="189">
        <f>4009.2/1000</f>
        <v>4.0091999999999999</v>
      </c>
      <c r="AA24" s="190">
        <f>30/1000</f>
        <v>0.03</v>
      </c>
      <c r="AB24" s="191"/>
      <c r="AC24" s="191"/>
      <c r="AD24" s="191"/>
      <c r="AE24" s="191"/>
      <c r="AF24" s="191"/>
      <c r="AG24" s="191"/>
      <c r="AH24" s="191"/>
      <c r="AI24" s="191"/>
      <c r="AJ24" s="191"/>
      <c r="AK24" s="191"/>
      <c r="AL24" s="191"/>
      <c r="AM24" s="191"/>
      <c r="AN24" s="191"/>
      <c r="AO24" s="191"/>
      <c r="AP24" s="191"/>
      <c r="AQ24" s="191"/>
      <c r="AR24" s="191"/>
    </row>
    <row r="25" spans="1:44" ht="13.95" customHeight="1" x14ac:dyDescent="0.3">
      <c r="A25" s="187" t="s">
        <v>49</v>
      </c>
      <c r="B25" s="188">
        <v>4</v>
      </c>
      <c r="C25" s="188">
        <v>12</v>
      </c>
      <c r="D25" s="189">
        <f t="shared" si="15"/>
        <v>41.916900259999991</v>
      </c>
      <c r="E25" s="189">
        <v>40.045369019999995</v>
      </c>
      <c r="F25" s="189">
        <v>1.86402826</v>
      </c>
      <c r="G25" s="189">
        <v>7.5029800000000002E-3</v>
      </c>
      <c r="H25" s="189">
        <f t="shared" si="11"/>
        <v>42.235299999999995</v>
      </c>
      <c r="I25" s="189">
        <f>40347.6/1000</f>
        <v>40.3476</v>
      </c>
      <c r="J25" s="189">
        <f>1793.2/1000</f>
        <v>1.7932000000000001</v>
      </c>
      <c r="K25" s="189">
        <f>94.5/1000</f>
        <v>9.4500000000000001E-2</v>
      </c>
      <c r="L25" s="189">
        <f t="shared" si="8"/>
        <v>42.653599999999997</v>
      </c>
      <c r="M25" s="189">
        <v>40.820900000000002</v>
      </c>
      <c r="N25" s="189">
        <v>1.7362</v>
      </c>
      <c r="O25" s="189">
        <v>9.6500000000000002E-2</v>
      </c>
      <c r="P25" s="189">
        <f t="shared" si="12"/>
        <v>43.552700000000002</v>
      </c>
      <c r="Q25" s="189">
        <v>41.881100000000004</v>
      </c>
      <c r="R25" s="189">
        <v>1.5781000000000001</v>
      </c>
      <c r="S25" s="189">
        <v>9.35E-2</v>
      </c>
      <c r="T25" s="189">
        <f t="shared" si="13"/>
        <v>45.234700000000004</v>
      </c>
      <c r="U25" s="189">
        <f>43563/1000</f>
        <v>43.563000000000002</v>
      </c>
      <c r="V25" s="189">
        <f>1578.2/1000</f>
        <v>1.5782</v>
      </c>
      <c r="W25" s="189">
        <f>93.5/1000</f>
        <v>9.35E-2</v>
      </c>
      <c r="X25" s="189">
        <f t="shared" si="14"/>
        <v>46.862100000000005</v>
      </c>
      <c r="Y25" s="189">
        <f>45190.4/1000</f>
        <v>45.190400000000004</v>
      </c>
      <c r="Z25" s="189">
        <f>1578.2/1000</f>
        <v>1.5782</v>
      </c>
      <c r="AA25" s="190">
        <f>93.5/1000</f>
        <v>9.35E-2</v>
      </c>
      <c r="AB25" s="191"/>
      <c r="AC25" s="191"/>
      <c r="AD25" s="191"/>
      <c r="AE25" s="191"/>
      <c r="AF25" s="191"/>
      <c r="AG25" s="191"/>
      <c r="AH25" s="191"/>
      <c r="AI25" s="191"/>
      <c r="AJ25" s="191"/>
      <c r="AK25" s="191"/>
      <c r="AL25" s="191"/>
      <c r="AM25" s="191"/>
      <c r="AN25" s="191"/>
      <c r="AO25" s="191"/>
      <c r="AP25" s="191"/>
      <c r="AQ25" s="191"/>
      <c r="AR25" s="191"/>
    </row>
    <row r="26" spans="1:44" s="186" customFormat="1" x14ac:dyDescent="0.3">
      <c r="A26" s="181" t="s">
        <v>50</v>
      </c>
      <c r="B26" s="182">
        <v>5</v>
      </c>
      <c r="C26" s="182"/>
      <c r="D26" s="183">
        <f t="shared" si="15"/>
        <v>52.380254369999996</v>
      </c>
      <c r="E26" s="183">
        <f>E27</f>
        <v>46.265599160000001</v>
      </c>
      <c r="F26" s="183">
        <f>F27</f>
        <v>5.9843552099999995</v>
      </c>
      <c r="G26" s="183">
        <f>G27</f>
        <v>0.1303</v>
      </c>
      <c r="H26" s="183">
        <f t="shared" si="11"/>
        <v>52.4529</v>
      </c>
      <c r="I26" s="183">
        <f>I27</f>
        <v>46.265599999999999</v>
      </c>
      <c r="J26" s="183">
        <f t="shared" ref="J26:AA26" si="16">J27</f>
        <v>6.0872999999999999</v>
      </c>
      <c r="K26" s="183">
        <f t="shared" si="16"/>
        <v>0.1</v>
      </c>
      <c r="L26" s="183">
        <f t="shared" si="16"/>
        <v>56.131400000000006</v>
      </c>
      <c r="M26" s="183">
        <f t="shared" si="16"/>
        <v>50.354700000000001</v>
      </c>
      <c r="N26" s="183">
        <f t="shared" si="16"/>
        <v>5.6443654499999996</v>
      </c>
      <c r="O26" s="183">
        <f t="shared" si="16"/>
        <v>0.13233455</v>
      </c>
      <c r="P26" s="183">
        <f t="shared" si="16"/>
        <v>57.953399999999995</v>
      </c>
      <c r="Q26" s="183">
        <f t="shared" si="16"/>
        <v>52.5124</v>
      </c>
      <c r="R26" s="183">
        <f t="shared" si="16"/>
        <v>5.2910000000000004</v>
      </c>
      <c r="S26" s="183">
        <f t="shared" si="16"/>
        <v>0.15</v>
      </c>
      <c r="T26" s="183">
        <f t="shared" si="16"/>
        <v>60.077299999999994</v>
      </c>
      <c r="U26" s="183">
        <f t="shared" si="16"/>
        <v>54.621499999999997</v>
      </c>
      <c r="V26" s="183">
        <f t="shared" si="16"/>
        <v>5.3058000000000005</v>
      </c>
      <c r="W26" s="183">
        <f t="shared" si="16"/>
        <v>0.15</v>
      </c>
      <c r="X26" s="183">
        <f t="shared" si="16"/>
        <v>62.135499999999993</v>
      </c>
      <c r="Y26" s="183">
        <f t="shared" si="16"/>
        <v>56.662099999999995</v>
      </c>
      <c r="Z26" s="183">
        <f t="shared" si="16"/>
        <v>5.3233999999999995</v>
      </c>
      <c r="AA26" s="184">
        <f t="shared" si="16"/>
        <v>0.15</v>
      </c>
      <c r="AB26" s="185"/>
      <c r="AC26" s="185"/>
      <c r="AD26" s="185"/>
      <c r="AE26" s="185"/>
      <c r="AF26" s="185"/>
      <c r="AG26" s="185"/>
      <c r="AH26" s="185"/>
      <c r="AI26" s="185"/>
      <c r="AJ26" s="185"/>
      <c r="AK26" s="185"/>
      <c r="AL26" s="185"/>
      <c r="AM26" s="185"/>
      <c r="AN26" s="185"/>
      <c r="AO26" s="185"/>
      <c r="AP26" s="185"/>
      <c r="AQ26" s="185"/>
      <c r="AR26" s="185"/>
    </row>
    <row r="27" spans="1:44" ht="26.4" x14ac:dyDescent="0.3">
      <c r="A27" s="187" t="s">
        <v>51</v>
      </c>
      <c r="B27" s="188">
        <v>5</v>
      </c>
      <c r="C27" s="188">
        <v>5</v>
      </c>
      <c r="D27" s="189">
        <f t="shared" si="15"/>
        <v>52.380254369999996</v>
      </c>
      <c r="E27" s="189">
        <v>46.265599160000001</v>
      </c>
      <c r="F27" s="189">
        <v>5.9843552099999995</v>
      </c>
      <c r="G27" s="189">
        <v>0.1303</v>
      </c>
      <c r="H27" s="189">
        <f t="shared" si="11"/>
        <v>52.4529</v>
      </c>
      <c r="I27" s="189">
        <f>46265.6/1000</f>
        <v>46.265599999999999</v>
      </c>
      <c r="J27" s="189">
        <f>6087.3/1000</f>
        <v>6.0872999999999999</v>
      </c>
      <c r="K27" s="189">
        <f>100/1000</f>
        <v>0.1</v>
      </c>
      <c r="L27" s="189">
        <f t="shared" si="8"/>
        <v>56.131400000000006</v>
      </c>
      <c r="M27" s="189">
        <v>50.354700000000001</v>
      </c>
      <c r="N27" s="189">
        <v>5.6443654499999996</v>
      </c>
      <c r="O27" s="189">
        <v>0.13233455</v>
      </c>
      <c r="P27" s="189">
        <f>Q27+R27+S27</f>
        <v>57.953399999999995</v>
      </c>
      <c r="Q27" s="189">
        <v>52.5124</v>
      </c>
      <c r="R27" s="189">
        <v>5.2910000000000004</v>
      </c>
      <c r="S27" s="189">
        <v>0.15</v>
      </c>
      <c r="T27" s="189">
        <f>U27+V27+W27</f>
        <v>60.077299999999994</v>
      </c>
      <c r="U27" s="189">
        <f>54621.5/1000</f>
        <v>54.621499999999997</v>
      </c>
      <c r="V27" s="189">
        <f>5305.8/1000</f>
        <v>5.3058000000000005</v>
      </c>
      <c r="W27" s="189">
        <f>150/1000</f>
        <v>0.15</v>
      </c>
      <c r="X27" s="189">
        <f>Y27+Z27+AA27</f>
        <v>62.135499999999993</v>
      </c>
      <c r="Y27" s="189">
        <f>56662.1/1000</f>
        <v>56.662099999999995</v>
      </c>
      <c r="Z27" s="189">
        <f>5323.4/1000</f>
        <v>5.3233999999999995</v>
      </c>
      <c r="AA27" s="190">
        <f>150/1000</f>
        <v>0.15</v>
      </c>
      <c r="AB27" s="191"/>
      <c r="AC27" s="191"/>
      <c r="AD27" s="191"/>
      <c r="AE27" s="191"/>
      <c r="AF27" s="191"/>
      <c r="AG27" s="191"/>
      <c r="AH27" s="191"/>
      <c r="AI27" s="191"/>
      <c r="AJ27" s="191"/>
      <c r="AK27" s="191"/>
      <c r="AL27" s="191"/>
      <c r="AM27" s="191"/>
      <c r="AN27" s="191"/>
      <c r="AO27" s="191"/>
      <c r="AP27" s="191"/>
      <c r="AQ27" s="191"/>
      <c r="AR27" s="191"/>
    </row>
    <row r="28" spans="1:44" s="186" customFormat="1" x14ac:dyDescent="0.3">
      <c r="A28" s="181" t="s">
        <v>52</v>
      </c>
      <c r="B28" s="182">
        <v>7</v>
      </c>
      <c r="C28" s="182"/>
      <c r="D28" s="183">
        <f t="shared" si="15"/>
        <v>49.204449490000002</v>
      </c>
      <c r="E28" s="183">
        <f t="shared" ref="E28:K28" si="17">E30</f>
        <v>47.457542140000001</v>
      </c>
      <c r="F28" s="183">
        <f t="shared" si="17"/>
        <v>1.6859073499999999</v>
      </c>
      <c r="G28" s="183">
        <f t="shared" si="17"/>
        <v>6.0999999999999999E-2</v>
      </c>
      <c r="H28" s="183">
        <f t="shared" si="17"/>
        <v>49.404599999999995</v>
      </c>
      <c r="I28" s="183">
        <f t="shared" si="17"/>
        <v>47.644599999999997</v>
      </c>
      <c r="J28" s="183">
        <f t="shared" si="17"/>
        <v>1.6985999999999999</v>
      </c>
      <c r="K28" s="183">
        <f t="shared" si="17"/>
        <v>6.1399999999999996E-2</v>
      </c>
      <c r="L28" s="183">
        <f t="shared" ref="L28:AA28" si="18">L30+L29</f>
        <v>52.976500000000001</v>
      </c>
      <c r="M28" s="183">
        <f t="shared" si="18"/>
        <v>49.942799999999998</v>
      </c>
      <c r="N28" s="183">
        <f t="shared" si="18"/>
        <v>2.8613</v>
      </c>
      <c r="O28" s="183">
        <f t="shared" si="18"/>
        <v>0.1724</v>
      </c>
      <c r="P28" s="183">
        <f t="shared" si="18"/>
        <v>54.108600000000003</v>
      </c>
      <c r="Q28" s="183">
        <f t="shared" si="18"/>
        <v>50.846400000000003</v>
      </c>
      <c r="R28" s="183">
        <f t="shared" si="18"/>
        <v>3.2009000000000003</v>
      </c>
      <c r="S28" s="183">
        <f t="shared" si="18"/>
        <v>6.13E-2</v>
      </c>
      <c r="T28" s="183">
        <f t="shared" si="18"/>
        <v>55.429000000000002</v>
      </c>
      <c r="U28" s="183">
        <f t="shared" si="18"/>
        <v>52.8904</v>
      </c>
      <c r="V28" s="183">
        <f t="shared" si="18"/>
        <v>2.4773000000000001</v>
      </c>
      <c r="W28" s="183">
        <f t="shared" si="18"/>
        <v>6.13E-2</v>
      </c>
      <c r="X28" s="183">
        <f t="shared" si="18"/>
        <v>57.406800000000004</v>
      </c>
      <c r="Y28" s="183">
        <f t="shared" si="18"/>
        <v>54.868400000000001</v>
      </c>
      <c r="Z28" s="183">
        <f t="shared" si="18"/>
        <v>2.4771000000000001</v>
      </c>
      <c r="AA28" s="184">
        <f t="shared" si="18"/>
        <v>6.13E-2</v>
      </c>
      <c r="AB28" s="185"/>
      <c r="AC28" s="185"/>
      <c r="AD28" s="185"/>
      <c r="AE28" s="185"/>
      <c r="AF28" s="185"/>
      <c r="AG28" s="185"/>
      <c r="AH28" s="185"/>
      <c r="AI28" s="185"/>
      <c r="AJ28" s="185"/>
      <c r="AK28" s="185"/>
      <c r="AL28" s="185"/>
      <c r="AM28" s="185"/>
      <c r="AN28" s="185"/>
      <c r="AO28" s="185"/>
      <c r="AP28" s="185"/>
      <c r="AQ28" s="185"/>
      <c r="AR28" s="185"/>
    </row>
    <row r="29" spans="1:44" ht="26.4" x14ac:dyDescent="0.3">
      <c r="A29" s="187" t="s">
        <v>312</v>
      </c>
      <c r="B29" s="188">
        <v>7</v>
      </c>
      <c r="C29" s="188">
        <v>5</v>
      </c>
      <c r="D29" s="189">
        <v>0</v>
      </c>
      <c r="E29" s="189"/>
      <c r="F29" s="189"/>
      <c r="G29" s="189"/>
      <c r="H29" s="189">
        <v>0</v>
      </c>
      <c r="I29" s="189">
        <v>0</v>
      </c>
      <c r="J29" s="189">
        <v>0</v>
      </c>
      <c r="K29" s="189">
        <v>0</v>
      </c>
      <c r="L29" s="189">
        <f t="shared" si="8"/>
        <v>1.1627000000000001</v>
      </c>
      <c r="M29" s="189"/>
      <c r="N29" s="189">
        <v>1.1627000000000001</v>
      </c>
      <c r="O29" s="189"/>
      <c r="P29" s="189">
        <f>Q29+R29+S29</f>
        <v>0.80330000000000001</v>
      </c>
      <c r="Q29" s="189"/>
      <c r="R29" s="189">
        <v>0.80330000000000001</v>
      </c>
      <c r="S29" s="189"/>
      <c r="T29" s="189">
        <f>U29+V29+W29</f>
        <v>0.77329999999999999</v>
      </c>
      <c r="U29" s="189"/>
      <c r="V29" s="189">
        <f>773.3/1000</f>
        <v>0.77329999999999999</v>
      </c>
      <c r="W29" s="189"/>
      <c r="X29" s="189">
        <f>Y29+Z29+AA29</f>
        <v>0.77329999999999999</v>
      </c>
      <c r="Y29" s="189"/>
      <c r="Z29" s="189">
        <f>773.3/1000</f>
        <v>0.77329999999999999</v>
      </c>
      <c r="AA29" s="190"/>
      <c r="AB29" s="191"/>
      <c r="AC29" s="191"/>
      <c r="AD29" s="191"/>
      <c r="AE29" s="191"/>
      <c r="AF29" s="191"/>
      <c r="AG29" s="191"/>
      <c r="AH29" s="191"/>
      <c r="AI29" s="191"/>
      <c r="AJ29" s="191"/>
      <c r="AK29" s="191"/>
      <c r="AL29" s="191"/>
      <c r="AM29" s="191"/>
      <c r="AN29" s="191"/>
      <c r="AO29" s="191"/>
      <c r="AP29" s="191"/>
      <c r="AQ29" s="191"/>
      <c r="AR29" s="191"/>
    </row>
    <row r="30" spans="1:44" s="186" customFormat="1" x14ac:dyDescent="0.3">
      <c r="A30" s="187" t="s">
        <v>53</v>
      </c>
      <c r="B30" s="188">
        <v>7</v>
      </c>
      <c r="C30" s="188">
        <v>9</v>
      </c>
      <c r="D30" s="189">
        <f t="shared" si="15"/>
        <v>49.204449490000002</v>
      </c>
      <c r="E30" s="189">
        <v>47.457542140000001</v>
      </c>
      <c r="F30" s="189">
        <v>1.6859073499999999</v>
      </c>
      <c r="G30" s="189">
        <v>6.0999999999999999E-2</v>
      </c>
      <c r="H30" s="189">
        <f>I30+J30+K30</f>
        <v>49.404599999999995</v>
      </c>
      <c r="I30" s="189">
        <f>47644.6/1000</f>
        <v>47.644599999999997</v>
      </c>
      <c r="J30" s="189">
        <f>1698.6/1000</f>
        <v>1.6985999999999999</v>
      </c>
      <c r="K30" s="189">
        <f>61.4/1000</f>
        <v>6.1399999999999996E-2</v>
      </c>
      <c r="L30" s="189">
        <f t="shared" si="8"/>
        <v>51.813800000000001</v>
      </c>
      <c r="M30" s="189">
        <v>49.942799999999998</v>
      </c>
      <c r="N30" s="189">
        <v>1.6986000000000001</v>
      </c>
      <c r="O30" s="189">
        <v>0.1724</v>
      </c>
      <c r="P30" s="189">
        <f>Q30+R30+S30</f>
        <v>53.305300000000003</v>
      </c>
      <c r="Q30" s="189">
        <v>50.846400000000003</v>
      </c>
      <c r="R30" s="189">
        <v>2.3976000000000002</v>
      </c>
      <c r="S30" s="189">
        <v>6.13E-2</v>
      </c>
      <c r="T30" s="189">
        <f>U30+V30+W30</f>
        <v>54.655700000000003</v>
      </c>
      <c r="U30" s="189">
        <f>52890.4/1000</f>
        <v>52.8904</v>
      </c>
      <c r="V30" s="189">
        <f>1704/1000</f>
        <v>1.704</v>
      </c>
      <c r="W30" s="189">
        <f>61.3/1000</f>
        <v>6.13E-2</v>
      </c>
      <c r="X30" s="189">
        <f>Y30+Z30+AA30</f>
        <v>56.633500000000005</v>
      </c>
      <c r="Y30" s="189">
        <f>54868.4/1000</f>
        <v>54.868400000000001</v>
      </c>
      <c r="Z30" s="189">
        <f>1703.8/1000</f>
        <v>1.7038</v>
      </c>
      <c r="AA30" s="190">
        <f>61.3/1000</f>
        <v>6.13E-2</v>
      </c>
      <c r="AB30" s="185"/>
      <c r="AC30" s="185"/>
      <c r="AD30" s="185"/>
      <c r="AE30" s="185"/>
      <c r="AF30" s="185"/>
      <c r="AG30" s="185"/>
      <c r="AH30" s="185"/>
      <c r="AI30" s="185"/>
      <c r="AJ30" s="185"/>
      <c r="AK30" s="185"/>
      <c r="AL30" s="185"/>
      <c r="AM30" s="185"/>
      <c r="AN30" s="185"/>
      <c r="AO30" s="185"/>
      <c r="AP30" s="185"/>
      <c r="AQ30" s="185"/>
      <c r="AR30" s="185"/>
    </row>
    <row r="31" spans="1:44" x14ac:dyDescent="0.3">
      <c r="A31" s="194" t="s">
        <v>54</v>
      </c>
      <c r="B31" s="182">
        <v>8</v>
      </c>
      <c r="C31" s="182"/>
      <c r="D31" s="183">
        <f t="shared" si="15"/>
        <v>34.472554849999995</v>
      </c>
      <c r="E31" s="183">
        <f>E32</f>
        <v>32.780007209999994</v>
      </c>
      <c r="F31" s="183">
        <f>F32</f>
        <v>1.6425476400000001</v>
      </c>
      <c r="G31" s="183">
        <f>G32</f>
        <v>0.05</v>
      </c>
      <c r="H31" s="183">
        <f>H32</f>
        <v>34.4129</v>
      </c>
      <c r="I31" s="183">
        <f>I32</f>
        <v>32.912300000000002</v>
      </c>
      <c r="J31" s="183">
        <f t="shared" ref="J31:AA31" si="19">J32</f>
        <v>1.4992000000000001</v>
      </c>
      <c r="K31" s="183">
        <f t="shared" si="19"/>
        <v>1.4E-3</v>
      </c>
      <c r="L31" s="183">
        <f t="shared" si="19"/>
        <v>36.537299999999995</v>
      </c>
      <c r="M31" s="183">
        <f t="shared" si="19"/>
        <v>34.819699999999997</v>
      </c>
      <c r="N31" s="183">
        <f t="shared" si="19"/>
        <v>1.714</v>
      </c>
      <c r="O31" s="183">
        <f t="shared" si="19"/>
        <v>3.5999999999999999E-3</v>
      </c>
      <c r="P31" s="183">
        <f t="shared" si="19"/>
        <v>37.812899999999999</v>
      </c>
      <c r="Q31" s="183">
        <f t="shared" si="19"/>
        <v>36.089100000000002</v>
      </c>
      <c r="R31" s="183">
        <f t="shared" si="19"/>
        <v>1.7238</v>
      </c>
      <c r="S31" s="183">
        <f t="shared" si="19"/>
        <v>0</v>
      </c>
      <c r="T31" s="183">
        <f t="shared" si="19"/>
        <v>38.210099999999997</v>
      </c>
      <c r="U31" s="183">
        <f t="shared" si="19"/>
        <v>36.4861</v>
      </c>
      <c r="V31" s="183">
        <f t="shared" si="19"/>
        <v>1.724</v>
      </c>
      <c r="W31" s="183">
        <f t="shared" si="19"/>
        <v>0</v>
      </c>
      <c r="X31" s="183">
        <f t="shared" si="19"/>
        <v>39.557899999999997</v>
      </c>
      <c r="Y31" s="183">
        <f t="shared" si="19"/>
        <v>37.8339</v>
      </c>
      <c r="Z31" s="183">
        <f t="shared" si="19"/>
        <v>1.724</v>
      </c>
      <c r="AA31" s="184">
        <f t="shared" si="19"/>
        <v>0</v>
      </c>
      <c r="AB31" s="191"/>
      <c r="AC31" s="191"/>
      <c r="AD31" s="191"/>
      <c r="AE31" s="191"/>
      <c r="AF31" s="191"/>
      <c r="AG31" s="191"/>
      <c r="AH31" s="191"/>
      <c r="AI31" s="191"/>
      <c r="AJ31" s="191"/>
      <c r="AK31" s="191"/>
      <c r="AL31" s="191"/>
      <c r="AM31" s="191"/>
      <c r="AN31" s="191"/>
      <c r="AO31" s="191"/>
      <c r="AP31" s="191"/>
      <c r="AQ31" s="191"/>
      <c r="AR31" s="191"/>
    </row>
    <row r="32" spans="1:44" s="186" customFormat="1" ht="13.95" customHeight="1" x14ac:dyDescent="0.3">
      <c r="A32" s="196" t="s">
        <v>55</v>
      </c>
      <c r="B32" s="188">
        <v>8</v>
      </c>
      <c r="C32" s="188">
        <v>4</v>
      </c>
      <c r="D32" s="189">
        <f t="shared" si="15"/>
        <v>34.472554849999995</v>
      </c>
      <c r="E32" s="189">
        <v>32.780007209999994</v>
      </c>
      <c r="F32" s="189">
        <v>1.6425476400000001</v>
      </c>
      <c r="G32" s="189">
        <v>0.05</v>
      </c>
      <c r="H32" s="189">
        <f>I32+J32+K32</f>
        <v>34.4129</v>
      </c>
      <c r="I32" s="189">
        <f>32912.3/1000</f>
        <v>32.912300000000002</v>
      </c>
      <c r="J32" s="189">
        <f>1499.2/1000</f>
        <v>1.4992000000000001</v>
      </c>
      <c r="K32" s="189">
        <f>1.4/1000</f>
        <v>1.4E-3</v>
      </c>
      <c r="L32" s="189">
        <f t="shared" si="8"/>
        <v>36.537299999999995</v>
      </c>
      <c r="M32" s="189">
        <v>34.819699999999997</v>
      </c>
      <c r="N32" s="189">
        <v>1.714</v>
      </c>
      <c r="O32" s="189">
        <v>3.5999999999999999E-3</v>
      </c>
      <c r="P32" s="189">
        <f>Q32+R32+S32</f>
        <v>37.812899999999999</v>
      </c>
      <c r="Q32" s="189">
        <v>36.089100000000002</v>
      </c>
      <c r="R32" s="189">
        <v>1.7238</v>
      </c>
      <c r="S32" s="189"/>
      <c r="T32" s="189">
        <f>U32+V32+W32</f>
        <v>38.210099999999997</v>
      </c>
      <c r="U32" s="189">
        <f>36486.1/1000</f>
        <v>36.4861</v>
      </c>
      <c r="V32" s="189">
        <f>1724/1000</f>
        <v>1.724</v>
      </c>
      <c r="W32" s="189"/>
      <c r="X32" s="189">
        <f>Y32+Z32+AA32</f>
        <v>39.557899999999997</v>
      </c>
      <c r="Y32" s="189">
        <f>37833.9/1000</f>
        <v>37.8339</v>
      </c>
      <c r="Z32" s="189">
        <f>1724/1000</f>
        <v>1.724</v>
      </c>
      <c r="AA32" s="190"/>
      <c r="AB32" s="185"/>
      <c r="AC32" s="185"/>
      <c r="AD32" s="185"/>
      <c r="AE32" s="185"/>
      <c r="AF32" s="185"/>
      <c r="AG32" s="185"/>
      <c r="AH32" s="185"/>
      <c r="AI32" s="185"/>
      <c r="AJ32" s="185"/>
      <c r="AK32" s="185"/>
      <c r="AL32" s="185"/>
      <c r="AM32" s="185"/>
      <c r="AN32" s="185"/>
      <c r="AO32" s="185"/>
      <c r="AP32" s="185"/>
      <c r="AQ32" s="185"/>
      <c r="AR32" s="185"/>
    </row>
    <row r="33" spans="1:44" x14ac:dyDescent="0.3">
      <c r="A33" s="194" t="s">
        <v>56</v>
      </c>
      <c r="B33" s="182">
        <v>9</v>
      </c>
      <c r="C33" s="182"/>
      <c r="D33" s="183">
        <f t="shared" si="15"/>
        <v>77.864571749999996</v>
      </c>
      <c r="E33" s="183">
        <f>E34</f>
        <v>74.178079650000001</v>
      </c>
      <c r="F33" s="183">
        <f>F34</f>
        <v>2.71553851</v>
      </c>
      <c r="G33" s="183">
        <f>G34</f>
        <v>0.97095359000000003</v>
      </c>
      <c r="H33" s="183">
        <f>H34</f>
        <v>78.423099999999991</v>
      </c>
      <c r="I33" s="183">
        <f>I34</f>
        <v>75.947199999999995</v>
      </c>
      <c r="J33" s="183">
        <f t="shared" ref="J33:AA33" si="20">J34</f>
        <v>2.2979000000000003</v>
      </c>
      <c r="K33" s="183">
        <f t="shared" si="20"/>
        <v>0.17799999999999999</v>
      </c>
      <c r="L33" s="183">
        <f t="shared" si="20"/>
        <v>83.73060000000001</v>
      </c>
      <c r="M33" s="183">
        <f t="shared" si="20"/>
        <v>79.859615520000006</v>
      </c>
      <c r="N33" s="183">
        <f t="shared" si="20"/>
        <v>3.4443999999999999</v>
      </c>
      <c r="O33" s="183">
        <f t="shared" si="20"/>
        <v>0.42658447999999999</v>
      </c>
      <c r="P33" s="183">
        <f t="shared" si="20"/>
        <v>88.381500000000003</v>
      </c>
      <c r="Q33" s="183">
        <f t="shared" si="20"/>
        <v>84.523099999999999</v>
      </c>
      <c r="R33" s="183">
        <f t="shared" si="20"/>
        <v>3.6903999999999999</v>
      </c>
      <c r="S33" s="183">
        <f t="shared" si="20"/>
        <v>0.16800000000000001</v>
      </c>
      <c r="T33" s="183">
        <f t="shared" si="20"/>
        <v>91.311200000000014</v>
      </c>
      <c r="U33" s="183">
        <f t="shared" si="20"/>
        <v>87.926100000000005</v>
      </c>
      <c r="V33" s="183">
        <f t="shared" si="20"/>
        <v>3.2170999999999998</v>
      </c>
      <c r="W33" s="183">
        <f t="shared" si="20"/>
        <v>0.16800000000000001</v>
      </c>
      <c r="X33" s="183">
        <f t="shared" si="20"/>
        <v>94.60390000000001</v>
      </c>
      <c r="Y33" s="183">
        <f t="shared" si="20"/>
        <v>91.218800000000002</v>
      </c>
      <c r="Z33" s="183">
        <f t="shared" si="20"/>
        <v>3.2170999999999998</v>
      </c>
      <c r="AA33" s="184">
        <f t="shared" si="20"/>
        <v>0.16800000000000001</v>
      </c>
      <c r="AB33" s="191"/>
      <c r="AC33" s="191"/>
      <c r="AD33" s="191"/>
      <c r="AE33" s="191"/>
      <c r="AF33" s="191"/>
      <c r="AG33" s="191"/>
      <c r="AH33" s="191"/>
      <c r="AI33" s="191"/>
      <c r="AJ33" s="191"/>
      <c r="AK33" s="191"/>
      <c r="AL33" s="191"/>
      <c r="AM33" s="191"/>
      <c r="AN33" s="191"/>
      <c r="AO33" s="191"/>
      <c r="AP33" s="191"/>
      <c r="AQ33" s="191"/>
      <c r="AR33" s="191"/>
    </row>
    <row r="34" spans="1:44" s="186" customFormat="1" x14ac:dyDescent="0.3">
      <c r="A34" s="196" t="s">
        <v>57</v>
      </c>
      <c r="B34" s="188">
        <v>9</v>
      </c>
      <c r="C34" s="188">
        <v>9</v>
      </c>
      <c r="D34" s="189">
        <f t="shared" si="15"/>
        <v>77.864571749999996</v>
      </c>
      <c r="E34" s="189">
        <v>74.178079650000001</v>
      </c>
      <c r="F34" s="189">
        <v>2.71553851</v>
      </c>
      <c r="G34" s="189">
        <v>0.97095359000000003</v>
      </c>
      <c r="H34" s="189">
        <f>I34+J34+K34</f>
        <v>78.423099999999991</v>
      </c>
      <c r="I34" s="189">
        <f>75947.2/1000</f>
        <v>75.947199999999995</v>
      </c>
      <c r="J34" s="192">
        <f>2297.9/1000</f>
        <v>2.2979000000000003</v>
      </c>
      <c r="K34" s="189">
        <f>178/1000</f>
        <v>0.17799999999999999</v>
      </c>
      <c r="L34" s="189">
        <f t="shared" si="8"/>
        <v>83.73060000000001</v>
      </c>
      <c r="M34" s="189">
        <v>79.859615520000006</v>
      </c>
      <c r="N34" s="189">
        <v>3.4443999999999999</v>
      </c>
      <c r="O34" s="189">
        <v>0.42658447999999999</v>
      </c>
      <c r="P34" s="189">
        <f>Q34+R34+S34</f>
        <v>88.381500000000003</v>
      </c>
      <c r="Q34" s="189">
        <v>84.523099999999999</v>
      </c>
      <c r="R34" s="189">
        <v>3.6903999999999999</v>
      </c>
      <c r="S34" s="189">
        <v>0.16800000000000001</v>
      </c>
      <c r="T34" s="189">
        <f>U34+V34+W34</f>
        <v>91.311200000000014</v>
      </c>
      <c r="U34" s="189">
        <f>87926.1/1000</f>
        <v>87.926100000000005</v>
      </c>
      <c r="V34" s="189">
        <f>3217.1/1000</f>
        <v>3.2170999999999998</v>
      </c>
      <c r="W34" s="189">
        <f>168/1000</f>
        <v>0.16800000000000001</v>
      </c>
      <c r="X34" s="189">
        <f>Y34+Z34+AA34</f>
        <v>94.60390000000001</v>
      </c>
      <c r="Y34" s="189">
        <f>91218.8/1000</f>
        <v>91.218800000000002</v>
      </c>
      <c r="Z34" s="189">
        <f>3217.1/1000</f>
        <v>3.2170999999999998</v>
      </c>
      <c r="AA34" s="190">
        <f>168/1000</f>
        <v>0.16800000000000001</v>
      </c>
      <c r="AB34" s="185"/>
      <c r="AC34" s="185"/>
      <c r="AD34" s="185"/>
      <c r="AE34" s="185"/>
      <c r="AF34" s="185"/>
      <c r="AG34" s="185"/>
      <c r="AH34" s="185"/>
      <c r="AI34" s="185"/>
      <c r="AJ34" s="185"/>
      <c r="AK34" s="185"/>
      <c r="AL34" s="185"/>
      <c r="AM34" s="185"/>
      <c r="AN34" s="185"/>
      <c r="AO34" s="185"/>
      <c r="AP34" s="185"/>
      <c r="AQ34" s="185"/>
      <c r="AR34" s="185"/>
    </row>
    <row r="35" spans="1:44" x14ac:dyDescent="0.3">
      <c r="A35" s="194" t="s">
        <v>65</v>
      </c>
      <c r="B35" s="182">
        <v>11</v>
      </c>
      <c r="C35" s="182"/>
      <c r="D35" s="183">
        <f>D36</f>
        <v>15.92318882</v>
      </c>
      <c r="E35" s="183">
        <f>E36</f>
        <v>15.26169782</v>
      </c>
      <c r="F35" s="183">
        <f>F36</f>
        <v>0.62626000000000004</v>
      </c>
      <c r="G35" s="183">
        <f>G36</f>
        <v>3.5230999999999998E-2</v>
      </c>
      <c r="H35" s="183">
        <f>H36</f>
        <v>15.595800000000001</v>
      </c>
      <c r="I35" s="183">
        <f t="shared" ref="I35:AA35" si="21">I36</f>
        <v>14.9772</v>
      </c>
      <c r="J35" s="183">
        <f t="shared" si="21"/>
        <v>0.61720000000000008</v>
      </c>
      <c r="K35" s="183">
        <f t="shared" si="21"/>
        <v>1.4E-3</v>
      </c>
      <c r="L35" s="183">
        <f t="shared" si="21"/>
        <v>15.8042</v>
      </c>
      <c r="M35" s="183">
        <f t="shared" si="21"/>
        <v>15.193300000000001</v>
      </c>
      <c r="N35" s="183">
        <f t="shared" si="21"/>
        <v>0.60850000000000004</v>
      </c>
      <c r="O35" s="183">
        <f t="shared" si="21"/>
        <v>2.3999999999999998E-3</v>
      </c>
      <c r="P35" s="183">
        <f t="shared" si="21"/>
        <v>16.323899999999998</v>
      </c>
      <c r="Q35" s="183">
        <f t="shared" si="21"/>
        <v>15.772500000000001</v>
      </c>
      <c r="R35" s="183">
        <f t="shared" si="21"/>
        <v>0.55079999999999996</v>
      </c>
      <c r="S35" s="183">
        <f t="shared" si="21"/>
        <v>5.9999999999999995E-4</v>
      </c>
      <c r="T35" s="183">
        <f t="shared" si="21"/>
        <v>16.946999999999996</v>
      </c>
      <c r="U35" s="183">
        <f t="shared" si="21"/>
        <v>16.395599999999998</v>
      </c>
      <c r="V35" s="183">
        <f t="shared" si="21"/>
        <v>0.55079999999999996</v>
      </c>
      <c r="W35" s="183">
        <f t="shared" si="21"/>
        <v>5.9999999999999995E-4</v>
      </c>
      <c r="X35" s="183">
        <f t="shared" si="21"/>
        <v>17.549799999999998</v>
      </c>
      <c r="Y35" s="183">
        <f t="shared" si="21"/>
        <v>16.9984</v>
      </c>
      <c r="Z35" s="183">
        <f t="shared" si="21"/>
        <v>0.55079999999999996</v>
      </c>
      <c r="AA35" s="184">
        <f t="shared" si="21"/>
        <v>5.9999999999999995E-4</v>
      </c>
      <c r="AB35" s="191"/>
      <c r="AC35" s="191"/>
      <c r="AD35" s="191"/>
      <c r="AE35" s="191"/>
      <c r="AF35" s="191"/>
      <c r="AG35" s="191"/>
      <c r="AH35" s="191"/>
      <c r="AI35" s="191"/>
      <c r="AJ35" s="191"/>
      <c r="AK35" s="191"/>
      <c r="AL35" s="191"/>
      <c r="AM35" s="191"/>
      <c r="AN35" s="191"/>
      <c r="AO35" s="191"/>
      <c r="AP35" s="191"/>
      <c r="AQ35" s="191"/>
      <c r="AR35" s="191"/>
    </row>
    <row r="36" spans="1:44" s="198" customFormat="1" ht="26.4" x14ac:dyDescent="0.3">
      <c r="A36" s="196" t="s">
        <v>313</v>
      </c>
      <c r="B36" s="188">
        <v>11</v>
      </c>
      <c r="C36" s="188">
        <v>5</v>
      </c>
      <c r="D36" s="189">
        <f>E36+F36+G36</f>
        <v>15.92318882</v>
      </c>
      <c r="E36" s="189">
        <v>15.26169782</v>
      </c>
      <c r="F36" s="189">
        <v>0.62626000000000004</v>
      </c>
      <c r="G36" s="189">
        <v>3.5230999999999998E-2</v>
      </c>
      <c r="H36" s="189">
        <f>I36+J36+K36</f>
        <v>15.595800000000001</v>
      </c>
      <c r="I36" s="189">
        <f>14977.2/1000</f>
        <v>14.9772</v>
      </c>
      <c r="J36" s="192">
        <f>617.2/1000</f>
        <v>0.61720000000000008</v>
      </c>
      <c r="K36" s="189">
        <f>1.4/1000</f>
        <v>1.4E-3</v>
      </c>
      <c r="L36" s="189">
        <f t="shared" si="8"/>
        <v>15.8042</v>
      </c>
      <c r="M36" s="189">
        <v>15.193300000000001</v>
      </c>
      <c r="N36" s="189">
        <v>0.60850000000000004</v>
      </c>
      <c r="O36" s="189">
        <v>2.3999999999999998E-3</v>
      </c>
      <c r="P36" s="189">
        <f>Q36+R36+S36</f>
        <v>16.323899999999998</v>
      </c>
      <c r="Q36" s="189">
        <v>15.772500000000001</v>
      </c>
      <c r="R36" s="189">
        <v>0.55079999999999996</v>
      </c>
      <c r="S36" s="189">
        <v>5.9999999999999995E-4</v>
      </c>
      <c r="T36" s="189">
        <f>U36+V36+W36</f>
        <v>16.946999999999996</v>
      </c>
      <c r="U36" s="189">
        <f>16395.6/1000</f>
        <v>16.395599999999998</v>
      </c>
      <c r="V36" s="189">
        <f>550.8/1000</f>
        <v>0.55079999999999996</v>
      </c>
      <c r="W36" s="189">
        <f>0.6/1000</f>
        <v>5.9999999999999995E-4</v>
      </c>
      <c r="X36" s="189">
        <f>Y36+Z36+AA36</f>
        <v>17.549799999999998</v>
      </c>
      <c r="Y36" s="189">
        <f>16998.4/1000</f>
        <v>16.9984</v>
      </c>
      <c r="Z36" s="189">
        <f>550.8/1000</f>
        <v>0.55079999999999996</v>
      </c>
      <c r="AA36" s="190">
        <f>0.6/1000</f>
        <v>5.9999999999999995E-4</v>
      </c>
      <c r="AB36" s="197"/>
      <c r="AC36" s="197"/>
      <c r="AD36" s="197"/>
      <c r="AE36" s="197"/>
      <c r="AF36" s="197"/>
      <c r="AG36" s="197"/>
      <c r="AH36" s="197"/>
      <c r="AI36" s="197"/>
      <c r="AJ36" s="197"/>
      <c r="AK36" s="197"/>
      <c r="AL36" s="197"/>
      <c r="AM36" s="197"/>
      <c r="AN36" s="197"/>
      <c r="AO36" s="197"/>
      <c r="AP36" s="197"/>
      <c r="AQ36" s="197"/>
      <c r="AR36" s="197"/>
    </row>
    <row r="37" spans="1:44" hidden="1" x14ac:dyDescent="0.3">
      <c r="A37" s="199" t="s">
        <v>58</v>
      </c>
      <c r="B37" s="200">
        <v>12</v>
      </c>
      <c r="C37" s="200"/>
      <c r="D37" s="201">
        <f t="shared" si="15"/>
        <v>0</v>
      </c>
      <c r="E37" s="201">
        <f>E38</f>
        <v>0</v>
      </c>
      <c r="F37" s="201">
        <f>F38</f>
        <v>0</v>
      </c>
      <c r="G37" s="201">
        <f>G38</f>
        <v>0</v>
      </c>
      <c r="H37" s="201">
        <f>H38</f>
        <v>19.360499999999998</v>
      </c>
      <c r="I37" s="201">
        <f>I38</f>
        <v>18.601099999999999</v>
      </c>
      <c r="J37" s="201">
        <f t="shared" ref="J37:AA37" si="22">J38</f>
        <v>0.75739999999999996</v>
      </c>
      <c r="K37" s="201">
        <f t="shared" si="22"/>
        <v>2E-3</v>
      </c>
      <c r="L37" s="201">
        <f t="shared" si="22"/>
        <v>0</v>
      </c>
      <c r="M37" s="201">
        <f t="shared" si="22"/>
        <v>0</v>
      </c>
      <c r="N37" s="201">
        <f t="shared" si="22"/>
        <v>0</v>
      </c>
      <c r="O37" s="201">
        <f t="shared" si="22"/>
        <v>0</v>
      </c>
      <c r="P37" s="201">
        <f t="shared" si="22"/>
        <v>0</v>
      </c>
      <c r="Q37" s="201">
        <f t="shared" si="22"/>
        <v>0</v>
      </c>
      <c r="R37" s="201">
        <f t="shared" si="22"/>
        <v>0</v>
      </c>
      <c r="S37" s="201">
        <f t="shared" si="22"/>
        <v>0</v>
      </c>
      <c r="T37" s="201">
        <f t="shared" si="22"/>
        <v>0</v>
      </c>
      <c r="U37" s="201">
        <f t="shared" si="22"/>
        <v>0</v>
      </c>
      <c r="V37" s="201">
        <f t="shared" si="22"/>
        <v>0</v>
      </c>
      <c r="W37" s="201">
        <f t="shared" si="22"/>
        <v>0</v>
      </c>
      <c r="X37" s="201">
        <f t="shared" si="22"/>
        <v>0</v>
      </c>
      <c r="Y37" s="201">
        <f t="shared" si="22"/>
        <v>0</v>
      </c>
      <c r="Z37" s="201">
        <f t="shared" si="22"/>
        <v>0</v>
      </c>
      <c r="AA37" s="202">
        <f t="shared" si="22"/>
        <v>0</v>
      </c>
    </row>
    <row r="38" spans="1:44" ht="26.4" hidden="1" x14ac:dyDescent="0.3">
      <c r="A38" s="203" t="s">
        <v>59</v>
      </c>
      <c r="B38" s="188">
        <v>12</v>
      </c>
      <c r="C38" s="188">
        <v>4</v>
      </c>
      <c r="D38" s="204">
        <f t="shared" si="15"/>
        <v>0</v>
      </c>
      <c r="E38" s="204"/>
      <c r="F38" s="204"/>
      <c r="G38" s="204"/>
      <c r="H38" s="204">
        <f>I38+J38+K38</f>
        <v>19.360499999999998</v>
      </c>
      <c r="I38" s="204">
        <f>18601.1/1000</f>
        <v>18.601099999999999</v>
      </c>
      <c r="J38" s="204">
        <f>757.4/1000</f>
        <v>0.75739999999999996</v>
      </c>
      <c r="K38" s="204">
        <f>2/1000</f>
        <v>2E-3</v>
      </c>
      <c r="L38" s="204">
        <f t="shared" si="8"/>
        <v>0</v>
      </c>
      <c r="M38" s="204"/>
      <c r="N38" s="204"/>
      <c r="O38" s="204"/>
      <c r="P38" s="204">
        <f>Q38+R38+S38</f>
        <v>0</v>
      </c>
      <c r="Q38" s="204"/>
      <c r="R38" s="204"/>
      <c r="S38" s="204"/>
      <c r="T38" s="204">
        <f>U38+V38+W38</f>
        <v>0</v>
      </c>
      <c r="U38" s="204"/>
      <c r="V38" s="204"/>
      <c r="W38" s="204"/>
      <c r="X38" s="204">
        <f>Y38+Z38+AA38</f>
        <v>0</v>
      </c>
      <c r="Y38" s="204"/>
      <c r="Z38" s="204"/>
      <c r="AA38" s="205"/>
    </row>
    <row r="39" spans="1:44" ht="13.8" thickBot="1" x14ac:dyDescent="0.35">
      <c r="A39" s="206" t="s">
        <v>60</v>
      </c>
      <c r="B39" s="207"/>
      <c r="C39" s="207"/>
      <c r="D39" s="208">
        <f>D9+D17+D19+D26+D28+D31+D33+D37+D35</f>
        <v>1643.4537475100001</v>
      </c>
      <c r="E39" s="208">
        <f t="shared" ref="E39:AA39" si="23">E9+E17+E19+E26+E28+E31+E33+E37+E35</f>
        <v>1505.8830120299999</v>
      </c>
      <c r="F39" s="208">
        <f t="shared" si="23"/>
        <v>133.51243491000002</v>
      </c>
      <c r="G39" s="208">
        <f t="shared" si="23"/>
        <v>4.0583005699999992</v>
      </c>
      <c r="H39" s="208">
        <f t="shared" si="23"/>
        <v>1642.9387000000002</v>
      </c>
      <c r="I39" s="208">
        <f t="shared" si="23"/>
        <v>1503.6379000000002</v>
      </c>
      <c r="J39" s="208">
        <f t="shared" si="23"/>
        <v>137.01769999999996</v>
      </c>
      <c r="K39" s="208">
        <f t="shared" si="23"/>
        <v>2.2830999999999992</v>
      </c>
      <c r="L39" s="208">
        <f t="shared" si="23"/>
        <v>1805.7623396100003</v>
      </c>
      <c r="M39" s="208">
        <f t="shared" si="23"/>
        <v>1627.12224171</v>
      </c>
      <c r="N39" s="208">
        <f t="shared" si="23"/>
        <v>173.41698706</v>
      </c>
      <c r="O39" s="208">
        <f t="shared" si="23"/>
        <v>5.2231108399999995</v>
      </c>
      <c r="P39" s="208">
        <f t="shared" si="23"/>
        <v>1854.9716000000001</v>
      </c>
      <c r="Q39" s="208">
        <f t="shared" si="23"/>
        <v>1677.0061999999998</v>
      </c>
      <c r="R39" s="208">
        <f t="shared" si="23"/>
        <v>175.86580000000004</v>
      </c>
      <c r="S39" s="208">
        <f t="shared" si="23"/>
        <v>2.0996000000000001</v>
      </c>
      <c r="T39" s="208">
        <f t="shared" si="23"/>
        <v>1885.7745</v>
      </c>
      <c r="U39" s="208">
        <f t="shared" si="23"/>
        <v>1738.8240999999998</v>
      </c>
      <c r="V39" s="208">
        <f t="shared" si="23"/>
        <v>145.05160000000004</v>
      </c>
      <c r="W39" s="208">
        <f t="shared" si="23"/>
        <v>1.8987999999999998</v>
      </c>
      <c r="X39" s="208">
        <f t="shared" si="23"/>
        <v>1949.5294000000001</v>
      </c>
      <c r="Y39" s="208">
        <f t="shared" si="23"/>
        <v>1803.3627000000004</v>
      </c>
      <c r="Z39" s="208">
        <f t="shared" si="23"/>
        <v>144.11169999999998</v>
      </c>
      <c r="AA39" s="209">
        <f t="shared" si="23"/>
        <v>2.0549999999999997</v>
      </c>
    </row>
    <row r="40" spans="1:44" ht="13.8" thickTop="1" x14ac:dyDescent="0.3"/>
  </sheetData>
  <mergeCells count="22">
    <mergeCell ref="Y6:AA6"/>
    <mergeCell ref="A3:AA3"/>
    <mergeCell ref="I6:K6"/>
    <mergeCell ref="T5:W5"/>
    <mergeCell ref="X6:X7"/>
    <mergeCell ref="H6:H7"/>
    <mergeCell ref="X5:AA5"/>
    <mergeCell ref="L6:L7"/>
    <mergeCell ref="M6:O6"/>
    <mergeCell ref="P6:P7"/>
    <mergeCell ref="Q6:S6"/>
    <mergeCell ref="T6:T7"/>
    <mergeCell ref="U6:W6"/>
    <mergeCell ref="L5:O5"/>
    <mergeCell ref="P5:S5"/>
    <mergeCell ref="A5:A7"/>
    <mergeCell ref="B5:B7"/>
    <mergeCell ref="C5:C7"/>
    <mergeCell ref="D5:G5"/>
    <mergeCell ref="H5:K5"/>
    <mergeCell ref="D6:D7"/>
    <mergeCell ref="E6:G6"/>
  </mergeCells>
  <pageMargins left="0.39370078740157483" right="0.39370078740157483" top="0.74803149606299213" bottom="0.74803149606299213" header="0.31496062992125984" footer="0.31496062992125984"/>
  <pageSetup paperSize="9" scale="58" fitToHeight="0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G133"/>
  <sheetViews>
    <sheetView zoomScale="115" zoomScaleNormal="115" workbookViewId="0">
      <selection activeCell="J5" sqref="J5:K5"/>
    </sheetView>
  </sheetViews>
  <sheetFormatPr defaultColWidth="8.88671875" defaultRowHeight="13.2" x14ac:dyDescent="0.25"/>
  <cols>
    <col min="1" max="1" width="44.6640625" style="212" customWidth="1"/>
    <col min="2" max="2" width="15.5546875" style="212" hidden="1" customWidth="1"/>
    <col min="3" max="3" width="13.33203125" style="213" hidden="1" customWidth="1"/>
    <col min="4" max="4" width="14.44140625" style="213" hidden="1" customWidth="1"/>
    <col min="5" max="5" width="15.5546875" style="213" hidden="1" customWidth="1"/>
    <col min="6" max="7" width="15.88671875" style="213" customWidth="1"/>
    <col min="8" max="8" width="13.33203125" style="213" hidden="1" customWidth="1"/>
    <col min="9" max="9" width="12.88671875" style="213" hidden="1" customWidth="1"/>
    <col min="10" max="10" width="11.33203125" style="213" customWidth="1"/>
    <col min="11" max="11" width="11" style="213" customWidth="1"/>
    <col min="12" max="12" width="13.88671875" style="213" customWidth="1"/>
    <col min="13" max="13" width="12.6640625" style="213" customWidth="1"/>
    <col min="14" max="14" width="15.33203125" style="213" hidden="1" customWidth="1"/>
    <col min="15" max="15" width="16.109375" style="213" hidden="1" customWidth="1"/>
    <col min="16" max="16" width="10" style="213" customWidth="1"/>
    <col min="17" max="17" width="11.109375" style="213" customWidth="1"/>
    <col min="18" max="18" width="15.5546875" style="213" customWidth="1"/>
    <col min="19" max="19" width="15.6640625" style="212" customWidth="1"/>
    <col min="20" max="20" width="13.88671875" style="212" hidden="1" customWidth="1"/>
    <col min="21" max="21" width="16.88671875" style="212" hidden="1" customWidth="1"/>
    <col min="22" max="22" width="11" style="212" customWidth="1"/>
    <col min="23" max="23" width="10.5546875" style="212" customWidth="1"/>
    <col min="24" max="24" width="12.5546875" style="212" hidden="1" customWidth="1"/>
    <col min="25" max="25" width="9.44140625" style="212" hidden="1" customWidth="1"/>
    <col min="26" max="16384" width="8.88671875" style="212"/>
  </cols>
  <sheetData>
    <row r="1" spans="1:33" x14ac:dyDescent="0.25">
      <c r="W1" s="368" t="s">
        <v>569</v>
      </c>
    </row>
    <row r="3" spans="1:33" ht="15.6" customHeight="1" x14ac:dyDescent="0.25">
      <c r="A3" s="343" t="s">
        <v>316</v>
      </c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3"/>
      <c r="S3" s="343"/>
      <c r="T3" s="343"/>
      <c r="U3" s="343"/>
      <c r="V3" s="343"/>
      <c r="W3" s="343"/>
      <c r="X3" s="214"/>
      <c r="Y3" s="214"/>
      <c r="Z3" s="214"/>
      <c r="AA3" s="214"/>
      <c r="AB3" s="214"/>
      <c r="AC3" s="214"/>
      <c r="AD3" s="214"/>
      <c r="AE3" s="214"/>
      <c r="AF3" s="214"/>
      <c r="AG3" s="214"/>
    </row>
    <row r="4" spans="1:33" ht="13.8" thickBot="1" x14ac:dyDescent="0.3">
      <c r="V4" s="344" t="s">
        <v>12</v>
      </c>
      <c r="W4" s="344"/>
      <c r="X4" s="336" t="s">
        <v>72</v>
      </c>
      <c r="Y4" s="336"/>
    </row>
    <row r="5" spans="1:33" ht="90.6" customHeight="1" thickTop="1" x14ac:dyDescent="0.25">
      <c r="A5" s="345" t="s">
        <v>0</v>
      </c>
      <c r="B5" s="347" t="s">
        <v>73</v>
      </c>
      <c r="C5" s="349" t="s">
        <v>74</v>
      </c>
      <c r="D5" s="349" t="s">
        <v>62</v>
      </c>
      <c r="E5" s="349" t="s">
        <v>63</v>
      </c>
      <c r="F5" s="337" t="s">
        <v>532</v>
      </c>
      <c r="G5" s="337" t="s">
        <v>533</v>
      </c>
      <c r="H5" s="337" t="s">
        <v>75</v>
      </c>
      <c r="I5" s="337" t="s">
        <v>328</v>
      </c>
      <c r="J5" s="339" t="s">
        <v>76</v>
      </c>
      <c r="K5" s="339"/>
      <c r="L5" s="337" t="s">
        <v>329</v>
      </c>
      <c r="M5" s="337" t="s">
        <v>330</v>
      </c>
      <c r="N5" s="337" t="s">
        <v>317</v>
      </c>
      <c r="O5" s="337" t="s">
        <v>331</v>
      </c>
      <c r="P5" s="339" t="s">
        <v>318</v>
      </c>
      <c r="Q5" s="339"/>
      <c r="R5" s="337" t="s">
        <v>534</v>
      </c>
      <c r="S5" s="337" t="s">
        <v>535</v>
      </c>
      <c r="T5" s="337" t="s">
        <v>536</v>
      </c>
      <c r="U5" s="337" t="s">
        <v>537</v>
      </c>
      <c r="V5" s="339" t="s">
        <v>538</v>
      </c>
      <c r="W5" s="340"/>
      <c r="X5" s="341" t="s">
        <v>77</v>
      </c>
      <c r="Y5" s="342" t="s">
        <v>78</v>
      </c>
    </row>
    <row r="6" spans="1:33" x14ac:dyDescent="0.25">
      <c r="A6" s="346"/>
      <c r="B6" s="348"/>
      <c r="C6" s="350"/>
      <c r="D6" s="350"/>
      <c r="E6" s="350"/>
      <c r="F6" s="338"/>
      <c r="G6" s="338"/>
      <c r="H6" s="338"/>
      <c r="I6" s="338"/>
      <c r="J6" s="210" t="s">
        <v>79</v>
      </c>
      <c r="K6" s="210" t="s">
        <v>13</v>
      </c>
      <c r="L6" s="338"/>
      <c r="M6" s="338"/>
      <c r="N6" s="338"/>
      <c r="O6" s="338"/>
      <c r="P6" s="210" t="s">
        <v>79</v>
      </c>
      <c r="Q6" s="210" t="s">
        <v>13</v>
      </c>
      <c r="R6" s="338"/>
      <c r="S6" s="338"/>
      <c r="T6" s="338"/>
      <c r="U6" s="338"/>
      <c r="V6" s="210" t="s">
        <v>79</v>
      </c>
      <c r="W6" s="211" t="s">
        <v>13</v>
      </c>
      <c r="X6" s="341"/>
      <c r="Y6" s="342"/>
    </row>
    <row r="7" spans="1:33" ht="26.4" x14ac:dyDescent="0.25">
      <c r="A7" s="215" t="s">
        <v>19</v>
      </c>
      <c r="B7" s="216"/>
      <c r="C7" s="217"/>
      <c r="D7" s="217"/>
      <c r="E7" s="217"/>
      <c r="F7" s="217">
        <v>1</v>
      </c>
      <c r="G7" s="217">
        <v>2</v>
      </c>
      <c r="H7" s="218" t="s">
        <v>332</v>
      </c>
      <c r="I7" s="218" t="s">
        <v>333</v>
      </c>
      <c r="J7" s="218" t="s">
        <v>80</v>
      </c>
      <c r="K7" s="218" t="s">
        <v>81</v>
      </c>
      <c r="L7" s="217">
        <v>5</v>
      </c>
      <c r="M7" s="218">
        <v>6</v>
      </c>
      <c r="N7" s="218" t="s">
        <v>334</v>
      </c>
      <c r="O7" s="218" t="s">
        <v>335</v>
      </c>
      <c r="P7" s="218" t="s">
        <v>82</v>
      </c>
      <c r="Q7" s="218" t="s">
        <v>83</v>
      </c>
      <c r="R7" s="217">
        <v>9</v>
      </c>
      <c r="S7" s="218">
        <v>10</v>
      </c>
      <c r="T7" s="218" t="s">
        <v>336</v>
      </c>
      <c r="U7" s="218" t="s">
        <v>337</v>
      </c>
      <c r="V7" s="218" t="s">
        <v>84</v>
      </c>
      <c r="W7" s="219" t="s">
        <v>85</v>
      </c>
      <c r="X7" s="220"/>
      <c r="Y7" s="221"/>
    </row>
    <row r="8" spans="1:33" ht="39.6" x14ac:dyDescent="0.25">
      <c r="A8" s="222" t="s">
        <v>539</v>
      </c>
      <c r="B8" s="223" t="s">
        <v>86</v>
      </c>
      <c r="C8" s="224">
        <f t="shared" ref="C8:I8" si="0">SUM(C9:C17)</f>
        <v>12134.02</v>
      </c>
      <c r="D8" s="224">
        <f t="shared" si="0"/>
        <v>13131.6908</v>
      </c>
      <c r="E8" s="224">
        <f t="shared" si="0"/>
        <v>12143.8959</v>
      </c>
      <c r="F8" s="225">
        <f t="shared" si="0"/>
        <v>15285.589099999999</v>
      </c>
      <c r="G8" s="225">
        <f t="shared" si="0"/>
        <v>15285.589099999997</v>
      </c>
      <c r="H8" s="225">
        <f t="shared" si="0"/>
        <v>14879.058599999997</v>
      </c>
      <c r="I8" s="225">
        <f t="shared" si="0"/>
        <v>406.53049999999996</v>
      </c>
      <c r="J8" s="226">
        <f>F8-G8</f>
        <v>0</v>
      </c>
      <c r="K8" s="226">
        <f>F8/G8*100-100</f>
        <v>0</v>
      </c>
      <c r="L8" s="225">
        <f>SUM(L9:L17)</f>
        <v>14832.061900000001</v>
      </c>
      <c r="M8" s="225">
        <f>SUM(M9:M17)</f>
        <v>16447.331900000001</v>
      </c>
      <c r="N8" s="225">
        <f>SUM(N9:N17)</f>
        <v>14922.6044</v>
      </c>
      <c r="O8" s="225">
        <f>SUM(O9:O17)</f>
        <v>1524.7275</v>
      </c>
      <c r="P8" s="226">
        <f>L8-M8</f>
        <v>-1615.2700000000004</v>
      </c>
      <c r="Q8" s="226">
        <f>L8/M8*100-100</f>
        <v>-9.820863407030771</v>
      </c>
      <c r="R8" s="225">
        <f>SUM(R9:R17)</f>
        <v>15217.730760000002</v>
      </c>
      <c r="S8" s="225">
        <f>SUM(S9:S17)</f>
        <v>18516.325199999999</v>
      </c>
      <c r="T8" s="225">
        <f>SUM(T9:T17)</f>
        <v>16548.012699999999</v>
      </c>
      <c r="U8" s="225">
        <f>SUM(U9:U17)</f>
        <v>1968.3125</v>
      </c>
      <c r="V8" s="227">
        <f>R8-S8</f>
        <v>-3298.5944399999971</v>
      </c>
      <c r="W8" s="228">
        <f>R8/S8*100-100</f>
        <v>-17.814519913486919</v>
      </c>
      <c r="X8" s="229">
        <f>M8+135.8766</f>
        <v>16583.208500000001</v>
      </c>
      <c r="Y8" s="230">
        <f>S8+132.9944</f>
        <v>18649.319599999999</v>
      </c>
    </row>
    <row r="9" spans="1:33" ht="39.6" x14ac:dyDescent="0.25">
      <c r="A9" s="231" t="s">
        <v>87</v>
      </c>
      <c r="B9" s="232" t="s">
        <v>88</v>
      </c>
      <c r="C9" s="233">
        <v>78.189400000000006</v>
      </c>
      <c r="D9" s="233">
        <v>76.744</v>
      </c>
      <c r="E9" s="233">
        <v>149.7723</v>
      </c>
      <c r="F9" s="234">
        <v>140.89869999999999</v>
      </c>
      <c r="G9" s="235">
        <f>H9+I9</f>
        <v>140.89870000000002</v>
      </c>
      <c r="H9" s="235">
        <f>139818.7/1000</f>
        <v>139.81870000000001</v>
      </c>
      <c r="I9" s="235">
        <f>1080/1000</f>
        <v>1.08</v>
      </c>
      <c r="J9" s="236">
        <f>F9-G9</f>
        <v>0</v>
      </c>
      <c r="K9" s="236">
        <f>F9/G9*100-100</f>
        <v>0</v>
      </c>
      <c r="L9" s="235">
        <v>115.12820000000001</v>
      </c>
      <c r="M9" s="235">
        <f>N9+O9</f>
        <v>203.88860000000003</v>
      </c>
      <c r="N9" s="235">
        <v>203.86420000000001</v>
      </c>
      <c r="O9" s="235">
        <f>24.4/1000</f>
        <v>2.4399999999999998E-2</v>
      </c>
      <c r="P9" s="236">
        <f t="shared" ref="P9:P57" si="1">L9-M9</f>
        <v>-88.760400000000018</v>
      </c>
      <c r="Q9" s="236">
        <f t="shared" ref="Q9:Q15" si="2">L9/M9*100-100</f>
        <v>-43.533772854392062</v>
      </c>
      <c r="R9" s="235">
        <v>120.42959999999999</v>
      </c>
      <c r="S9" s="235">
        <f>T9+U9</f>
        <v>281.2038</v>
      </c>
      <c r="T9" s="237">
        <f>281203.8/1000</f>
        <v>281.2038</v>
      </c>
      <c r="U9" s="235"/>
      <c r="V9" s="238">
        <f t="shared" ref="V9:V77" si="3">R9-S9</f>
        <v>-160.77420000000001</v>
      </c>
      <c r="W9" s="239">
        <f t="shared" ref="W9:W77" si="4">R9/S9*100-100</f>
        <v>-57.173551708760698</v>
      </c>
      <c r="X9" s="220"/>
      <c r="Y9" s="240"/>
    </row>
    <row r="10" spans="1:33" ht="66" x14ac:dyDescent="0.25">
      <c r="A10" s="231" t="s">
        <v>89</v>
      </c>
      <c r="B10" s="232" t="s">
        <v>90</v>
      </c>
      <c r="C10" s="233">
        <v>2926.8344999999999</v>
      </c>
      <c r="D10" s="233">
        <v>2484.1666</v>
      </c>
      <c r="E10" s="233">
        <v>2296.3462</v>
      </c>
      <c r="F10" s="234">
        <v>3210.1453999999999</v>
      </c>
      <c r="G10" s="235">
        <f t="shared" ref="G10:G67" si="5">H10+I10</f>
        <v>3210.1453999999994</v>
      </c>
      <c r="H10" s="235">
        <f>3065272.3 /1000</f>
        <v>3065.2722999999996</v>
      </c>
      <c r="I10" s="235">
        <f>144873.1/1000</f>
        <v>144.87309999999999</v>
      </c>
      <c r="J10" s="236">
        <f t="shared" ref="J10:J73" si="6">F10-G10</f>
        <v>0</v>
      </c>
      <c r="K10" s="236">
        <f t="shared" ref="K10:K73" si="7">F10/G10*100-100</f>
        <v>0</v>
      </c>
      <c r="L10" s="235">
        <v>3300.8418999999999</v>
      </c>
      <c r="M10" s="235">
        <f t="shared" ref="M10:M17" si="8">N10+O10</f>
        <v>3030.8818000000001</v>
      </c>
      <c r="N10" s="235">
        <v>2926.8322000000003</v>
      </c>
      <c r="O10" s="235">
        <f>104049.6/1000</f>
        <v>104.04960000000001</v>
      </c>
      <c r="P10" s="236">
        <f t="shared" si="1"/>
        <v>269.96009999999978</v>
      </c>
      <c r="Q10" s="236">
        <f t="shared" si="2"/>
        <v>8.9069821198569912</v>
      </c>
      <c r="R10" s="235">
        <v>3403.1350000000002</v>
      </c>
      <c r="S10" s="235">
        <f t="shared" ref="S10:S17" si="9">T10+U10</f>
        <v>3042.4847999999997</v>
      </c>
      <c r="T10" s="235">
        <f>2919398.9/1000</f>
        <v>2919.3988999999997</v>
      </c>
      <c r="U10" s="235">
        <f>123085.9/1000</f>
        <v>123.0859</v>
      </c>
      <c r="V10" s="238">
        <f t="shared" si="3"/>
        <v>360.6502000000005</v>
      </c>
      <c r="W10" s="239">
        <f t="shared" si="4"/>
        <v>11.853804495588619</v>
      </c>
      <c r="X10" s="220"/>
      <c r="Y10" s="221"/>
    </row>
    <row r="11" spans="1:33" ht="26.4" x14ac:dyDescent="0.25">
      <c r="A11" s="231" t="s">
        <v>91</v>
      </c>
      <c r="B11" s="232" t="s">
        <v>92</v>
      </c>
      <c r="C11" s="233">
        <v>403.3442</v>
      </c>
      <c r="D11" s="233">
        <v>353.97989999999999</v>
      </c>
      <c r="E11" s="233">
        <v>307.21449999999999</v>
      </c>
      <c r="F11" s="234">
        <v>552.98180000000002</v>
      </c>
      <c r="G11" s="235">
        <f t="shared" si="5"/>
        <v>552.98180000000002</v>
      </c>
      <c r="H11" s="235">
        <f>433225.4/1000</f>
        <v>433.22540000000004</v>
      </c>
      <c r="I11" s="235">
        <f>119756.4/1000</f>
        <v>119.7564</v>
      </c>
      <c r="J11" s="236">
        <f t="shared" si="6"/>
        <v>0</v>
      </c>
      <c r="K11" s="236">
        <f t="shared" si="7"/>
        <v>0</v>
      </c>
      <c r="L11" s="235">
        <v>537.99900000000002</v>
      </c>
      <c r="M11" s="235">
        <f t="shared" si="8"/>
        <v>1900.0819000000001</v>
      </c>
      <c r="N11" s="235">
        <v>607.18190000000004</v>
      </c>
      <c r="O11" s="235">
        <f xml:space="preserve"> 1292900/1000</f>
        <v>1292.9000000000001</v>
      </c>
      <c r="P11" s="236">
        <f t="shared" si="1"/>
        <v>-1362.0829000000001</v>
      </c>
      <c r="Q11" s="236">
        <f t="shared" si="2"/>
        <v>-71.685483662572651</v>
      </c>
      <c r="R11" s="235">
        <v>391.00065999999998</v>
      </c>
      <c r="S11" s="235">
        <f t="shared" si="9"/>
        <v>2535.8384999999998</v>
      </c>
      <c r="T11" s="235">
        <f>692338.5/1000</f>
        <v>692.33849999999995</v>
      </c>
      <c r="U11" s="235">
        <f>1843500/1000</f>
        <v>1843.5</v>
      </c>
      <c r="V11" s="238">
        <f t="shared" si="3"/>
        <v>-2144.8378399999997</v>
      </c>
      <c r="W11" s="239">
        <f t="shared" si="4"/>
        <v>-84.581010975265187</v>
      </c>
      <c r="X11" s="220"/>
      <c r="Y11" s="221"/>
    </row>
    <row r="12" spans="1:33" ht="39.6" x14ac:dyDescent="0.25">
      <c r="A12" s="231" t="s">
        <v>93</v>
      </c>
      <c r="B12" s="232" t="s">
        <v>94</v>
      </c>
      <c r="C12" s="233">
        <v>165.13</v>
      </c>
      <c r="D12" s="233">
        <v>167.17869999999999</v>
      </c>
      <c r="E12" s="233">
        <v>148.22890000000001</v>
      </c>
      <c r="F12" s="234">
        <v>142.22999999999999</v>
      </c>
      <c r="G12" s="235">
        <f t="shared" si="5"/>
        <v>142.22999999999999</v>
      </c>
      <c r="H12" s="235">
        <f>142230/1000</f>
        <v>142.22999999999999</v>
      </c>
      <c r="I12" s="235"/>
      <c r="J12" s="236">
        <f t="shared" si="6"/>
        <v>0</v>
      </c>
      <c r="K12" s="236">
        <f t="shared" si="7"/>
        <v>0</v>
      </c>
      <c r="L12" s="235">
        <v>146.0129</v>
      </c>
      <c r="M12" s="235">
        <f t="shared" si="8"/>
        <v>146.0129</v>
      </c>
      <c r="N12" s="235">
        <f>146012.9/1000</f>
        <v>146.0129</v>
      </c>
      <c r="O12" s="235"/>
      <c r="P12" s="236">
        <f t="shared" si="1"/>
        <v>0</v>
      </c>
      <c r="Q12" s="236">
        <f t="shared" si="2"/>
        <v>0</v>
      </c>
      <c r="R12" s="235">
        <v>150.73310000000001</v>
      </c>
      <c r="S12" s="235">
        <f t="shared" si="9"/>
        <v>150.73310000000001</v>
      </c>
      <c r="T12" s="235">
        <f>150733.1/1000</f>
        <v>150.73310000000001</v>
      </c>
      <c r="U12" s="235"/>
      <c r="V12" s="238">
        <f t="shared" si="3"/>
        <v>0</v>
      </c>
      <c r="W12" s="239">
        <f t="shared" si="4"/>
        <v>0</v>
      </c>
      <c r="X12" s="220"/>
      <c r="Y12" s="221"/>
    </row>
    <row r="13" spans="1:33" ht="26.4" x14ac:dyDescent="0.25">
      <c r="A13" s="231" t="s">
        <v>95</v>
      </c>
      <c r="B13" s="232" t="s">
        <v>96</v>
      </c>
      <c r="C13" s="233">
        <v>173.36799999999999</v>
      </c>
      <c r="D13" s="233">
        <v>284.59719999999999</v>
      </c>
      <c r="E13" s="233">
        <v>290.03460000000001</v>
      </c>
      <c r="F13" s="234">
        <v>383.82650000000001</v>
      </c>
      <c r="G13" s="235">
        <f t="shared" si="5"/>
        <v>383.82650000000001</v>
      </c>
      <c r="H13" s="235">
        <f>383826.5/1000</f>
        <v>383.82650000000001</v>
      </c>
      <c r="I13" s="235"/>
      <c r="J13" s="236">
        <f t="shared" si="6"/>
        <v>0</v>
      </c>
      <c r="K13" s="236">
        <f t="shared" si="7"/>
        <v>0</v>
      </c>
      <c r="L13" s="235">
        <v>370.399</v>
      </c>
      <c r="M13" s="235">
        <f t="shared" si="8"/>
        <v>370.399</v>
      </c>
      <c r="N13" s="235">
        <f>370399/1000</f>
        <v>370.399</v>
      </c>
      <c r="O13" s="235"/>
      <c r="P13" s="236">
        <f t="shared" si="1"/>
        <v>0</v>
      </c>
      <c r="Q13" s="236">
        <f t="shared" si="2"/>
        <v>0</v>
      </c>
      <c r="R13" s="235">
        <v>386.2448</v>
      </c>
      <c r="S13" s="235">
        <f t="shared" si="9"/>
        <v>386.2448</v>
      </c>
      <c r="T13" s="235">
        <f>386244.8/1000</f>
        <v>386.2448</v>
      </c>
      <c r="U13" s="235"/>
      <c r="V13" s="238">
        <f t="shared" si="3"/>
        <v>0</v>
      </c>
      <c r="W13" s="239">
        <f t="shared" si="4"/>
        <v>0</v>
      </c>
      <c r="X13" s="220"/>
      <c r="Y13" s="221"/>
    </row>
    <row r="14" spans="1:33" ht="26.4" x14ac:dyDescent="0.25">
      <c r="A14" s="231" t="s">
        <v>97</v>
      </c>
      <c r="B14" s="232" t="s">
        <v>98</v>
      </c>
      <c r="C14" s="233">
        <v>162.09030000000001</v>
      </c>
      <c r="D14" s="233">
        <v>158.54329999999999</v>
      </c>
      <c r="E14" s="233">
        <v>157.42750000000001</v>
      </c>
      <c r="F14" s="234">
        <v>208.8664</v>
      </c>
      <c r="G14" s="235">
        <f t="shared" si="5"/>
        <v>208.8664</v>
      </c>
      <c r="H14" s="235">
        <f>193566.4/1000</f>
        <v>193.56639999999999</v>
      </c>
      <c r="I14" s="235">
        <v>15.3</v>
      </c>
      <c r="J14" s="236">
        <f t="shared" si="6"/>
        <v>0</v>
      </c>
      <c r="K14" s="236">
        <f t="shared" si="7"/>
        <v>0</v>
      </c>
      <c r="L14" s="235">
        <v>216.55170000000001</v>
      </c>
      <c r="M14" s="235">
        <f t="shared" si="8"/>
        <v>152.68220000000002</v>
      </c>
      <c r="N14" s="235">
        <f>152682.2/1000</f>
        <v>152.68220000000002</v>
      </c>
      <c r="O14" s="235"/>
      <c r="P14" s="236">
        <f t="shared" si="1"/>
        <v>63.869499999999988</v>
      </c>
      <c r="Q14" s="236">
        <f t="shared" si="2"/>
        <v>41.831660796084947</v>
      </c>
      <c r="R14" s="235">
        <v>226.2236</v>
      </c>
      <c r="S14" s="235">
        <f t="shared" si="9"/>
        <v>159.1035</v>
      </c>
      <c r="T14" s="235">
        <f>159103.5/1000</f>
        <v>159.1035</v>
      </c>
      <c r="U14" s="235"/>
      <c r="V14" s="238">
        <f t="shared" si="3"/>
        <v>67.120100000000008</v>
      </c>
      <c r="W14" s="239">
        <f t="shared" si="4"/>
        <v>42.186438387590471</v>
      </c>
      <c r="X14" s="220"/>
      <c r="Y14" s="221"/>
    </row>
    <row r="15" spans="1:33" ht="39.6" x14ac:dyDescent="0.25">
      <c r="A15" s="231" t="s">
        <v>99</v>
      </c>
      <c r="B15" s="232" t="s">
        <v>100</v>
      </c>
      <c r="C15" s="233">
        <v>1134.2507000000001</v>
      </c>
      <c r="D15" s="233">
        <v>1177.6686</v>
      </c>
      <c r="E15" s="233">
        <v>715.76390000000004</v>
      </c>
      <c r="F15" s="234">
        <v>1661.4612999999999</v>
      </c>
      <c r="G15" s="235">
        <f t="shared" si="5"/>
        <v>1661.4613000000002</v>
      </c>
      <c r="H15" s="235">
        <f>1537587.1/1000</f>
        <v>1537.5871000000002</v>
      </c>
      <c r="I15" s="235">
        <f>123874.2/1000</f>
        <v>123.8742</v>
      </c>
      <c r="J15" s="236">
        <f t="shared" si="6"/>
        <v>0</v>
      </c>
      <c r="K15" s="236">
        <f t="shared" si="7"/>
        <v>0</v>
      </c>
      <c r="L15" s="235">
        <v>1212.1016</v>
      </c>
      <c r="M15" s="235">
        <f t="shared" si="8"/>
        <v>1016.259</v>
      </c>
      <c r="N15" s="235">
        <f>890182.5/1000</f>
        <v>890.1825</v>
      </c>
      <c r="O15" s="235">
        <f>126076.5/1000</f>
        <v>126.0765</v>
      </c>
      <c r="P15" s="236">
        <f t="shared" si="1"/>
        <v>195.84259999999995</v>
      </c>
      <c r="Q15" s="236">
        <f t="shared" si="2"/>
        <v>19.270933885948367</v>
      </c>
      <c r="R15" s="235">
        <v>1212.1016</v>
      </c>
      <c r="S15" s="235">
        <f t="shared" si="9"/>
        <v>1949</v>
      </c>
      <c r="T15" s="235">
        <f>1949000/1000</f>
        <v>1949</v>
      </c>
      <c r="U15" s="235"/>
      <c r="V15" s="238">
        <f t="shared" si="3"/>
        <v>-736.89840000000004</v>
      </c>
      <c r="W15" s="239">
        <f t="shared" si="4"/>
        <v>-37.809050795279632</v>
      </c>
      <c r="X15" s="220"/>
      <c r="Y15" s="221"/>
    </row>
    <row r="16" spans="1:33" ht="26.4" x14ac:dyDescent="0.25">
      <c r="A16" s="231" t="s">
        <v>319</v>
      </c>
      <c r="B16" s="232"/>
      <c r="C16" s="233"/>
      <c r="D16" s="233"/>
      <c r="E16" s="233"/>
      <c r="F16" s="234">
        <v>5.548</v>
      </c>
      <c r="G16" s="235">
        <f t="shared" si="5"/>
        <v>5.548</v>
      </c>
      <c r="H16" s="235">
        <f>5548/1000</f>
        <v>5.548</v>
      </c>
      <c r="I16" s="235"/>
      <c r="J16" s="236">
        <f t="shared" si="6"/>
        <v>0</v>
      </c>
      <c r="K16" s="236">
        <f t="shared" si="7"/>
        <v>0</v>
      </c>
      <c r="L16" s="235">
        <v>5.73</v>
      </c>
      <c r="M16" s="235">
        <f t="shared" si="8"/>
        <v>286.47899999999998</v>
      </c>
      <c r="N16" s="235">
        <f>286479/1000</f>
        <v>286.47899999999998</v>
      </c>
      <c r="O16" s="235"/>
      <c r="P16" s="236">
        <f t="shared" si="1"/>
        <v>-280.74899999999997</v>
      </c>
      <c r="Q16" s="236">
        <v>0</v>
      </c>
      <c r="R16" s="235">
        <v>5.0579999999999998</v>
      </c>
      <c r="S16" s="235">
        <f t="shared" si="9"/>
        <v>253.483</v>
      </c>
      <c r="T16" s="235">
        <f>253483/1000</f>
        <v>253.483</v>
      </c>
      <c r="U16" s="235"/>
      <c r="V16" s="238">
        <f t="shared" si="3"/>
        <v>-248.42500000000001</v>
      </c>
      <c r="W16" s="239">
        <f t="shared" si="4"/>
        <v>-98.004599913998177</v>
      </c>
      <c r="X16" s="220"/>
      <c r="Y16" s="221"/>
    </row>
    <row r="17" spans="1:25" ht="39.6" x14ac:dyDescent="0.25">
      <c r="A17" s="231" t="s">
        <v>101</v>
      </c>
      <c r="B17" s="232" t="s">
        <v>102</v>
      </c>
      <c r="C17" s="233">
        <v>7090.8128999999999</v>
      </c>
      <c r="D17" s="233">
        <v>8428.8125</v>
      </c>
      <c r="E17" s="233">
        <v>8079.1080000000002</v>
      </c>
      <c r="F17" s="234">
        <v>8979.6309999999994</v>
      </c>
      <c r="G17" s="235">
        <f t="shared" si="5"/>
        <v>8979.6309999999994</v>
      </c>
      <c r="H17" s="237">
        <f>8977984.2/1000</f>
        <v>8977.984199999999</v>
      </c>
      <c r="I17" s="237">
        <f>1646.8/1000</f>
        <v>1.6468</v>
      </c>
      <c r="J17" s="236">
        <f t="shared" si="6"/>
        <v>0</v>
      </c>
      <c r="K17" s="236">
        <f t="shared" si="7"/>
        <v>0</v>
      </c>
      <c r="L17" s="235">
        <v>8927.2975999999999</v>
      </c>
      <c r="M17" s="235">
        <f t="shared" si="8"/>
        <v>9340.6474999999991</v>
      </c>
      <c r="N17" s="235">
        <f>9338970.5/1000</f>
        <v>9338.9704999999994</v>
      </c>
      <c r="O17" s="235">
        <f>1677/1000</f>
        <v>1.677</v>
      </c>
      <c r="P17" s="236">
        <f t="shared" si="1"/>
        <v>-413.34989999999925</v>
      </c>
      <c r="Q17" s="236">
        <f t="shared" ref="Q17:Q80" si="10">L17/M17*100-100</f>
        <v>-4.4252810096944444</v>
      </c>
      <c r="R17" s="235">
        <v>9322.8044000000009</v>
      </c>
      <c r="S17" s="235">
        <f t="shared" si="9"/>
        <v>9758.2336999999989</v>
      </c>
      <c r="T17" s="235">
        <f>9756507.1/1000</f>
        <v>9756.5070999999989</v>
      </c>
      <c r="U17" s="235">
        <f>1726.6/1000</f>
        <v>1.7265999999999999</v>
      </c>
      <c r="V17" s="238">
        <f t="shared" si="3"/>
        <v>-435.42929999999797</v>
      </c>
      <c r="W17" s="239">
        <f t="shared" si="4"/>
        <v>-4.4621733131888277</v>
      </c>
      <c r="X17" s="220"/>
      <c r="Y17" s="221"/>
    </row>
    <row r="18" spans="1:25" ht="39.6" x14ac:dyDescent="0.25">
      <c r="A18" s="222" t="s">
        <v>540</v>
      </c>
      <c r="B18" s="223" t="s">
        <v>103</v>
      </c>
      <c r="C18" s="224">
        <f>C19+C20+C21+C22+C23+C24+C25</f>
        <v>19701.5625</v>
      </c>
      <c r="D18" s="224">
        <f>D19+D20+D21+D22+D23+D24+D25</f>
        <v>18301.683199999999</v>
      </c>
      <c r="E18" s="224">
        <f>E19+E20+E21+E22+E23+E24+E25</f>
        <v>17963.414000000001</v>
      </c>
      <c r="F18" s="225">
        <f>F19+F20+F21+F22+F23+F24+F25</f>
        <v>21976.032299999999</v>
      </c>
      <c r="G18" s="241">
        <f t="shared" si="5"/>
        <v>21976.032299999999</v>
      </c>
      <c r="H18" s="225">
        <f>H19+H20+H21+H22+H23+H24+H25</f>
        <v>20640.244299999998</v>
      </c>
      <c r="I18" s="225">
        <f>I19+I20+I21+I22+I23+I24+I25</f>
        <v>1335.788</v>
      </c>
      <c r="J18" s="242">
        <f t="shared" si="6"/>
        <v>0</v>
      </c>
      <c r="K18" s="242">
        <f t="shared" si="7"/>
        <v>0</v>
      </c>
      <c r="L18" s="225">
        <f>L19+L20+L21+L22+L23+L24+L25</f>
        <v>21658.614499999996</v>
      </c>
      <c r="M18" s="225">
        <f>M19+M20+M21+M22+M23+M24+M25</f>
        <v>20808.869200000001</v>
      </c>
      <c r="N18" s="225">
        <f>N19+N20+N21+N22+N23+N24+N25</f>
        <v>20222.714</v>
      </c>
      <c r="O18" s="225">
        <f>O19+O20+O21+O22+O23+O24+O25</f>
        <v>586.15520000000004</v>
      </c>
      <c r="P18" s="226">
        <f t="shared" si="1"/>
        <v>849.74529999999504</v>
      </c>
      <c r="Q18" s="226">
        <f t="shared" si="10"/>
        <v>4.0835726912061006</v>
      </c>
      <c r="R18" s="225">
        <f>R19+R20+R21+R22+R23+R24+R25</f>
        <v>22218.048599999998</v>
      </c>
      <c r="S18" s="225">
        <f>S19+S20+S21+S22+S23+S24+S25</f>
        <v>26315.196099999997</v>
      </c>
      <c r="T18" s="225">
        <f>T19+T20+T21+T22+T23+T24+T25</f>
        <v>26194.299999999996</v>
      </c>
      <c r="U18" s="225">
        <f>U19+U20+U21+U22+U23+U24+U25</f>
        <v>120.89609999999999</v>
      </c>
      <c r="V18" s="227">
        <f t="shared" si="3"/>
        <v>-4097.1474999999991</v>
      </c>
      <c r="W18" s="228">
        <f t="shared" si="4"/>
        <v>-15.569511564460655</v>
      </c>
      <c r="X18" s="229">
        <f>M18</f>
        <v>20808.869200000001</v>
      </c>
      <c r="Y18" s="230">
        <f>S18</f>
        <v>26315.196099999997</v>
      </c>
    </row>
    <row r="19" spans="1:25" ht="26.4" x14ac:dyDescent="0.25">
      <c r="A19" s="231" t="s">
        <v>104</v>
      </c>
      <c r="B19" s="232" t="s">
        <v>105</v>
      </c>
      <c r="C19" s="233">
        <v>13317.657300000001</v>
      </c>
      <c r="D19" s="233">
        <v>12147.120500000001</v>
      </c>
      <c r="E19" s="233">
        <v>12622.366599999999</v>
      </c>
      <c r="F19" s="234">
        <v>14669.814</v>
      </c>
      <c r="G19" s="234">
        <f>H19+I19</f>
        <v>14669.814</v>
      </c>
      <c r="H19" s="237">
        <f>14669814/1000</f>
        <v>14669.814</v>
      </c>
      <c r="I19" s="237"/>
      <c r="J19" s="236">
        <f t="shared" si="6"/>
        <v>0</v>
      </c>
      <c r="K19" s="236">
        <f t="shared" si="7"/>
        <v>0</v>
      </c>
      <c r="L19" s="235">
        <f>15370.9399</f>
        <v>15370.939899999999</v>
      </c>
      <c r="M19" s="237">
        <f>N19+O19</f>
        <v>14050.563400000001</v>
      </c>
      <c r="N19" s="237">
        <f>14050563.4/1000</f>
        <v>14050.563400000001</v>
      </c>
      <c r="O19" s="237"/>
      <c r="P19" s="236">
        <f t="shared" si="1"/>
        <v>1320.3764999999985</v>
      </c>
      <c r="Q19" s="236">
        <f t="shared" si="10"/>
        <v>9.3973206796817692</v>
      </c>
      <c r="R19" s="235">
        <v>16336.093999999999</v>
      </c>
      <c r="S19" s="235">
        <f>T19+U19</f>
        <v>16971.469699999998</v>
      </c>
      <c r="T19" s="235">
        <f>16971469.7/1000</f>
        <v>16971.469699999998</v>
      </c>
      <c r="U19" s="235"/>
      <c r="V19" s="238">
        <f t="shared" si="3"/>
        <v>-635.37569999999869</v>
      </c>
      <c r="W19" s="239">
        <f t="shared" si="4"/>
        <v>-3.7437871394249242</v>
      </c>
      <c r="X19" s="220"/>
      <c r="Y19" s="221"/>
    </row>
    <row r="20" spans="1:25" ht="79.2" x14ac:dyDescent="0.25">
      <c r="A20" s="231" t="s">
        <v>106</v>
      </c>
      <c r="B20" s="232" t="s">
        <v>107</v>
      </c>
      <c r="C20" s="233">
        <v>2378.8467999999998</v>
      </c>
      <c r="D20" s="233">
        <v>2374.8218999999999</v>
      </c>
      <c r="E20" s="233">
        <v>2337.7736</v>
      </c>
      <c r="F20" s="234">
        <v>2653.0259999999998</v>
      </c>
      <c r="G20" s="234">
        <f t="shared" ref="G20:G25" si="11">H20+I20</f>
        <v>2653.0259999999998</v>
      </c>
      <c r="H20" s="235">
        <f>2542243.5/1000</f>
        <v>2542.2435</v>
      </c>
      <c r="I20" s="235">
        <f>110782.5/1000</f>
        <v>110.7825</v>
      </c>
      <c r="J20" s="236">
        <f t="shared" si="6"/>
        <v>0</v>
      </c>
      <c r="K20" s="236">
        <f t="shared" si="7"/>
        <v>0</v>
      </c>
      <c r="L20" s="235">
        <v>2532.8809999999999</v>
      </c>
      <c r="M20" s="237">
        <f t="shared" ref="M20:M25" si="12">N20+O20</f>
        <v>2532.7676000000001</v>
      </c>
      <c r="N20" s="235">
        <f>2422513.6/1000</f>
        <v>2422.5136000000002</v>
      </c>
      <c r="O20" s="235">
        <f>110254/1000</f>
        <v>110.254</v>
      </c>
      <c r="P20" s="236">
        <f t="shared" si="1"/>
        <v>0.11339999999972861</v>
      </c>
      <c r="Q20" s="236">
        <f t="shared" si="10"/>
        <v>4.4773156447490692E-3</v>
      </c>
      <c r="R20" s="235">
        <v>2614.4056</v>
      </c>
      <c r="S20" s="235">
        <f t="shared" ref="S20:S25" si="13">T20+U20</f>
        <v>2660.0513000000001</v>
      </c>
      <c r="T20" s="235">
        <f>2548812.1/1000</f>
        <v>2548.8121000000001</v>
      </c>
      <c r="U20" s="235">
        <f>111239.2/1000</f>
        <v>111.2392</v>
      </c>
      <c r="V20" s="238">
        <f t="shared" si="3"/>
        <v>-45.645700000000033</v>
      </c>
      <c r="W20" s="239">
        <f t="shared" si="4"/>
        <v>-1.7159706656785119</v>
      </c>
      <c r="X20" s="220"/>
      <c r="Y20" s="221"/>
    </row>
    <row r="21" spans="1:25" ht="26.4" x14ac:dyDescent="0.25">
      <c r="A21" s="231" t="s">
        <v>108</v>
      </c>
      <c r="B21" s="232" t="s">
        <v>109</v>
      </c>
      <c r="C21" s="233">
        <v>2312.2417</v>
      </c>
      <c r="D21" s="233">
        <v>2036.1384</v>
      </c>
      <c r="E21" s="233">
        <v>2057.5156000000002</v>
      </c>
      <c r="F21" s="234">
        <v>2464.2930000000001</v>
      </c>
      <c r="G21" s="234">
        <f t="shared" si="11"/>
        <v>2464.2930000000001</v>
      </c>
      <c r="H21" s="235">
        <f>2442624.3/1000</f>
        <v>2442.6242999999999</v>
      </c>
      <c r="I21" s="235">
        <f>21668.7/1000</f>
        <v>21.668700000000001</v>
      </c>
      <c r="J21" s="236">
        <f t="shared" si="6"/>
        <v>0</v>
      </c>
      <c r="K21" s="236">
        <f t="shared" si="7"/>
        <v>0</v>
      </c>
      <c r="L21" s="235">
        <v>2489.1388999999999</v>
      </c>
      <c r="M21" s="237">
        <f t="shared" si="12"/>
        <v>2620.4176000000002</v>
      </c>
      <c r="N21" s="235">
        <f>2620417.6/1000</f>
        <v>2620.4176000000002</v>
      </c>
      <c r="O21" s="235"/>
      <c r="P21" s="236">
        <f t="shared" si="1"/>
        <v>-131.2787000000003</v>
      </c>
      <c r="Q21" s="236">
        <f t="shared" si="10"/>
        <v>-5.0098388898013866</v>
      </c>
      <c r="R21" s="235">
        <v>2591.5808000000002</v>
      </c>
      <c r="S21" s="235">
        <f t="shared" si="13"/>
        <v>2690.2947999999997</v>
      </c>
      <c r="T21" s="235">
        <f>2690294.8/1000</f>
        <v>2690.2947999999997</v>
      </c>
      <c r="U21" s="235"/>
      <c r="V21" s="238">
        <f t="shared" si="3"/>
        <v>-98.713999999999487</v>
      </c>
      <c r="W21" s="239">
        <f t="shared" si="4"/>
        <v>-3.6692633089875386</v>
      </c>
      <c r="X21" s="220"/>
      <c r="Y21" s="221"/>
    </row>
    <row r="22" spans="1:25" ht="26.4" x14ac:dyDescent="0.25">
      <c r="A22" s="231" t="s">
        <v>110</v>
      </c>
      <c r="B22" s="232" t="s">
        <v>111</v>
      </c>
      <c r="C22" s="233">
        <v>510.0838</v>
      </c>
      <c r="D22" s="233">
        <v>573.77499999999998</v>
      </c>
      <c r="E22" s="233">
        <v>582.74940000000004</v>
      </c>
      <c r="F22" s="234">
        <v>663.30650000000003</v>
      </c>
      <c r="G22" s="234">
        <f t="shared" si="11"/>
        <v>663.30650000000003</v>
      </c>
      <c r="H22" s="235">
        <f>653978.5/1000</f>
        <v>653.97850000000005</v>
      </c>
      <c r="I22" s="235">
        <f>9328/1000</f>
        <v>9.3279999999999994</v>
      </c>
      <c r="J22" s="236">
        <f t="shared" si="6"/>
        <v>0</v>
      </c>
      <c r="K22" s="236">
        <f t="shared" si="7"/>
        <v>0</v>
      </c>
      <c r="L22" s="235">
        <v>657.7133</v>
      </c>
      <c r="M22" s="237">
        <f t="shared" si="12"/>
        <v>666.92539999999997</v>
      </c>
      <c r="N22" s="235">
        <f>657435.7/1000</f>
        <v>657.4357</v>
      </c>
      <c r="O22" s="235">
        <f>9489.7/1000</f>
        <v>9.4897000000000009</v>
      </c>
      <c r="P22" s="236">
        <f t="shared" si="1"/>
        <v>-9.212099999999964</v>
      </c>
      <c r="Q22" s="236">
        <f t="shared" si="10"/>
        <v>-1.3812789256489566</v>
      </c>
      <c r="R22" s="235">
        <v>656.72609999999997</v>
      </c>
      <c r="S22" s="235">
        <f t="shared" si="13"/>
        <v>557.15480000000002</v>
      </c>
      <c r="T22" s="235">
        <f>547497.9/1000</f>
        <v>547.49790000000007</v>
      </c>
      <c r="U22" s="235">
        <f>9656.9/1000</f>
        <v>9.6569000000000003</v>
      </c>
      <c r="V22" s="238">
        <f t="shared" si="3"/>
        <v>99.571299999999951</v>
      </c>
      <c r="W22" s="239">
        <f t="shared" si="4"/>
        <v>17.871388705616468</v>
      </c>
      <c r="X22" s="220"/>
      <c r="Y22" s="221"/>
    </row>
    <row r="23" spans="1:25" ht="26.4" x14ac:dyDescent="0.25">
      <c r="A23" s="231" t="s">
        <v>112</v>
      </c>
      <c r="B23" s="232" t="s">
        <v>113</v>
      </c>
      <c r="C23" s="233">
        <v>6.67</v>
      </c>
      <c r="D23" s="233">
        <v>8.17</v>
      </c>
      <c r="E23" s="233">
        <v>8.17</v>
      </c>
      <c r="F23" s="234">
        <v>13.122</v>
      </c>
      <c r="G23" s="234">
        <f t="shared" si="11"/>
        <v>13.122</v>
      </c>
      <c r="H23" s="235">
        <f>13122/1000</f>
        <v>13.122</v>
      </c>
      <c r="I23" s="235"/>
      <c r="J23" s="236">
        <f t="shared" si="6"/>
        <v>0</v>
      </c>
      <c r="K23" s="236">
        <f t="shared" si="7"/>
        <v>0</v>
      </c>
      <c r="L23" s="235">
        <v>11.622</v>
      </c>
      <c r="M23" s="237">
        <f t="shared" si="12"/>
        <v>22.271999999999998</v>
      </c>
      <c r="N23" s="235">
        <f>22272/1000</f>
        <v>22.271999999999998</v>
      </c>
      <c r="O23" s="235"/>
      <c r="P23" s="236">
        <f t="shared" si="1"/>
        <v>-10.649999999999999</v>
      </c>
      <c r="Q23" s="236">
        <f t="shared" si="10"/>
        <v>-47.817887931034477</v>
      </c>
      <c r="R23" s="235">
        <v>11.622</v>
      </c>
      <c r="S23" s="235">
        <f t="shared" si="13"/>
        <v>22.271999999999998</v>
      </c>
      <c r="T23" s="235">
        <f>22272/1000</f>
        <v>22.271999999999998</v>
      </c>
      <c r="U23" s="235"/>
      <c r="V23" s="238">
        <f t="shared" si="3"/>
        <v>-10.649999999999999</v>
      </c>
      <c r="W23" s="239">
        <f t="shared" si="4"/>
        <v>-47.817887931034477</v>
      </c>
      <c r="X23" s="220"/>
      <c r="Y23" s="221"/>
    </row>
    <row r="24" spans="1:25" ht="39.6" x14ac:dyDescent="0.25">
      <c r="A24" s="231" t="s">
        <v>114</v>
      </c>
      <c r="B24" s="232" t="s">
        <v>115</v>
      </c>
      <c r="C24" s="233">
        <v>3.9748000000000001</v>
      </c>
      <c r="D24" s="233">
        <v>6.0342000000000002</v>
      </c>
      <c r="E24" s="233">
        <v>5.5936000000000003</v>
      </c>
      <c r="F24" s="234">
        <v>7.9097</v>
      </c>
      <c r="G24" s="234">
        <f t="shared" si="11"/>
        <v>7.9097</v>
      </c>
      <c r="H24" s="235">
        <f>7909.7/1000</f>
        <v>7.9097</v>
      </c>
      <c r="I24" s="235"/>
      <c r="J24" s="236">
        <f t="shared" si="6"/>
        <v>0</v>
      </c>
      <c r="K24" s="236">
        <f t="shared" si="7"/>
        <v>0</v>
      </c>
      <c r="L24" s="235">
        <v>5.4931000000000001</v>
      </c>
      <c r="M24" s="237">
        <f t="shared" si="12"/>
        <v>13.4999</v>
      </c>
      <c r="N24" s="235">
        <f>13499.9/1000</f>
        <v>13.4999</v>
      </c>
      <c r="O24" s="235"/>
      <c r="P24" s="236">
        <f t="shared" si="1"/>
        <v>-8.0068000000000001</v>
      </c>
      <c r="Q24" s="236">
        <f t="shared" si="10"/>
        <v>-59.310068963473803</v>
      </c>
      <c r="R24" s="235">
        <v>5.6200999999999999</v>
      </c>
      <c r="S24" s="235">
        <f t="shared" si="13"/>
        <v>14.0219</v>
      </c>
      <c r="T24" s="235">
        <f>14021.9/1000</f>
        <v>14.0219</v>
      </c>
      <c r="U24" s="235"/>
      <c r="V24" s="238">
        <f t="shared" si="3"/>
        <v>-8.4018000000000015</v>
      </c>
      <c r="W24" s="239">
        <f t="shared" si="4"/>
        <v>-59.919126509246254</v>
      </c>
      <c r="X24" s="220"/>
      <c r="Y24" s="221"/>
    </row>
    <row r="25" spans="1:25" ht="39.6" x14ac:dyDescent="0.25">
      <c r="A25" s="231" t="s">
        <v>116</v>
      </c>
      <c r="B25" s="232" t="s">
        <v>117</v>
      </c>
      <c r="C25" s="233">
        <v>1172.0880999999999</v>
      </c>
      <c r="D25" s="233">
        <v>1155.6232</v>
      </c>
      <c r="E25" s="233">
        <v>349.24520000000001</v>
      </c>
      <c r="F25" s="234">
        <v>1504.5610999999999</v>
      </c>
      <c r="G25" s="234">
        <f t="shared" si="11"/>
        <v>1504.5611000000001</v>
      </c>
      <c r="H25" s="235">
        <f>310552.3/1000</f>
        <v>310.5523</v>
      </c>
      <c r="I25" s="235">
        <f>1194008.8/1000</f>
        <v>1194.0088000000001</v>
      </c>
      <c r="J25" s="236">
        <f t="shared" si="6"/>
        <v>0</v>
      </c>
      <c r="K25" s="236">
        <f t="shared" si="7"/>
        <v>0</v>
      </c>
      <c r="L25" s="235">
        <v>590.82629999999995</v>
      </c>
      <c r="M25" s="237">
        <f t="shared" si="12"/>
        <v>902.42329999999993</v>
      </c>
      <c r="N25" s="235">
        <f>436011.8/1000</f>
        <v>436.01179999999999</v>
      </c>
      <c r="O25" s="235">
        <f>466411.5/1000</f>
        <v>466.41149999999999</v>
      </c>
      <c r="P25" s="236">
        <f t="shared" si="1"/>
        <v>-311.59699999999998</v>
      </c>
      <c r="Q25" s="236">
        <f t="shared" si="10"/>
        <v>-34.528917859279559</v>
      </c>
      <c r="R25" s="235">
        <v>2</v>
      </c>
      <c r="S25" s="235">
        <f t="shared" si="13"/>
        <v>3399.9315999999999</v>
      </c>
      <c r="T25" s="235">
        <f>3399931.6/1000</f>
        <v>3399.9315999999999</v>
      </c>
      <c r="U25" s="235"/>
      <c r="V25" s="238">
        <f t="shared" si="3"/>
        <v>-3397.9315999999999</v>
      </c>
      <c r="W25" s="239">
        <f t="shared" si="4"/>
        <v>-99.941175287173422</v>
      </c>
      <c r="X25" s="220"/>
      <c r="Y25" s="221"/>
    </row>
    <row r="26" spans="1:25" ht="39.6" x14ac:dyDescent="0.25">
      <c r="A26" s="222" t="s">
        <v>541</v>
      </c>
      <c r="B26" s="223" t="s">
        <v>118</v>
      </c>
      <c r="C26" s="224">
        <f>SUM(C27:C34)</f>
        <v>9404.4369999999999</v>
      </c>
      <c r="D26" s="224">
        <f>SUM(D27:D34)</f>
        <v>10007.154599999998</v>
      </c>
      <c r="E26" s="224">
        <f>SUM(E27:E34)</f>
        <v>10664.426600000001</v>
      </c>
      <c r="F26" s="225">
        <f>SUM(F27:F34)</f>
        <v>11654.524199999998</v>
      </c>
      <c r="G26" s="241">
        <f>H26+I26</f>
        <v>11654.524299999997</v>
      </c>
      <c r="H26" s="225">
        <f>SUM(H27:H34)</f>
        <v>8584.9929999999986</v>
      </c>
      <c r="I26" s="225">
        <f>SUM(I27:I34)</f>
        <v>3069.5312999999996</v>
      </c>
      <c r="J26" s="242">
        <f t="shared" si="6"/>
        <v>-9.999999929277692E-5</v>
      </c>
      <c r="K26" s="242">
        <f t="shared" si="7"/>
        <v>-8.5803587523969327E-7</v>
      </c>
      <c r="L26" s="225">
        <f>SUM(L27:L34)</f>
        <v>11673.310399999998</v>
      </c>
      <c r="M26" s="225">
        <f>SUM(M27:M34)</f>
        <v>11775.626200000002</v>
      </c>
      <c r="N26" s="225">
        <f>SUM(N27:N34)</f>
        <v>8643.8406000000014</v>
      </c>
      <c r="O26" s="225">
        <f>SUM(O27:O34)</f>
        <v>3131.7856000000002</v>
      </c>
      <c r="P26" s="226">
        <f t="shared" si="1"/>
        <v>-102.31580000000395</v>
      </c>
      <c r="Q26" s="226">
        <f t="shared" si="10"/>
        <v>-0.86887778418105199</v>
      </c>
      <c r="R26" s="225">
        <f>SUM(R27:R34)</f>
        <v>11937.1528</v>
      </c>
      <c r="S26" s="225">
        <f>SUM(S27:S34)</f>
        <v>11812.917200000002</v>
      </c>
      <c r="T26" s="225">
        <f t="shared" ref="T26" si="14">SUM(T27:T34)</f>
        <v>8491.0313000000006</v>
      </c>
      <c r="U26" s="225">
        <f>SUM(U27:U34)</f>
        <v>3321.8858999999998</v>
      </c>
      <c r="V26" s="227">
        <f t="shared" si="3"/>
        <v>124.23559999999816</v>
      </c>
      <c r="W26" s="228">
        <f t="shared" si="4"/>
        <v>1.0516928028581987</v>
      </c>
      <c r="X26" s="229">
        <f>M26+2845.4224</f>
        <v>14621.048600000002</v>
      </c>
      <c r="Y26" s="230">
        <f>S26+2910.1286</f>
        <v>14723.045800000002</v>
      </c>
    </row>
    <row r="27" spans="1:25" ht="52.8" x14ac:dyDescent="0.25">
      <c r="A27" s="231" t="s">
        <v>119</v>
      </c>
      <c r="B27" s="232" t="s">
        <v>120</v>
      </c>
      <c r="C27" s="233">
        <v>1884.9609</v>
      </c>
      <c r="D27" s="233">
        <v>2011.0809999999999</v>
      </c>
      <c r="E27" s="233">
        <v>2054.7786999999998</v>
      </c>
      <c r="F27" s="234">
        <v>2802.7035000000001</v>
      </c>
      <c r="G27" s="234">
        <f>H27+I27</f>
        <v>2802.7035000000001</v>
      </c>
      <c r="H27" s="235">
        <f>2802496/1000</f>
        <v>2802.4960000000001</v>
      </c>
      <c r="I27" s="235">
        <f>207.5/1000</f>
        <v>0.20749999999999999</v>
      </c>
      <c r="J27" s="236">
        <f t="shared" si="6"/>
        <v>0</v>
      </c>
      <c r="K27" s="236">
        <f t="shared" si="7"/>
        <v>0</v>
      </c>
      <c r="L27" s="235">
        <v>2706.0210999999999</v>
      </c>
      <c r="M27" s="235">
        <f>N27+O27</f>
        <v>2675.2017999999998</v>
      </c>
      <c r="N27" s="235">
        <f>2674994.3/1000</f>
        <v>2674.9942999999998</v>
      </c>
      <c r="O27" s="235">
        <f>207.5/1000</f>
        <v>0.20749999999999999</v>
      </c>
      <c r="P27" s="236">
        <f t="shared" si="1"/>
        <v>30.819300000000112</v>
      </c>
      <c r="Q27" s="236">
        <f t="shared" si="10"/>
        <v>1.1520364557171092</v>
      </c>
      <c r="R27" s="235">
        <v>2835.8438999999998</v>
      </c>
      <c r="S27" s="235">
        <f>T27+U27</f>
        <v>2450.5681</v>
      </c>
      <c r="T27" s="235">
        <f>2450360.6/1000</f>
        <v>2450.3606</v>
      </c>
      <c r="U27" s="235">
        <f>207.5/1000</f>
        <v>0.20749999999999999</v>
      </c>
      <c r="V27" s="238">
        <f t="shared" si="3"/>
        <v>385.27579999999989</v>
      </c>
      <c r="W27" s="239">
        <f t="shared" si="4"/>
        <v>15.721897302099052</v>
      </c>
      <c r="X27" s="220"/>
      <c r="Y27" s="221"/>
    </row>
    <row r="28" spans="1:25" ht="39.6" x14ac:dyDescent="0.25">
      <c r="A28" s="231" t="s">
        <v>121</v>
      </c>
      <c r="B28" s="232" t="s">
        <v>122</v>
      </c>
      <c r="C28" s="233">
        <v>6985.6037999999999</v>
      </c>
      <c r="D28" s="233">
        <v>7480.1821</v>
      </c>
      <c r="E28" s="233">
        <v>8175.0622999999996</v>
      </c>
      <c r="F28" s="234">
        <v>8347.0781000000006</v>
      </c>
      <c r="G28" s="234">
        <f t="shared" ref="G28:G34" si="15">H28+I28</f>
        <v>8347.0781999999999</v>
      </c>
      <c r="H28" s="235">
        <f>5277754.4/1000</f>
        <v>5277.7544000000007</v>
      </c>
      <c r="I28" s="235">
        <f>3069323.8/1000</f>
        <v>3069.3237999999997</v>
      </c>
      <c r="J28" s="236">
        <f t="shared" si="6"/>
        <v>-9.999999929277692E-5</v>
      </c>
      <c r="K28" s="236">
        <f t="shared" si="7"/>
        <v>-1.1980239946751681E-6</v>
      </c>
      <c r="L28" s="235">
        <v>8511.8935999999994</v>
      </c>
      <c r="M28" s="235">
        <f t="shared" ref="M28:M34" si="16">N28+O28</f>
        <v>8508.3721999999998</v>
      </c>
      <c r="N28" s="235">
        <f>5376794.1/1000</f>
        <v>5376.7941000000001</v>
      </c>
      <c r="O28" s="235">
        <f>3131578.1/1000</f>
        <v>3131.5781000000002</v>
      </c>
      <c r="P28" s="236">
        <f t="shared" si="1"/>
        <v>3.5213999999996304</v>
      </c>
      <c r="Q28" s="236">
        <f t="shared" si="10"/>
        <v>4.1387470096807988E-2</v>
      </c>
      <c r="R28" s="235">
        <v>8663.1955999999991</v>
      </c>
      <c r="S28" s="235">
        <f t="shared" ref="S28:S34" si="17">T28+U28</f>
        <v>8659.4987999999994</v>
      </c>
      <c r="T28" s="235">
        <f>5488478.4/1000</f>
        <v>5488.4784</v>
      </c>
      <c r="U28" s="235">
        <f>3171020.4/1000</f>
        <v>3171.0203999999999</v>
      </c>
      <c r="V28" s="238">
        <f t="shared" si="3"/>
        <v>3.6967999999997119</v>
      </c>
      <c r="W28" s="239">
        <f t="shared" si="4"/>
        <v>4.2690692445162881E-2</v>
      </c>
      <c r="X28" s="220"/>
      <c r="Y28" s="221"/>
    </row>
    <row r="29" spans="1:25" ht="26.4" x14ac:dyDescent="0.25">
      <c r="A29" s="231" t="s">
        <v>123</v>
      </c>
      <c r="B29" s="232" t="s">
        <v>124</v>
      </c>
      <c r="C29" s="233">
        <v>478.91399999999999</v>
      </c>
      <c r="D29" s="233">
        <v>392.93</v>
      </c>
      <c r="E29" s="233">
        <v>345.01569999999998</v>
      </c>
      <c r="F29" s="234">
        <v>407.63119999999998</v>
      </c>
      <c r="G29" s="234">
        <f t="shared" si="15"/>
        <v>407.63120000000004</v>
      </c>
      <c r="H29" s="235">
        <f>407631.2/1000</f>
        <v>407.63120000000004</v>
      </c>
      <c r="I29" s="235"/>
      <c r="J29" s="236">
        <f t="shared" si="6"/>
        <v>0</v>
      </c>
      <c r="K29" s="236">
        <f t="shared" si="7"/>
        <v>0</v>
      </c>
      <c r="L29" s="235">
        <v>369.81389999999999</v>
      </c>
      <c r="M29" s="235">
        <f t="shared" si="16"/>
        <v>463.39049999999997</v>
      </c>
      <c r="N29" s="235">
        <f>463390.5/1000</f>
        <v>463.39049999999997</v>
      </c>
      <c r="O29" s="235"/>
      <c r="P29" s="236">
        <f t="shared" si="1"/>
        <v>-93.576599999999985</v>
      </c>
      <c r="Q29" s="236">
        <f t="shared" si="10"/>
        <v>-20.193896940053804</v>
      </c>
      <c r="R29" s="235">
        <v>371.14010000000002</v>
      </c>
      <c r="S29" s="235">
        <f t="shared" si="17"/>
        <v>463.39049999999997</v>
      </c>
      <c r="T29" s="235">
        <f>463390.5/1000</f>
        <v>463.39049999999997</v>
      </c>
      <c r="U29" s="235"/>
      <c r="V29" s="238">
        <f t="shared" si="3"/>
        <v>-92.250399999999956</v>
      </c>
      <c r="W29" s="239">
        <f t="shared" si="4"/>
        <v>-19.907702035324419</v>
      </c>
      <c r="X29" s="220"/>
      <c r="Y29" s="221"/>
    </row>
    <row r="30" spans="1:25" ht="26.4" x14ac:dyDescent="0.25">
      <c r="A30" s="231" t="s">
        <v>125</v>
      </c>
      <c r="B30" s="232" t="s">
        <v>126</v>
      </c>
      <c r="C30" s="233">
        <v>11.327</v>
      </c>
      <c r="D30" s="233">
        <v>4.149</v>
      </c>
      <c r="E30" s="233">
        <v>22.466200000000001</v>
      </c>
      <c r="F30" s="234">
        <v>49.853999999999999</v>
      </c>
      <c r="G30" s="234">
        <f t="shared" si="15"/>
        <v>49.853999999999999</v>
      </c>
      <c r="H30" s="235">
        <f>49854/1000</f>
        <v>49.853999999999999</v>
      </c>
      <c r="I30" s="235"/>
      <c r="J30" s="236">
        <f t="shared" si="6"/>
        <v>0</v>
      </c>
      <c r="K30" s="236">
        <f t="shared" si="7"/>
        <v>0</v>
      </c>
      <c r="L30" s="235">
        <v>47.626100000000001</v>
      </c>
      <c r="M30" s="235">
        <f t="shared" si="16"/>
        <v>70.449100000000001</v>
      </c>
      <c r="N30" s="235">
        <f>70449.1/1000</f>
        <v>70.449100000000001</v>
      </c>
      <c r="O30" s="235"/>
      <c r="P30" s="236">
        <f t="shared" si="1"/>
        <v>-22.823</v>
      </c>
      <c r="Q30" s="236">
        <f t="shared" si="10"/>
        <v>-32.396439415123822</v>
      </c>
      <c r="R30" s="235">
        <v>28.403500000000001</v>
      </c>
      <c r="S30" s="235">
        <f t="shared" si="17"/>
        <v>46.899099999999997</v>
      </c>
      <c r="T30" s="235">
        <f>46899.1/1000</f>
        <v>46.899099999999997</v>
      </c>
      <c r="U30" s="235"/>
      <c r="V30" s="238">
        <f t="shared" si="3"/>
        <v>-18.495599999999996</v>
      </c>
      <c r="W30" s="239">
        <f t="shared" si="4"/>
        <v>-39.437004121614272</v>
      </c>
      <c r="X30" s="220"/>
      <c r="Y30" s="221"/>
    </row>
    <row r="31" spans="1:25" ht="39.6" x14ac:dyDescent="0.25">
      <c r="A31" s="231" t="s">
        <v>127</v>
      </c>
      <c r="B31" s="232" t="s">
        <v>128</v>
      </c>
      <c r="C31" s="233">
        <v>19.700600000000001</v>
      </c>
      <c r="D31" s="233">
        <v>75.639499999999998</v>
      </c>
      <c r="E31" s="233">
        <v>36.256799999999998</v>
      </c>
      <c r="F31" s="234">
        <v>10.7601</v>
      </c>
      <c r="G31" s="234">
        <f t="shared" si="15"/>
        <v>10.7601</v>
      </c>
      <c r="H31" s="235">
        <f>10760.1/1000</f>
        <v>10.7601</v>
      </c>
      <c r="I31" s="235"/>
      <c r="J31" s="236">
        <f t="shared" si="6"/>
        <v>0</v>
      </c>
      <c r="K31" s="236">
        <f t="shared" si="7"/>
        <v>0</v>
      </c>
      <c r="L31" s="235">
        <v>8.8970000000000002</v>
      </c>
      <c r="M31" s="235">
        <f t="shared" si="16"/>
        <v>28.896999999999998</v>
      </c>
      <c r="N31" s="235">
        <f>28897/1000</f>
        <v>28.896999999999998</v>
      </c>
      <c r="O31" s="235"/>
      <c r="P31" s="236">
        <f t="shared" si="1"/>
        <v>-20</v>
      </c>
      <c r="Q31" s="236">
        <f t="shared" si="10"/>
        <v>-69.211336816970615</v>
      </c>
      <c r="R31" s="235">
        <v>8.9559999999999995</v>
      </c>
      <c r="S31" s="235">
        <f t="shared" si="17"/>
        <v>162.69</v>
      </c>
      <c r="T31" s="235">
        <f>12032/1000</f>
        <v>12.032</v>
      </c>
      <c r="U31" s="235">
        <f>150658/1000</f>
        <v>150.65799999999999</v>
      </c>
      <c r="V31" s="238">
        <f t="shared" si="3"/>
        <v>-153.73400000000001</v>
      </c>
      <c r="W31" s="239">
        <f t="shared" si="4"/>
        <v>-94.495051939271008</v>
      </c>
      <c r="X31" s="220"/>
      <c r="Y31" s="221"/>
    </row>
    <row r="32" spans="1:25" ht="39.6" x14ac:dyDescent="0.25">
      <c r="A32" s="231" t="s">
        <v>129</v>
      </c>
      <c r="B32" s="232" t="s">
        <v>130</v>
      </c>
      <c r="C32" s="233">
        <v>1.9914000000000001</v>
      </c>
      <c r="D32" s="233">
        <v>2.6619000000000002</v>
      </c>
      <c r="E32" s="233">
        <v>2.2753999999999999</v>
      </c>
      <c r="F32" s="234">
        <v>1.8621000000000001</v>
      </c>
      <c r="G32" s="234">
        <f t="shared" si="15"/>
        <v>1.8620999999999999</v>
      </c>
      <c r="H32" s="235">
        <f>1862.1/1000</f>
        <v>1.8620999999999999</v>
      </c>
      <c r="I32" s="235"/>
      <c r="J32" s="236">
        <f t="shared" si="6"/>
        <v>0</v>
      </c>
      <c r="K32" s="236">
        <f t="shared" si="7"/>
        <v>0</v>
      </c>
      <c r="L32" s="235">
        <v>1.5621</v>
      </c>
      <c r="M32" s="235">
        <f t="shared" si="16"/>
        <v>2.0320999999999998</v>
      </c>
      <c r="N32" s="235">
        <f>2032.1/1000</f>
        <v>2.0320999999999998</v>
      </c>
      <c r="O32" s="235"/>
      <c r="P32" s="236">
        <f t="shared" si="1"/>
        <v>-0.46999999999999975</v>
      </c>
      <c r="Q32" s="236">
        <f t="shared" si="10"/>
        <v>-23.128783032331086</v>
      </c>
      <c r="R32" s="235">
        <v>1.5621</v>
      </c>
      <c r="S32" s="235">
        <f t="shared" si="17"/>
        <v>2.0320999999999998</v>
      </c>
      <c r="T32" s="235">
        <f>2032.1/1000</f>
        <v>2.0320999999999998</v>
      </c>
      <c r="U32" s="235"/>
      <c r="V32" s="238">
        <f t="shared" si="3"/>
        <v>-0.46999999999999975</v>
      </c>
      <c r="W32" s="239">
        <f t="shared" si="4"/>
        <v>-23.128783032331086</v>
      </c>
      <c r="X32" s="220"/>
      <c r="Y32" s="221"/>
    </row>
    <row r="33" spans="1:25" x14ac:dyDescent="0.25">
      <c r="A33" s="231" t="s">
        <v>131</v>
      </c>
      <c r="B33" s="232" t="s">
        <v>132</v>
      </c>
      <c r="C33" s="233">
        <v>21.939299999999999</v>
      </c>
      <c r="D33" s="233">
        <v>29.7151</v>
      </c>
      <c r="E33" s="233">
        <v>8.8667999999999996</v>
      </c>
      <c r="F33" s="234">
        <v>22.4695</v>
      </c>
      <c r="G33" s="234">
        <f t="shared" si="15"/>
        <v>22.4695</v>
      </c>
      <c r="H33" s="235">
        <f>22469.5/1000</f>
        <v>22.4695</v>
      </c>
      <c r="I33" s="235"/>
      <c r="J33" s="236">
        <f t="shared" si="6"/>
        <v>0</v>
      </c>
      <c r="K33" s="236">
        <f t="shared" si="7"/>
        <v>0</v>
      </c>
      <c r="L33" s="235">
        <v>14.8851</v>
      </c>
      <c r="M33" s="235">
        <f t="shared" si="16"/>
        <v>14.672000000000001</v>
      </c>
      <c r="N33" s="235">
        <f>14672/1000</f>
        <v>14.672000000000001</v>
      </c>
      <c r="O33" s="235"/>
      <c r="P33" s="236">
        <f t="shared" si="1"/>
        <v>0.21309999999999896</v>
      </c>
      <c r="Q33" s="236">
        <f t="shared" si="10"/>
        <v>1.4524263904034882</v>
      </c>
      <c r="R33" s="235">
        <v>14.885</v>
      </c>
      <c r="S33" s="235">
        <f t="shared" si="17"/>
        <v>14.672000000000001</v>
      </c>
      <c r="T33" s="235">
        <f>14672/1000</f>
        <v>14.672000000000001</v>
      </c>
      <c r="U33" s="235"/>
      <c r="V33" s="238">
        <f t="shared" si="3"/>
        <v>0.21299999999999919</v>
      </c>
      <c r="W33" s="239">
        <f t="shared" si="4"/>
        <v>1.4517448200654286</v>
      </c>
      <c r="X33" s="220"/>
      <c r="Y33" s="221"/>
    </row>
    <row r="34" spans="1:25" x14ac:dyDescent="0.25">
      <c r="A34" s="231" t="s">
        <v>133</v>
      </c>
      <c r="B34" s="232" t="s">
        <v>134</v>
      </c>
      <c r="C34" s="233"/>
      <c r="D34" s="233">
        <v>10.795999999999999</v>
      </c>
      <c r="E34" s="233">
        <v>19.704699999999999</v>
      </c>
      <c r="F34" s="234">
        <v>12.165699999999999</v>
      </c>
      <c r="G34" s="234">
        <f t="shared" si="15"/>
        <v>12.165700000000001</v>
      </c>
      <c r="H34" s="235">
        <f>12165.7/1000</f>
        <v>12.165700000000001</v>
      </c>
      <c r="I34" s="235"/>
      <c r="J34" s="236">
        <f t="shared" si="6"/>
        <v>0</v>
      </c>
      <c r="K34" s="236">
        <f t="shared" si="7"/>
        <v>0</v>
      </c>
      <c r="L34" s="235">
        <v>12.611499999999999</v>
      </c>
      <c r="M34" s="235">
        <f t="shared" si="16"/>
        <v>12.611499999999999</v>
      </c>
      <c r="N34" s="235">
        <f>12611.5/1000</f>
        <v>12.611499999999999</v>
      </c>
      <c r="O34" s="235"/>
      <c r="P34" s="236">
        <f t="shared" si="1"/>
        <v>0</v>
      </c>
      <c r="Q34" s="236">
        <f t="shared" si="10"/>
        <v>0</v>
      </c>
      <c r="R34" s="235">
        <v>13.166600000000001</v>
      </c>
      <c r="S34" s="235">
        <f t="shared" si="17"/>
        <v>13.166600000000001</v>
      </c>
      <c r="T34" s="235">
        <f>13166.6/1000</f>
        <v>13.166600000000001</v>
      </c>
      <c r="U34" s="235"/>
      <c r="V34" s="238">
        <f t="shared" si="3"/>
        <v>0</v>
      </c>
      <c r="W34" s="239">
        <f t="shared" si="4"/>
        <v>0</v>
      </c>
      <c r="X34" s="220"/>
      <c r="Y34" s="221"/>
    </row>
    <row r="35" spans="1:25" ht="39.6" x14ac:dyDescent="0.25">
      <c r="A35" s="222" t="s">
        <v>542</v>
      </c>
      <c r="B35" s="223" t="s">
        <v>135</v>
      </c>
      <c r="C35" s="224">
        <v>755.07169999999996</v>
      </c>
      <c r="D35" s="224">
        <v>837.22910000000002</v>
      </c>
      <c r="E35" s="224">
        <v>871.08789999999999</v>
      </c>
      <c r="F35" s="225">
        <v>1740.1405999999999</v>
      </c>
      <c r="G35" s="241">
        <f>H35+I35</f>
        <v>1740.1406999999999</v>
      </c>
      <c r="H35" s="225">
        <f>1380459.7/1000</f>
        <v>1380.4596999999999</v>
      </c>
      <c r="I35" s="225">
        <f>359681/1000</f>
        <v>359.68099999999998</v>
      </c>
      <c r="J35" s="242">
        <f t="shared" si="6"/>
        <v>-9.9999999974897946E-5</v>
      </c>
      <c r="K35" s="242">
        <f t="shared" si="7"/>
        <v>-5.7466617420232069E-6</v>
      </c>
      <c r="L35" s="225">
        <v>1427.4715000000001</v>
      </c>
      <c r="M35" s="225">
        <f>N35+O35</f>
        <v>1949.5165000000002</v>
      </c>
      <c r="N35" s="225">
        <f>1585953.6/1000</f>
        <v>1585.9536000000001</v>
      </c>
      <c r="O35" s="225">
        <f>363562.9/1000</f>
        <v>363.56290000000001</v>
      </c>
      <c r="P35" s="226">
        <f t="shared" si="1"/>
        <v>-522.04500000000007</v>
      </c>
      <c r="Q35" s="226">
        <f t="shared" si="10"/>
        <v>-26.778178076461529</v>
      </c>
      <c r="R35" s="225">
        <v>1894.7502999999999</v>
      </c>
      <c r="S35" s="225">
        <f>T35+U35</f>
        <v>1976.6911999999998</v>
      </c>
      <c r="T35" s="225">
        <f>1797496.9/1000</f>
        <v>1797.4968999999999</v>
      </c>
      <c r="U35" s="225">
        <f>179194.3/1000</f>
        <v>179.1943</v>
      </c>
      <c r="V35" s="227">
        <f t="shared" si="3"/>
        <v>-81.940899999999829</v>
      </c>
      <c r="W35" s="228">
        <f t="shared" si="4"/>
        <v>-4.1453566444773884</v>
      </c>
      <c r="X35" s="229">
        <f>M35+11.5951</f>
        <v>1961.1116000000002</v>
      </c>
      <c r="Y35" s="230">
        <f>S35+11.5951</f>
        <v>1988.2862999999998</v>
      </c>
    </row>
    <row r="36" spans="1:25" ht="66" x14ac:dyDescent="0.25">
      <c r="A36" s="222" t="s">
        <v>543</v>
      </c>
      <c r="B36" s="223" t="s">
        <v>136</v>
      </c>
      <c r="C36" s="224">
        <f>C37+C38+C39+C40</f>
        <v>1668.3201000000001</v>
      </c>
      <c r="D36" s="224">
        <f>D37+D38+D39+D40</f>
        <v>1139.4395999999999</v>
      </c>
      <c r="E36" s="224">
        <f>E37+E38+E39+E40</f>
        <v>903.73830000000009</v>
      </c>
      <c r="F36" s="225">
        <f>F37+F38+F39+F40</f>
        <v>967.53350000000012</v>
      </c>
      <c r="G36" s="241">
        <f t="shared" si="5"/>
        <v>967.5335</v>
      </c>
      <c r="H36" s="225">
        <f>H37+H38+H39+H40</f>
        <v>695.86500000000001</v>
      </c>
      <c r="I36" s="225">
        <f>I37+I38+I39+I40</f>
        <v>271.66849999999999</v>
      </c>
      <c r="J36" s="242">
        <f t="shared" si="6"/>
        <v>0</v>
      </c>
      <c r="K36" s="242">
        <f t="shared" si="7"/>
        <v>0</v>
      </c>
      <c r="L36" s="225">
        <f>L37+L38+L39+L40</f>
        <v>990.83539999999994</v>
      </c>
      <c r="M36" s="225">
        <f>M37+M38+M39+M40</f>
        <v>990.83529999999996</v>
      </c>
      <c r="N36" s="225">
        <f>N37+N38+N39+N40</f>
        <v>719.50720000000001</v>
      </c>
      <c r="O36" s="225">
        <f>O37+O38+O39+O40</f>
        <v>271.32810000000001</v>
      </c>
      <c r="P36" s="226">
        <f t="shared" si="1"/>
        <v>9.9999999974897946E-5</v>
      </c>
      <c r="Q36" s="226">
        <f t="shared" si="10"/>
        <v>1.0092494690638887E-5</v>
      </c>
      <c r="R36" s="225">
        <f>R37+R38+R39+R40</f>
        <v>993.9248</v>
      </c>
      <c r="S36" s="225">
        <f>S37+S38+S39+S40</f>
        <v>993.92470000000003</v>
      </c>
      <c r="T36" s="225">
        <f>T37+T38+T39+T40</f>
        <v>723.11419999999998</v>
      </c>
      <c r="U36" s="225">
        <f>U37+U38+U39+U40</f>
        <v>270.81049999999999</v>
      </c>
      <c r="V36" s="227">
        <f t="shared" si="3"/>
        <v>9.9999999974897946E-5</v>
      </c>
      <c r="W36" s="228">
        <f t="shared" si="4"/>
        <v>1.0061124356752771E-5</v>
      </c>
      <c r="X36" s="229">
        <f>M36+515.7452</f>
        <v>1506.5805</v>
      </c>
      <c r="Y36" s="230">
        <f>S36+515.7452</f>
        <v>1509.6698999999999</v>
      </c>
    </row>
    <row r="37" spans="1:25" ht="39.6" x14ac:dyDescent="0.25">
      <c r="A37" s="231" t="s">
        <v>137</v>
      </c>
      <c r="B37" s="232" t="s">
        <v>138</v>
      </c>
      <c r="C37" s="233">
        <v>1459.1256000000001</v>
      </c>
      <c r="D37" s="233">
        <v>926.69759999999997</v>
      </c>
      <c r="E37" s="233">
        <v>656.97900000000004</v>
      </c>
      <c r="F37" s="234">
        <v>643.88350000000003</v>
      </c>
      <c r="G37" s="234">
        <f>H37+I37</f>
        <v>643.88349999999991</v>
      </c>
      <c r="H37" s="235">
        <f>428635.5/1000</f>
        <v>428.63549999999998</v>
      </c>
      <c r="I37" s="235">
        <f>215248/1000</f>
        <v>215.24799999999999</v>
      </c>
      <c r="J37" s="236">
        <f>F37-G37</f>
        <v>0</v>
      </c>
      <c r="K37" s="236">
        <f t="shared" si="7"/>
        <v>0</v>
      </c>
      <c r="L37" s="235">
        <v>682.64260000000002</v>
      </c>
      <c r="M37" s="235">
        <f>N37+O37</f>
        <v>682.64250000000004</v>
      </c>
      <c r="N37" s="235">
        <f>467533.7/1000</f>
        <v>467.53370000000001</v>
      </c>
      <c r="O37" s="235">
        <f>215108.8/1000</f>
        <v>215.1088</v>
      </c>
      <c r="P37" s="236">
        <f t="shared" si="1"/>
        <v>9.9999999974897946E-5</v>
      </c>
      <c r="Q37" s="236">
        <f t="shared" si="10"/>
        <v>1.4648956067730978E-5</v>
      </c>
      <c r="R37" s="235">
        <v>677.80190000000005</v>
      </c>
      <c r="S37" s="235">
        <f>T37+U37</f>
        <v>677.80179999999996</v>
      </c>
      <c r="T37" s="235">
        <f>462693/1000</f>
        <v>462.69299999999998</v>
      </c>
      <c r="U37" s="235">
        <f>215108.8/1000</f>
        <v>215.1088</v>
      </c>
      <c r="V37" s="238">
        <f t="shared" si="3"/>
        <v>1.0000000008858478E-4</v>
      </c>
      <c r="W37" s="239">
        <f t="shared" si="4"/>
        <v>1.4753575470649594E-5</v>
      </c>
      <c r="X37" s="220"/>
      <c r="Y37" s="221"/>
    </row>
    <row r="38" spans="1:25" ht="26.4" x14ac:dyDescent="0.25">
      <c r="A38" s="231" t="s">
        <v>139</v>
      </c>
      <c r="B38" s="232" t="s">
        <v>140</v>
      </c>
      <c r="C38" s="233">
        <v>1.9085000000000001</v>
      </c>
      <c r="D38" s="233">
        <v>1.7656000000000001</v>
      </c>
      <c r="E38" s="233">
        <v>3.4338000000000002</v>
      </c>
      <c r="F38" s="234">
        <v>5.8522999999999996</v>
      </c>
      <c r="G38" s="234">
        <f t="shared" ref="G38:G40" si="18">H38+I38</f>
        <v>5.8522999999999996</v>
      </c>
      <c r="H38" s="235">
        <f>5082/1000</f>
        <v>5.0819999999999999</v>
      </c>
      <c r="I38" s="235">
        <f>770.3/1000</f>
        <v>0.77029999999999998</v>
      </c>
      <c r="J38" s="236">
        <f t="shared" si="6"/>
        <v>0</v>
      </c>
      <c r="K38" s="236">
        <f t="shared" si="7"/>
        <v>0</v>
      </c>
      <c r="L38" s="235">
        <v>2.9598</v>
      </c>
      <c r="M38" s="235">
        <f t="shared" ref="M38:M40" si="19">N38+O38</f>
        <v>2.9597999999999995</v>
      </c>
      <c r="N38" s="235">
        <f>2189.5/1000</f>
        <v>2.1894999999999998</v>
      </c>
      <c r="O38" s="235">
        <f>770.3/1000</f>
        <v>0.77029999999999998</v>
      </c>
      <c r="P38" s="236">
        <f t="shared" si="1"/>
        <v>0</v>
      </c>
      <c r="Q38" s="236">
        <f t="shared" si="10"/>
        <v>0</v>
      </c>
      <c r="R38" s="235">
        <v>2.9598</v>
      </c>
      <c r="S38" s="235">
        <f t="shared" ref="S38:S40" si="20">T38+U38</f>
        <v>2.9597999999999995</v>
      </c>
      <c r="T38" s="235">
        <f>2189.5/1000</f>
        <v>2.1894999999999998</v>
      </c>
      <c r="U38" s="235">
        <f>770.3/1000</f>
        <v>0.77029999999999998</v>
      </c>
      <c r="V38" s="238">
        <f t="shared" si="3"/>
        <v>0</v>
      </c>
      <c r="W38" s="239">
        <f t="shared" si="4"/>
        <v>0</v>
      </c>
      <c r="X38" s="220"/>
      <c r="Y38" s="221"/>
    </row>
    <row r="39" spans="1:25" ht="26.4" x14ac:dyDescent="0.25">
      <c r="A39" s="231" t="s">
        <v>141</v>
      </c>
      <c r="B39" s="232" t="s">
        <v>142</v>
      </c>
      <c r="C39" s="233">
        <v>207.286</v>
      </c>
      <c r="D39" s="233">
        <v>210.97640000000001</v>
      </c>
      <c r="E39" s="233">
        <v>238.32550000000001</v>
      </c>
      <c r="F39" s="234">
        <v>252.14750000000001</v>
      </c>
      <c r="G39" s="234">
        <f t="shared" si="18"/>
        <v>252.14750000000001</v>
      </c>
      <c r="H39" s="235">
        <f>252147.5/1000</f>
        <v>252.14750000000001</v>
      </c>
      <c r="I39" s="235"/>
      <c r="J39" s="236">
        <f t="shared" si="6"/>
        <v>0</v>
      </c>
      <c r="K39" s="236">
        <f t="shared" si="7"/>
        <v>0</v>
      </c>
      <c r="L39" s="235">
        <v>239.78399999999999</v>
      </c>
      <c r="M39" s="235">
        <f t="shared" si="19"/>
        <v>239.78399999999999</v>
      </c>
      <c r="N39" s="235">
        <f>239784/1000</f>
        <v>239.78399999999999</v>
      </c>
      <c r="O39" s="235"/>
      <c r="P39" s="236">
        <f t="shared" si="1"/>
        <v>0</v>
      </c>
      <c r="Q39" s="236">
        <f t="shared" si="10"/>
        <v>0</v>
      </c>
      <c r="R39" s="235">
        <v>248.23169999999999</v>
      </c>
      <c r="S39" s="235">
        <f t="shared" si="20"/>
        <v>248.23170000000002</v>
      </c>
      <c r="T39" s="235">
        <f>248231.7/1000</f>
        <v>248.23170000000002</v>
      </c>
      <c r="U39" s="235"/>
      <c r="V39" s="238">
        <f t="shared" si="3"/>
        <v>0</v>
      </c>
      <c r="W39" s="239">
        <f t="shared" si="4"/>
        <v>0</v>
      </c>
      <c r="X39" s="220"/>
      <c r="Y39" s="221"/>
    </row>
    <row r="40" spans="1:25" ht="39.6" x14ac:dyDescent="0.25">
      <c r="A40" s="231" t="s">
        <v>143</v>
      </c>
      <c r="B40" s="232" t="s">
        <v>144</v>
      </c>
      <c r="C40" s="233"/>
      <c r="D40" s="233"/>
      <c r="E40" s="233">
        <v>5</v>
      </c>
      <c r="F40" s="234">
        <v>65.650199999999998</v>
      </c>
      <c r="G40" s="234">
        <f t="shared" si="18"/>
        <v>65.650199999999998</v>
      </c>
      <c r="H40" s="235">
        <f>10000/1000</f>
        <v>10</v>
      </c>
      <c r="I40" s="235">
        <f>55650.2/1000</f>
        <v>55.650199999999998</v>
      </c>
      <c r="J40" s="236">
        <f t="shared" si="6"/>
        <v>0</v>
      </c>
      <c r="K40" s="236">
        <f t="shared" si="7"/>
        <v>0</v>
      </c>
      <c r="L40" s="235">
        <v>65.448999999999998</v>
      </c>
      <c r="M40" s="235">
        <f t="shared" si="19"/>
        <v>65.448999999999998</v>
      </c>
      <c r="N40" s="235">
        <f>10000/1000</f>
        <v>10</v>
      </c>
      <c r="O40" s="235">
        <f>55449/1000</f>
        <v>55.448999999999998</v>
      </c>
      <c r="P40" s="236">
        <f t="shared" si="1"/>
        <v>0</v>
      </c>
      <c r="Q40" s="236">
        <f t="shared" si="10"/>
        <v>0</v>
      </c>
      <c r="R40" s="235">
        <v>64.931399999999996</v>
      </c>
      <c r="S40" s="235">
        <f t="shared" si="20"/>
        <v>64.931399999999996</v>
      </c>
      <c r="T40" s="235">
        <f>10000/1000</f>
        <v>10</v>
      </c>
      <c r="U40" s="235">
        <f>54931.4/1000</f>
        <v>54.931400000000004</v>
      </c>
      <c r="V40" s="238">
        <f t="shared" si="3"/>
        <v>0</v>
      </c>
      <c r="W40" s="239">
        <f t="shared" si="4"/>
        <v>0</v>
      </c>
      <c r="X40" s="220"/>
      <c r="Y40" s="221"/>
    </row>
    <row r="41" spans="1:25" ht="66" x14ac:dyDescent="0.25">
      <c r="A41" s="222" t="s">
        <v>544</v>
      </c>
      <c r="B41" s="223" t="s">
        <v>145</v>
      </c>
      <c r="C41" s="224">
        <f>C42+C43+C46</f>
        <v>496.28110000000004</v>
      </c>
      <c r="D41" s="224">
        <f>D42+D43+D46</f>
        <v>409.57940000000002</v>
      </c>
      <c r="E41" s="224">
        <f>E42+E43+E46</f>
        <v>360.6549</v>
      </c>
      <c r="F41" s="225">
        <f>F42+F43+F46</f>
        <v>663.77049999999997</v>
      </c>
      <c r="G41" s="241">
        <f t="shared" si="5"/>
        <v>663.77080000000001</v>
      </c>
      <c r="H41" s="225">
        <f>H42+H43+H46</f>
        <v>398.93979999999999</v>
      </c>
      <c r="I41" s="225">
        <f>I42+I43+I46</f>
        <v>264.83099999999996</v>
      </c>
      <c r="J41" s="242">
        <f t="shared" si="6"/>
        <v>-3.0000000003838068E-4</v>
      </c>
      <c r="K41" s="242">
        <f t="shared" si="7"/>
        <v>-4.5196323796403703E-5</v>
      </c>
      <c r="L41" s="225">
        <f>L42+L43+L46</f>
        <v>348.06439999999998</v>
      </c>
      <c r="M41" s="225">
        <f>SUM(M42:M46)</f>
        <v>1530.0851</v>
      </c>
      <c r="N41" s="225">
        <f>SUM(N42:N46)</f>
        <v>1480.0851</v>
      </c>
      <c r="O41" s="225">
        <f>SUM(O42:O46)</f>
        <v>50</v>
      </c>
      <c r="P41" s="226">
        <f t="shared" si="1"/>
        <v>-1182.0207</v>
      </c>
      <c r="Q41" s="226">
        <f t="shared" si="10"/>
        <v>-77.251958077364463</v>
      </c>
      <c r="R41" s="225">
        <f>SUM(R42:R46)</f>
        <v>401.11779999999999</v>
      </c>
      <c r="S41" s="225">
        <f>SUM(S42:S46)</f>
        <v>1474.6449999999998</v>
      </c>
      <c r="T41" s="225">
        <f>SUM(T42:T46)</f>
        <v>1384.6449999999998</v>
      </c>
      <c r="U41" s="225">
        <f>SUM(U42:U46)</f>
        <v>90</v>
      </c>
      <c r="V41" s="227">
        <f t="shared" si="3"/>
        <v>-1073.5271999999998</v>
      </c>
      <c r="W41" s="228">
        <f t="shared" si="4"/>
        <v>-72.799026206307275</v>
      </c>
      <c r="X41" s="229">
        <f>M41+62.7167</f>
        <v>1592.8018</v>
      </c>
      <c r="Y41" s="230">
        <f>S41+62.4403</f>
        <v>1537.0852999999997</v>
      </c>
    </row>
    <row r="42" spans="1:25" ht="39.6" x14ac:dyDescent="0.25">
      <c r="A42" s="231" t="s">
        <v>146</v>
      </c>
      <c r="B42" s="232" t="s">
        <v>147</v>
      </c>
      <c r="C42" s="233">
        <v>260.01350000000002</v>
      </c>
      <c r="D42" s="233">
        <v>232.6524</v>
      </c>
      <c r="E42" s="233">
        <v>135.37950000000001</v>
      </c>
      <c r="F42" s="234">
        <v>398.57279999999997</v>
      </c>
      <c r="G42" s="234">
        <f>H42+I42</f>
        <v>398.5729</v>
      </c>
      <c r="H42" s="235">
        <f>217547.1/1000</f>
        <v>217.5471</v>
      </c>
      <c r="I42" s="235">
        <f>181025.8/1000</f>
        <v>181.02579999999998</v>
      </c>
      <c r="J42" s="236">
        <f t="shared" si="6"/>
        <v>-1.0000000003174137E-4</v>
      </c>
      <c r="K42" s="236">
        <f t="shared" si="7"/>
        <v>-2.5089513115972295E-5</v>
      </c>
      <c r="L42" s="235">
        <v>165.6163</v>
      </c>
      <c r="M42" s="243">
        <f>N42+O42</f>
        <v>1283.6396999999999</v>
      </c>
      <c r="N42" s="243">
        <f>1283639.7/1000</f>
        <v>1283.6396999999999</v>
      </c>
      <c r="O42" s="244"/>
      <c r="P42" s="236">
        <f t="shared" si="1"/>
        <v>-1118.0234</v>
      </c>
      <c r="Q42" s="236">
        <f t="shared" si="10"/>
        <v>-87.09791384607378</v>
      </c>
      <c r="R42" s="235">
        <v>214.21719999999999</v>
      </c>
      <c r="S42" s="235">
        <f>T42+U42</f>
        <v>1154.5137999999999</v>
      </c>
      <c r="T42" s="235">
        <f>1154513.8/1000</f>
        <v>1154.5137999999999</v>
      </c>
      <c r="U42" s="235"/>
      <c r="V42" s="238">
        <f t="shared" si="3"/>
        <v>-940.2965999999999</v>
      </c>
      <c r="W42" s="239">
        <f t="shared" si="4"/>
        <v>-81.445245609017405</v>
      </c>
      <c r="X42" s="220"/>
      <c r="Y42" s="221"/>
    </row>
    <row r="43" spans="1:25" ht="26.4" x14ac:dyDescent="0.25">
      <c r="A43" s="231" t="s">
        <v>148</v>
      </c>
      <c r="B43" s="232" t="s">
        <v>149</v>
      </c>
      <c r="C43" s="233">
        <v>98.438400000000001</v>
      </c>
      <c r="D43" s="233">
        <v>38.064</v>
      </c>
      <c r="E43" s="233">
        <v>82.412899999999993</v>
      </c>
      <c r="F43" s="234">
        <v>134.80520000000001</v>
      </c>
      <c r="G43" s="234">
        <f t="shared" ref="G43:G46" si="21">H43+I43</f>
        <v>134.80520000000001</v>
      </c>
      <c r="H43" s="235">
        <f>51000/1000</f>
        <v>51</v>
      </c>
      <c r="I43" s="235">
        <f>83805.2/1000</f>
        <v>83.805199999999999</v>
      </c>
      <c r="J43" s="236">
        <f t="shared" si="6"/>
        <v>0</v>
      </c>
      <c r="K43" s="236">
        <f t="shared" si="7"/>
        <v>0</v>
      </c>
      <c r="L43" s="235">
        <v>50</v>
      </c>
      <c r="M43" s="243">
        <f t="shared" ref="M43:M46" si="22">N43+O43</f>
        <v>111</v>
      </c>
      <c r="N43" s="235">
        <f>61000/1000</f>
        <v>61</v>
      </c>
      <c r="O43" s="235">
        <f>50000/1000</f>
        <v>50</v>
      </c>
      <c r="P43" s="236">
        <f t="shared" si="1"/>
        <v>-61</v>
      </c>
      <c r="Q43" s="236">
        <f t="shared" si="10"/>
        <v>-54.954954954954957</v>
      </c>
      <c r="R43" s="235">
        <v>50</v>
      </c>
      <c r="S43" s="235">
        <f t="shared" ref="S43:S46" si="23">T43+U43</f>
        <v>180.07999999999998</v>
      </c>
      <c r="T43" s="235">
        <f>90080/1000</f>
        <v>90.08</v>
      </c>
      <c r="U43" s="235">
        <f>90000/1000</f>
        <v>90</v>
      </c>
      <c r="V43" s="238">
        <f t="shared" si="3"/>
        <v>-130.07999999999998</v>
      </c>
      <c r="W43" s="239">
        <f t="shared" si="4"/>
        <v>-72.234562416703682</v>
      </c>
      <c r="X43" s="220"/>
      <c r="Y43" s="221"/>
    </row>
    <row r="44" spans="1:25" ht="39.6" x14ac:dyDescent="0.25">
      <c r="A44" s="231" t="s">
        <v>150</v>
      </c>
      <c r="B44" s="232"/>
      <c r="C44" s="233"/>
      <c r="D44" s="233"/>
      <c r="E44" s="233"/>
      <c r="F44" s="234">
        <v>0</v>
      </c>
      <c r="G44" s="234">
        <f t="shared" si="21"/>
        <v>0</v>
      </c>
      <c r="H44" s="235"/>
      <c r="I44" s="235"/>
      <c r="J44" s="236">
        <f t="shared" si="6"/>
        <v>0</v>
      </c>
      <c r="K44" s="236" t="e">
        <f>F44/G44*100-100</f>
        <v>#DIV/0!</v>
      </c>
      <c r="L44" s="235"/>
      <c r="M44" s="243">
        <f t="shared" si="22"/>
        <v>2.5504000000000002</v>
      </c>
      <c r="N44" s="235">
        <f>2550.4/1000</f>
        <v>2.5504000000000002</v>
      </c>
      <c r="O44" s="235"/>
      <c r="P44" s="236">
        <f t="shared" si="1"/>
        <v>-2.5504000000000002</v>
      </c>
      <c r="Q44" s="236">
        <f t="shared" si="10"/>
        <v>-100</v>
      </c>
      <c r="R44" s="235"/>
      <c r="S44" s="235">
        <f t="shared" si="23"/>
        <v>2.7</v>
      </c>
      <c r="T44" s="235">
        <f>2700/1000</f>
        <v>2.7</v>
      </c>
      <c r="U44" s="235"/>
      <c r="V44" s="238">
        <f t="shared" si="3"/>
        <v>-2.7</v>
      </c>
      <c r="W44" s="239">
        <f t="shared" si="4"/>
        <v>-100</v>
      </c>
      <c r="X44" s="220"/>
      <c r="Y44" s="221"/>
    </row>
    <row r="45" spans="1:25" ht="26.25" hidden="1" customHeight="1" x14ac:dyDescent="0.25">
      <c r="A45" s="231" t="s">
        <v>320</v>
      </c>
      <c r="B45" s="232"/>
      <c r="C45" s="233"/>
      <c r="D45" s="233"/>
      <c r="E45" s="233"/>
      <c r="F45" s="234"/>
      <c r="G45" s="234">
        <f t="shared" si="21"/>
        <v>0</v>
      </c>
      <c r="H45" s="235"/>
      <c r="I45" s="235"/>
      <c r="J45" s="236">
        <f t="shared" si="6"/>
        <v>0</v>
      </c>
      <c r="K45" s="236">
        <v>0</v>
      </c>
      <c r="L45" s="235"/>
      <c r="M45" s="243">
        <f t="shared" si="22"/>
        <v>0.44669999999999999</v>
      </c>
      <c r="N45" s="235">
        <f>446.7/1000</f>
        <v>0.44669999999999999</v>
      </c>
      <c r="O45" s="235"/>
      <c r="P45" s="236">
        <f t="shared" si="1"/>
        <v>-0.44669999999999999</v>
      </c>
      <c r="Q45" s="236">
        <f t="shared" si="10"/>
        <v>-100</v>
      </c>
      <c r="R45" s="235"/>
      <c r="S45" s="235">
        <f t="shared" si="23"/>
        <v>0.45039999999999997</v>
      </c>
      <c r="T45" s="235">
        <f>450.4/1000</f>
        <v>0.45039999999999997</v>
      </c>
      <c r="U45" s="235"/>
      <c r="V45" s="238">
        <f t="shared" si="3"/>
        <v>-0.45039999999999997</v>
      </c>
      <c r="W45" s="239">
        <f t="shared" si="4"/>
        <v>-100</v>
      </c>
      <c r="X45" s="220"/>
      <c r="Y45" s="221"/>
    </row>
    <row r="46" spans="1:25" ht="26.4" x14ac:dyDescent="0.25">
      <c r="A46" s="231" t="s">
        <v>141</v>
      </c>
      <c r="B46" s="232" t="s">
        <v>151</v>
      </c>
      <c r="C46" s="233">
        <v>137.82919999999999</v>
      </c>
      <c r="D46" s="233">
        <v>138.863</v>
      </c>
      <c r="E46" s="233">
        <v>142.86250000000001</v>
      </c>
      <c r="F46" s="234">
        <v>130.39250000000001</v>
      </c>
      <c r="G46" s="234">
        <f t="shared" si="21"/>
        <v>130.39269999999999</v>
      </c>
      <c r="H46" s="235">
        <f>130392.7/1000</f>
        <v>130.39269999999999</v>
      </c>
      <c r="I46" s="235"/>
      <c r="J46" s="236">
        <f t="shared" si="6"/>
        <v>-1.999999999782176E-4</v>
      </c>
      <c r="K46" s="236">
        <f t="shared" si="7"/>
        <v>-1.5338281971821743E-4</v>
      </c>
      <c r="L46" s="235">
        <v>132.44810000000001</v>
      </c>
      <c r="M46" s="243">
        <f t="shared" si="22"/>
        <v>132.44829999999999</v>
      </c>
      <c r="N46" s="235">
        <f>132448.3/1000</f>
        <v>132.44829999999999</v>
      </c>
      <c r="O46" s="235"/>
      <c r="P46" s="236">
        <f t="shared" si="1"/>
        <v>-1.999999999782176E-4</v>
      </c>
      <c r="Q46" s="236">
        <f t="shared" si="10"/>
        <v>-1.5100231560438715E-4</v>
      </c>
      <c r="R46" s="235">
        <v>136.9006</v>
      </c>
      <c r="S46" s="235">
        <f t="shared" si="23"/>
        <v>136.90079999999998</v>
      </c>
      <c r="T46" s="235">
        <f>136900.8/1000</f>
        <v>136.90079999999998</v>
      </c>
      <c r="U46" s="235"/>
      <c r="V46" s="238">
        <f t="shared" si="3"/>
        <v>-1.999999999782176E-4</v>
      </c>
      <c r="W46" s="239">
        <f t="shared" si="4"/>
        <v>-1.4609118426278656E-4</v>
      </c>
      <c r="X46" s="220"/>
      <c r="Y46" s="221"/>
    </row>
    <row r="47" spans="1:25" ht="52.8" x14ac:dyDescent="0.25">
      <c r="A47" s="222" t="s">
        <v>545</v>
      </c>
      <c r="B47" s="223" t="s">
        <v>152</v>
      </c>
      <c r="C47" s="224" t="e">
        <f>C48+C49+#REF!+C51</f>
        <v>#REF!</v>
      </c>
      <c r="D47" s="224" t="e">
        <f>D48+D49+#REF!+D51</f>
        <v>#REF!</v>
      </c>
      <c r="E47" s="224" t="e">
        <f>E48+E49+#REF!+E51</f>
        <v>#REF!</v>
      </c>
      <c r="F47" s="225">
        <f>F48+F49+F51+F50+F52</f>
        <v>1061.6781999999998</v>
      </c>
      <c r="G47" s="241">
        <f t="shared" si="5"/>
        <v>1061.6781999999998</v>
      </c>
      <c r="H47" s="225">
        <f>H48+H49+H51+H50+H52</f>
        <v>449.75779999999997</v>
      </c>
      <c r="I47" s="225">
        <f>I48+I49+I51+I50+I52</f>
        <v>611.92039999999997</v>
      </c>
      <c r="J47" s="242">
        <f t="shared" si="6"/>
        <v>0</v>
      </c>
      <c r="K47" s="242">
        <f t="shared" si="7"/>
        <v>0</v>
      </c>
      <c r="L47" s="225">
        <f>L48+L49+L51+L50+L52</f>
        <v>1078.5852</v>
      </c>
      <c r="M47" s="225">
        <f>M48+M49+M51+M50+M52</f>
        <v>1078.5852</v>
      </c>
      <c r="N47" s="225">
        <f>N48+N49+N51+N50+N52</f>
        <v>458.24020000000002</v>
      </c>
      <c r="O47" s="225">
        <f>O48+O49+O51+O50+O52</f>
        <v>620.34500000000003</v>
      </c>
      <c r="P47" s="226">
        <f t="shared" si="1"/>
        <v>0</v>
      </c>
      <c r="Q47" s="226">
        <f t="shared" si="10"/>
        <v>0</v>
      </c>
      <c r="R47" s="225">
        <f>R48+R49+R51+R50+R52</f>
        <v>1088.8123000000001</v>
      </c>
      <c r="S47" s="225">
        <f>S48+S49+S51+S50+S52</f>
        <v>1088.8123000000001</v>
      </c>
      <c r="T47" s="225">
        <f>T48+T49+T51+T50+T52</f>
        <v>467.2774</v>
      </c>
      <c r="U47" s="225">
        <f>U48+U49+U51+U50+U52</f>
        <v>621.53489999999999</v>
      </c>
      <c r="V47" s="227">
        <f t="shared" si="3"/>
        <v>0</v>
      </c>
      <c r="W47" s="228">
        <f t="shared" si="4"/>
        <v>0</v>
      </c>
      <c r="X47" s="229">
        <f>M47+444.4174</f>
        <v>1523.0026</v>
      </c>
      <c r="Y47" s="230">
        <f>S47+454.4565</f>
        <v>1543.2688000000001</v>
      </c>
    </row>
    <row r="48" spans="1:25" ht="39.6" x14ac:dyDescent="0.25">
      <c r="A48" s="231" t="s">
        <v>153</v>
      </c>
      <c r="B48" s="232" t="s">
        <v>154</v>
      </c>
      <c r="C48" s="233">
        <v>828.43610000000001</v>
      </c>
      <c r="D48" s="233">
        <v>867.77940000000001</v>
      </c>
      <c r="E48" s="233">
        <v>871.60350000000005</v>
      </c>
      <c r="F48" s="234">
        <v>1029.6079999999999</v>
      </c>
      <c r="G48" s="234">
        <f>H48+I48</f>
        <v>1029.6079999999999</v>
      </c>
      <c r="H48" s="235">
        <f>432875.1/1000</f>
        <v>432.87509999999997</v>
      </c>
      <c r="I48" s="235">
        <f>596732.9/1000</f>
        <v>596.73289999999997</v>
      </c>
      <c r="J48" s="236">
        <f t="shared" si="6"/>
        <v>0</v>
      </c>
      <c r="K48" s="236">
        <f t="shared" si="7"/>
        <v>0</v>
      </c>
      <c r="L48" s="235">
        <v>1049.4644000000001</v>
      </c>
      <c r="M48" s="235">
        <f>N48+O48</f>
        <v>1049.4644000000001</v>
      </c>
      <c r="N48" s="235">
        <f>441269.4/1000</f>
        <v>441.26940000000002</v>
      </c>
      <c r="O48" s="235">
        <f>608195/1000</f>
        <v>608.19500000000005</v>
      </c>
      <c r="P48" s="236">
        <f t="shared" si="1"/>
        <v>0</v>
      </c>
      <c r="Q48" s="236">
        <f t="shared" si="10"/>
        <v>0</v>
      </c>
      <c r="R48" s="235">
        <v>1059.2805000000001</v>
      </c>
      <c r="S48" s="235">
        <f>T48+U48</f>
        <v>1059.2805000000001</v>
      </c>
      <c r="T48" s="235">
        <f>449895.6/1000</f>
        <v>449.8956</v>
      </c>
      <c r="U48" s="235">
        <f>609384.9/1000</f>
        <v>609.38490000000002</v>
      </c>
      <c r="V48" s="238">
        <f t="shared" si="3"/>
        <v>0</v>
      </c>
      <c r="W48" s="239">
        <f t="shared" si="4"/>
        <v>0</v>
      </c>
      <c r="X48" s="220"/>
      <c r="Y48" s="221"/>
    </row>
    <row r="49" spans="1:25" ht="39.6" x14ac:dyDescent="0.25">
      <c r="A49" s="231" t="s">
        <v>155</v>
      </c>
      <c r="B49" s="232" t="s">
        <v>156</v>
      </c>
      <c r="C49" s="233">
        <v>10.0901</v>
      </c>
      <c r="D49" s="233">
        <v>9.8375000000000004</v>
      </c>
      <c r="E49" s="233">
        <v>9.8488000000000007</v>
      </c>
      <c r="F49" s="234">
        <v>11.635999999999999</v>
      </c>
      <c r="G49" s="234">
        <f t="shared" ref="G49:G52" si="24">H49+I49</f>
        <v>11.635999999999999</v>
      </c>
      <c r="H49" s="235">
        <f>11636/1000</f>
        <v>11.635999999999999</v>
      </c>
      <c r="I49" s="235"/>
      <c r="J49" s="236">
        <f t="shared" si="6"/>
        <v>0</v>
      </c>
      <c r="K49" s="236">
        <f t="shared" si="7"/>
        <v>0</v>
      </c>
      <c r="L49" s="235">
        <v>12.0616</v>
      </c>
      <c r="M49" s="235">
        <f t="shared" ref="M49:M52" si="25">N49+O49</f>
        <v>12.0616</v>
      </c>
      <c r="N49" s="235">
        <f>12061.6/1000</f>
        <v>12.0616</v>
      </c>
      <c r="O49" s="235"/>
      <c r="P49" s="236">
        <f t="shared" si="1"/>
        <v>0</v>
      </c>
      <c r="Q49" s="236">
        <f t="shared" si="10"/>
        <v>0</v>
      </c>
      <c r="R49" s="235">
        <v>12.4726</v>
      </c>
      <c r="S49" s="235">
        <f t="shared" ref="S49:S52" si="26">T49+U49</f>
        <v>12.4726</v>
      </c>
      <c r="T49" s="235">
        <f>12472.6/1000</f>
        <v>12.4726</v>
      </c>
      <c r="U49" s="235"/>
      <c r="V49" s="238">
        <f t="shared" si="3"/>
        <v>0</v>
      </c>
      <c r="W49" s="239">
        <f t="shared" si="4"/>
        <v>0</v>
      </c>
      <c r="X49" s="220"/>
      <c r="Y49" s="221"/>
    </row>
    <row r="50" spans="1:25" ht="26.4" x14ac:dyDescent="0.25">
      <c r="A50" s="231" t="s">
        <v>157</v>
      </c>
      <c r="B50" s="232"/>
      <c r="C50" s="233"/>
      <c r="D50" s="233"/>
      <c r="E50" s="233"/>
      <c r="F50" s="234">
        <v>14.625</v>
      </c>
      <c r="G50" s="234">
        <f t="shared" si="24"/>
        <v>14.625</v>
      </c>
      <c r="H50" s="235">
        <f>1462.5/1000</f>
        <v>1.4624999999999999</v>
      </c>
      <c r="I50" s="235">
        <f>13162.5/1000</f>
        <v>13.1625</v>
      </c>
      <c r="J50" s="236">
        <f t="shared" si="6"/>
        <v>0</v>
      </c>
      <c r="K50" s="236">
        <f t="shared" si="7"/>
        <v>0</v>
      </c>
      <c r="L50" s="235">
        <v>11.25</v>
      </c>
      <c r="M50" s="235">
        <f t="shared" si="25"/>
        <v>11.25</v>
      </c>
      <c r="N50" s="235">
        <f>1125/1000</f>
        <v>1.125</v>
      </c>
      <c r="O50" s="235">
        <f>10125/1000</f>
        <v>10.125</v>
      </c>
      <c r="P50" s="236">
        <f t="shared" si="1"/>
        <v>0</v>
      </c>
      <c r="Q50" s="236">
        <f t="shared" si="10"/>
        <v>0</v>
      </c>
      <c r="R50" s="235">
        <v>11.25</v>
      </c>
      <c r="S50" s="235">
        <f t="shared" si="26"/>
        <v>11.25</v>
      </c>
      <c r="T50" s="235">
        <f>1125/1000</f>
        <v>1.125</v>
      </c>
      <c r="U50" s="235">
        <f>10125/1000</f>
        <v>10.125</v>
      </c>
      <c r="V50" s="238">
        <f t="shared" si="3"/>
        <v>0</v>
      </c>
      <c r="W50" s="239">
        <f t="shared" si="4"/>
        <v>0</v>
      </c>
      <c r="X50" s="220"/>
      <c r="Y50" s="221"/>
    </row>
    <row r="51" spans="1:25" ht="52.8" x14ac:dyDescent="0.25">
      <c r="A51" s="231" t="s">
        <v>158</v>
      </c>
      <c r="B51" s="232" t="s">
        <v>159</v>
      </c>
      <c r="C51" s="233">
        <v>0.66010000000000002</v>
      </c>
      <c r="D51" s="233">
        <v>1.996</v>
      </c>
      <c r="E51" s="233">
        <v>0.1173</v>
      </c>
      <c r="F51" s="234">
        <v>2.25</v>
      </c>
      <c r="G51" s="234">
        <f t="shared" si="24"/>
        <v>2.25</v>
      </c>
      <c r="H51" s="235">
        <f>225/1000</f>
        <v>0.22500000000000001</v>
      </c>
      <c r="I51" s="235">
        <f>2025/1000</f>
        <v>2.0249999999999999</v>
      </c>
      <c r="J51" s="236">
        <f t="shared" si="6"/>
        <v>0</v>
      </c>
      <c r="K51" s="236">
        <f t="shared" si="7"/>
        <v>0</v>
      </c>
      <c r="L51" s="235">
        <v>2.25</v>
      </c>
      <c r="M51" s="235">
        <f t="shared" si="25"/>
        <v>2.25</v>
      </c>
      <c r="N51" s="235">
        <f>225/1000</f>
        <v>0.22500000000000001</v>
      </c>
      <c r="O51" s="235">
        <f>2025/1000</f>
        <v>2.0249999999999999</v>
      </c>
      <c r="P51" s="236">
        <f t="shared" si="1"/>
        <v>0</v>
      </c>
      <c r="Q51" s="236">
        <f t="shared" si="10"/>
        <v>0</v>
      </c>
      <c r="R51" s="235">
        <v>2.25</v>
      </c>
      <c r="S51" s="235">
        <f t="shared" si="26"/>
        <v>2.25</v>
      </c>
      <c r="T51" s="235">
        <f>225/1000</f>
        <v>0.22500000000000001</v>
      </c>
      <c r="U51" s="235">
        <f>2025/1000</f>
        <v>2.0249999999999999</v>
      </c>
      <c r="V51" s="238">
        <f t="shared" si="3"/>
        <v>0</v>
      </c>
      <c r="W51" s="239">
        <f t="shared" si="4"/>
        <v>0</v>
      </c>
      <c r="X51" s="220"/>
      <c r="Y51" s="221"/>
    </row>
    <row r="52" spans="1:25" ht="92.4" x14ac:dyDescent="0.25">
      <c r="A52" s="231" t="s">
        <v>321</v>
      </c>
      <c r="B52" s="232"/>
      <c r="C52" s="233"/>
      <c r="D52" s="233"/>
      <c r="E52" s="233"/>
      <c r="F52" s="234">
        <v>3.5592000000000001</v>
      </c>
      <c r="G52" s="234">
        <f t="shared" si="24"/>
        <v>3.5591999999999997</v>
      </c>
      <c r="H52" s="235">
        <f>3559.2/1000</f>
        <v>3.5591999999999997</v>
      </c>
      <c r="I52" s="235"/>
      <c r="J52" s="236">
        <f t="shared" si="6"/>
        <v>0</v>
      </c>
      <c r="K52" s="236">
        <f t="shared" si="7"/>
        <v>0</v>
      </c>
      <c r="L52" s="235">
        <v>3.5592000000000001</v>
      </c>
      <c r="M52" s="235">
        <f t="shared" si="25"/>
        <v>3.5591999999999997</v>
      </c>
      <c r="N52" s="235">
        <f>3559.2/1000</f>
        <v>3.5591999999999997</v>
      </c>
      <c r="O52" s="235"/>
      <c r="P52" s="236">
        <f t="shared" si="1"/>
        <v>0</v>
      </c>
      <c r="Q52" s="236">
        <f t="shared" si="10"/>
        <v>0</v>
      </c>
      <c r="R52" s="235">
        <v>3.5592000000000001</v>
      </c>
      <c r="S52" s="235">
        <f t="shared" si="26"/>
        <v>3.5591999999999997</v>
      </c>
      <c r="T52" s="235">
        <f>3559.2/1000</f>
        <v>3.5591999999999997</v>
      </c>
      <c r="U52" s="235"/>
      <c r="V52" s="238">
        <f t="shared" si="3"/>
        <v>0</v>
      </c>
      <c r="W52" s="239">
        <f t="shared" si="4"/>
        <v>0</v>
      </c>
      <c r="X52" s="220"/>
      <c r="Y52" s="221"/>
    </row>
    <row r="53" spans="1:25" ht="92.4" x14ac:dyDescent="0.25">
      <c r="A53" s="222" t="s">
        <v>546</v>
      </c>
      <c r="B53" s="223" t="s">
        <v>160</v>
      </c>
      <c r="C53" s="224">
        <f>SUM(C54:C56)</f>
        <v>17.060300000000002</v>
      </c>
      <c r="D53" s="224">
        <f>SUM(D54:D56)</f>
        <v>33.632599999999996</v>
      </c>
      <c r="E53" s="224">
        <f>SUM(E54:E56)</f>
        <v>9.7012999999999998</v>
      </c>
      <c r="F53" s="225">
        <f>SUM(F54:F56)</f>
        <v>159.9</v>
      </c>
      <c r="G53" s="241">
        <f t="shared" si="5"/>
        <v>159.9</v>
      </c>
      <c r="H53" s="225">
        <f>SUM(H54:H56)</f>
        <v>159.9</v>
      </c>
      <c r="I53" s="225">
        <f>SUM(I54:I56)</f>
        <v>0</v>
      </c>
      <c r="J53" s="242">
        <f t="shared" si="6"/>
        <v>0</v>
      </c>
      <c r="K53" s="242">
        <f t="shared" si="7"/>
        <v>0</v>
      </c>
      <c r="L53" s="225">
        <f>SUM(L54:L56)</f>
        <v>180.6823</v>
      </c>
      <c r="M53" s="225">
        <f>SUM(M54:M57)</f>
        <v>243.82919999999999</v>
      </c>
      <c r="N53" s="225">
        <f>SUM(N54:N56)</f>
        <v>243.67919999999998</v>
      </c>
      <c r="O53" s="225">
        <f>SUM(O54:O56)</f>
        <v>0</v>
      </c>
      <c r="P53" s="226">
        <f>L53-M53</f>
        <v>-63.146899999999988</v>
      </c>
      <c r="Q53" s="226">
        <f t="shared" si="10"/>
        <v>-25.898005653137517</v>
      </c>
      <c r="R53" s="225">
        <f>SUM(R54:R56)</f>
        <v>59.900000000000006</v>
      </c>
      <c r="S53" s="225">
        <f>SUM(S54:S57)</f>
        <v>59.900000000000006</v>
      </c>
      <c r="T53" s="225">
        <f>SUM(T54:T57)</f>
        <v>59.900000000000006</v>
      </c>
      <c r="U53" s="225">
        <f>SUM(U54:U57)</f>
        <v>0</v>
      </c>
      <c r="V53" s="227">
        <f>R53-S53</f>
        <v>0</v>
      </c>
      <c r="W53" s="228">
        <f>R53/S53*100-100</f>
        <v>0</v>
      </c>
      <c r="X53" s="229">
        <f>M53</f>
        <v>243.82919999999999</v>
      </c>
      <c r="Y53" s="230">
        <f>S53</f>
        <v>59.900000000000006</v>
      </c>
    </row>
    <row r="54" spans="1:25" ht="66" x14ac:dyDescent="0.25">
      <c r="A54" s="231" t="s">
        <v>161</v>
      </c>
      <c r="B54" s="232" t="s">
        <v>162</v>
      </c>
      <c r="C54" s="233">
        <v>4.71</v>
      </c>
      <c r="D54" s="233">
        <v>1.1299999999999999</v>
      </c>
      <c r="E54" s="233">
        <v>1.212</v>
      </c>
      <c r="F54" s="234">
        <v>1.01</v>
      </c>
      <c r="G54" s="234">
        <f>H54+I54</f>
        <v>1.01</v>
      </c>
      <c r="H54" s="235">
        <f>1010/1000</f>
        <v>1.01</v>
      </c>
      <c r="I54" s="235"/>
      <c r="J54" s="236">
        <f t="shared" si="6"/>
        <v>0</v>
      </c>
      <c r="K54" s="236">
        <f t="shared" si="7"/>
        <v>0</v>
      </c>
      <c r="L54" s="235">
        <v>1.01</v>
      </c>
      <c r="M54" s="235">
        <f>N54+O54</f>
        <v>1.86</v>
      </c>
      <c r="N54" s="235">
        <f>1860/1000</f>
        <v>1.86</v>
      </c>
      <c r="O54" s="235"/>
      <c r="P54" s="236">
        <f t="shared" si="1"/>
        <v>-0.85000000000000009</v>
      </c>
      <c r="Q54" s="236">
        <f t="shared" si="10"/>
        <v>-45.6989247311828</v>
      </c>
      <c r="R54" s="235">
        <v>1.01</v>
      </c>
      <c r="S54" s="235">
        <f>T54+U54</f>
        <v>1.01</v>
      </c>
      <c r="T54" s="235">
        <f>1010/1000</f>
        <v>1.01</v>
      </c>
      <c r="U54" s="235"/>
      <c r="V54" s="238">
        <f t="shared" si="3"/>
        <v>0</v>
      </c>
      <c r="W54" s="239">
        <f t="shared" si="4"/>
        <v>0</v>
      </c>
      <c r="X54" s="220"/>
      <c r="Y54" s="221"/>
    </row>
    <row r="55" spans="1:25" ht="26.4" x14ac:dyDescent="0.25">
      <c r="A55" s="231" t="s">
        <v>163</v>
      </c>
      <c r="B55" s="232" t="s">
        <v>164</v>
      </c>
      <c r="C55" s="233">
        <v>8.5322999999999993</v>
      </c>
      <c r="D55" s="233">
        <v>30.027000000000001</v>
      </c>
      <c r="E55" s="233">
        <v>5.9893000000000001</v>
      </c>
      <c r="F55" s="234">
        <v>150.09</v>
      </c>
      <c r="G55" s="234">
        <f t="shared" ref="G55:G56" si="27">H55+I55</f>
        <v>150.09</v>
      </c>
      <c r="H55" s="235">
        <f>150090/1000</f>
        <v>150.09</v>
      </c>
      <c r="I55" s="235"/>
      <c r="J55" s="236">
        <f t="shared" si="6"/>
        <v>0</v>
      </c>
      <c r="K55" s="236">
        <f t="shared" si="7"/>
        <v>0</v>
      </c>
      <c r="L55" s="235">
        <v>170.8723</v>
      </c>
      <c r="M55" s="235">
        <f t="shared" ref="M55:M57" si="28">N55+O55</f>
        <v>171.97229999999999</v>
      </c>
      <c r="N55" s="235">
        <f>171972.3/1000</f>
        <v>171.97229999999999</v>
      </c>
      <c r="O55" s="235"/>
      <c r="P55" s="236">
        <f t="shared" si="1"/>
        <v>-1.0999999999999943</v>
      </c>
      <c r="Q55" s="236">
        <f t="shared" si="10"/>
        <v>-0.63963789517265468</v>
      </c>
      <c r="R55" s="235">
        <v>50.09</v>
      </c>
      <c r="S55" s="235">
        <f t="shared" ref="S55:S57" si="29">T55+U55</f>
        <v>50.09</v>
      </c>
      <c r="T55" s="235">
        <f>50090/1000</f>
        <v>50.09</v>
      </c>
      <c r="U55" s="235"/>
      <c r="V55" s="238">
        <f t="shared" si="3"/>
        <v>0</v>
      </c>
      <c r="W55" s="239">
        <f t="shared" si="4"/>
        <v>0</v>
      </c>
      <c r="X55" s="220"/>
      <c r="Y55" s="221"/>
    </row>
    <row r="56" spans="1:25" ht="26.4" x14ac:dyDescent="0.25">
      <c r="A56" s="231" t="s">
        <v>165</v>
      </c>
      <c r="B56" s="232"/>
      <c r="C56" s="233">
        <v>3.8180000000000001</v>
      </c>
      <c r="D56" s="233">
        <v>2.4756</v>
      </c>
      <c r="E56" s="233">
        <v>2.5</v>
      </c>
      <c r="F56" s="234">
        <v>8.8000000000000007</v>
      </c>
      <c r="G56" s="234">
        <f t="shared" si="27"/>
        <v>8.8000000000000007</v>
      </c>
      <c r="H56" s="235">
        <f>8800/1000</f>
        <v>8.8000000000000007</v>
      </c>
      <c r="I56" s="235"/>
      <c r="J56" s="236">
        <f t="shared" si="6"/>
        <v>0</v>
      </c>
      <c r="K56" s="236">
        <f t="shared" si="7"/>
        <v>0</v>
      </c>
      <c r="L56" s="235">
        <v>8.8000000000000007</v>
      </c>
      <c r="M56" s="235">
        <f t="shared" si="28"/>
        <v>69.846899999999991</v>
      </c>
      <c r="N56" s="235">
        <f>69846.9/1000</f>
        <v>69.846899999999991</v>
      </c>
      <c r="O56" s="235"/>
      <c r="P56" s="236">
        <f t="shared" si="1"/>
        <v>-61.046899999999994</v>
      </c>
      <c r="Q56" s="236">
        <f t="shared" si="10"/>
        <v>-87.401015649942948</v>
      </c>
      <c r="R56" s="235">
        <v>8.8000000000000007</v>
      </c>
      <c r="S56" s="235">
        <f t="shared" si="29"/>
        <v>8.8000000000000007</v>
      </c>
      <c r="T56" s="235">
        <f>8800/1000</f>
        <v>8.8000000000000007</v>
      </c>
      <c r="U56" s="235"/>
      <c r="V56" s="238">
        <f t="shared" si="3"/>
        <v>0</v>
      </c>
      <c r="W56" s="239">
        <f t="shared" si="4"/>
        <v>0</v>
      </c>
      <c r="X56" s="220"/>
      <c r="Y56" s="221"/>
    </row>
    <row r="57" spans="1:25" ht="33" customHeight="1" x14ac:dyDescent="0.25">
      <c r="A57" s="231" t="s">
        <v>322</v>
      </c>
      <c r="B57" s="232"/>
      <c r="C57" s="233"/>
      <c r="D57" s="233"/>
      <c r="E57" s="233"/>
      <c r="F57" s="234"/>
      <c r="G57" s="234"/>
      <c r="H57" s="235"/>
      <c r="I57" s="235"/>
      <c r="J57" s="236">
        <f t="shared" si="6"/>
        <v>0</v>
      </c>
      <c r="K57" s="236">
        <v>0</v>
      </c>
      <c r="L57" s="235"/>
      <c r="M57" s="235">
        <f t="shared" si="28"/>
        <v>0.15</v>
      </c>
      <c r="N57" s="235">
        <f>150/1000</f>
        <v>0.15</v>
      </c>
      <c r="O57" s="235"/>
      <c r="P57" s="236">
        <f t="shared" si="1"/>
        <v>-0.15</v>
      </c>
      <c r="Q57" s="236">
        <f t="shared" si="10"/>
        <v>-100</v>
      </c>
      <c r="R57" s="235"/>
      <c r="S57" s="235">
        <f t="shared" si="29"/>
        <v>0</v>
      </c>
      <c r="T57" s="235"/>
      <c r="U57" s="235"/>
      <c r="V57" s="238">
        <f t="shared" si="3"/>
        <v>0</v>
      </c>
      <c r="W57" s="239" t="e">
        <f t="shared" si="4"/>
        <v>#DIV/0!</v>
      </c>
      <c r="X57" s="220"/>
      <c r="Y57" s="221"/>
    </row>
    <row r="58" spans="1:25" s="247" customFormat="1" ht="79.2" x14ac:dyDescent="0.25">
      <c r="A58" s="222" t="s">
        <v>547</v>
      </c>
      <c r="B58" s="223" t="s">
        <v>166</v>
      </c>
      <c r="C58" s="224">
        <f>C59+C60+C61+C62</f>
        <v>1080.5881999999999</v>
      </c>
      <c r="D58" s="224">
        <f>D59+D60+D61+D62</f>
        <v>1143.0186000000001</v>
      </c>
      <c r="E58" s="224">
        <f>E59+E60+E61+E62</f>
        <v>1114.5907999999999</v>
      </c>
      <c r="F58" s="225">
        <f>F59+F60+F61+F62</f>
        <v>1647.7152999999998</v>
      </c>
      <c r="G58" s="225">
        <f t="shared" si="5"/>
        <v>1648.3427999999999</v>
      </c>
      <c r="H58" s="225">
        <f>H59+H60+H61+H62</f>
        <v>1648.3427999999999</v>
      </c>
      <c r="I58" s="225">
        <f>I59+I60+I61+I62</f>
        <v>0</v>
      </c>
      <c r="J58" s="226">
        <f t="shared" si="6"/>
        <v>-0.62750000000005457</v>
      </c>
      <c r="K58" s="226">
        <f t="shared" si="7"/>
        <v>-3.8068537685248316E-2</v>
      </c>
      <c r="L58" s="225">
        <f>L59+L60+L61+L62</f>
        <v>1227.3197</v>
      </c>
      <c r="M58" s="225">
        <f>M59+M60+M61+M62</f>
        <v>3640.3388</v>
      </c>
      <c r="N58" s="225">
        <f>N59+N60+N61+N62+N57</f>
        <v>3635.3849</v>
      </c>
      <c r="O58" s="225">
        <f>O59+O60+O61+O62</f>
        <v>5.1038999999999994</v>
      </c>
      <c r="P58" s="226">
        <f>L58-M58</f>
        <v>-2413.0191</v>
      </c>
      <c r="Q58" s="226">
        <f t="shared" si="10"/>
        <v>-66.285563860154994</v>
      </c>
      <c r="R58" s="225">
        <f>R59+R60+R61+R62</f>
        <v>1257.0930999999998</v>
      </c>
      <c r="S58" s="225">
        <f>S59+S60+S61+S62</f>
        <v>2162.2883000000002</v>
      </c>
      <c r="T58" s="225">
        <f>T59+T60+T61+T62</f>
        <v>2162.2883000000002</v>
      </c>
      <c r="U58" s="225">
        <f>U59+U60+U61+U62</f>
        <v>0</v>
      </c>
      <c r="V58" s="227">
        <f t="shared" si="3"/>
        <v>-905.19520000000034</v>
      </c>
      <c r="W58" s="228">
        <f t="shared" si="4"/>
        <v>-41.862835774489469</v>
      </c>
      <c r="X58" s="245">
        <f>M58</f>
        <v>3640.3388</v>
      </c>
      <c r="Y58" s="246">
        <f>S58</f>
        <v>2162.2883000000002</v>
      </c>
    </row>
    <row r="59" spans="1:25" ht="26.4" x14ac:dyDescent="0.25">
      <c r="A59" s="231" t="s">
        <v>167</v>
      </c>
      <c r="B59" s="232" t="s">
        <v>168</v>
      </c>
      <c r="C59" s="233">
        <v>883.94449999999995</v>
      </c>
      <c r="D59" s="233">
        <v>860.24990000000003</v>
      </c>
      <c r="E59" s="233">
        <v>872.70979999999997</v>
      </c>
      <c r="F59" s="234">
        <v>986.67600000000004</v>
      </c>
      <c r="G59" s="234">
        <f>H59+I59</f>
        <v>986.67499999999995</v>
      </c>
      <c r="H59" s="235">
        <f>986675/1000</f>
        <v>986.67499999999995</v>
      </c>
      <c r="I59" s="235"/>
      <c r="J59" s="236">
        <f t="shared" si="6"/>
        <v>1.00000000009004E-3</v>
      </c>
      <c r="K59" s="236">
        <f t="shared" si="7"/>
        <v>1.0135049535620055E-4</v>
      </c>
      <c r="L59" s="235">
        <v>979.47170000000006</v>
      </c>
      <c r="M59" s="235">
        <f>N59+O59</f>
        <v>1342.9208000000001</v>
      </c>
      <c r="N59" s="235">
        <f>1342920.8/1000</f>
        <v>1342.9208000000001</v>
      </c>
      <c r="O59" s="235"/>
      <c r="P59" s="236">
        <f t="shared" ref="P59:P117" si="30">L59-M59</f>
        <v>-363.44910000000004</v>
      </c>
      <c r="Q59" s="236">
        <f t="shared" si="10"/>
        <v>-27.064075558290554</v>
      </c>
      <c r="R59" s="235">
        <v>1002.5388</v>
      </c>
      <c r="S59" s="235">
        <f>T59+U59</f>
        <v>1108.5388</v>
      </c>
      <c r="T59" s="235">
        <f>1108538.8/1000</f>
        <v>1108.5388</v>
      </c>
      <c r="U59" s="235"/>
      <c r="V59" s="238">
        <f t="shared" si="3"/>
        <v>-106</v>
      </c>
      <c r="W59" s="239">
        <f t="shared" si="4"/>
        <v>-9.5621371123861394</v>
      </c>
      <c r="X59" s="220"/>
      <c r="Y59" s="221"/>
    </row>
    <row r="60" spans="1:25" ht="66" x14ac:dyDescent="0.25">
      <c r="A60" s="231" t="s">
        <v>169</v>
      </c>
      <c r="B60" s="232" t="s">
        <v>170</v>
      </c>
      <c r="C60" s="233">
        <v>186.48390000000001</v>
      </c>
      <c r="D60" s="233">
        <v>272.7688</v>
      </c>
      <c r="E60" s="233">
        <v>180.65809999999999</v>
      </c>
      <c r="F60" s="234">
        <v>250.69200000000001</v>
      </c>
      <c r="G60" s="234">
        <f t="shared" ref="G60:G62" si="31">H60+I60</f>
        <v>250.69200000000001</v>
      </c>
      <c r="H60" s="235">
        <f>250692/1000</f>
        <v>250.69200000000001</v>
      </c>
      <c r="I60" s="235"/>
      <c r="J60" s="236">
        <f t="shared" si="6"/>
        <v>0</v>
      </c>
      <c r="K60" s="236">
        <f t="shared" si="7"/>
        <v>0</v>
      </c>
      <c r="L60" s="235">
        <v>195.91040000000001</v>
      </c>
      <c r="M60" s="235">
        <f t="shared" ref="M60:M62" si="32">N60+O60</f>
        <v>251.10579999999999</v>
      </c>
      <c r="N60" s="235">
        <f>251105.8/1000</f>
        <v>251.10579999999999</v>
      </c>
      <c r="O60" s="235"/>
      <c r="P60" s="236">
        <f t="shared" si="30"/>
        <v>-55.195399999999978</v>
      </c>
      <c r="Q60" s="236">
        <f t="shared" si="10"/>
        <v>-21.98093393302743</v>
      </c>
      <c r="R60" s="235">
        <v>202.0086</v>
      </c>
      <c r="S60" s="235">
        <f t="shared" ref="S60:S62" si="33">T60+U60</f>
        <v>219.76220000000001</v>
      </c>
      <c r="T60" s="235">
        <f>219762.2/1000</f>
        <v>219.76220000000001</v>
      </c>
      <c r="U60" s="235"/>
      <c r="V60" s="238">
        <f t="shared" si="3"/>
        <v>-17.753600000000006</v>
      </c>
      <c r="W60" s="239">
        <f t="shared" si="4"/>
        <v>-8.0785503603440532</v>
      </c>
      <c r="X60" s="220"/>
      <c r="Y60" s="221"/>
    </row>
    <row r="61" spans="1:25" ht="39.6" x14ac:dyDescent="0.25">
      <c r="A61" s="231" t="s">
        <v>171</v>
      </c>
      <c r="B61" s="232" t="s">
        <v>172</v>
      </c>
      <c r="C61" s="233">
        <v>10.159800000000001</v>
      </c>
      <c r="D61" s="233">
        <v>9.9999000000000002</v>
      </c>
      <c r="E61" s="233">
        <v>15.588900000000001</v>
      </c>
      <c r="F61" s="234">
        <v>17.3218</v>
      </c>
      <c r="G61" s="234">
        <f t="shared" si="31"/>
        <v>17.950299999999999</v>
      </c>
      <c r="H61" s="235">
        <f>17950.3/1000</f>
        <v>17.950299999999999</v>
      </c>
      <c r="I61" s="235"/>
      <c r="J61" s="236">
        <f t="shared" si="6"/>
        <v>-0.62849999999999895</v>
      </c>
      <c r="K61" s="236">
        <f t="shared" si="7"/>
        <v>-3.5013342395391618</v>
      </c>
      <c r="L61" s="235">
        <v>17.950299999999999</v>
      </c>
      <c r="M61" s="235">
        <f t="shared" si="32"/>
        <v>18.558400000000002</v>
      </c>
      <c r="N61" s="235">
        <f>18558.4/1000</f>
        <v>18.558400000000002</v>
      </c>
      <c r="O61" s="235"/>
      <c r="P61" s="236">
        <f t="shared" si="30"/>
        <v>-0.60810000000000386</v>
      </c>
      <c r="Q61" s="236">
        <f t="shared" si="10"/>
        <v>-3.2766833347702544</v>
      </c>
      <c r="R61" s="235">
        <v>18.558399999999999</v>
      </c>
      <c r="S61" s="235">
        <f t="shared" si="33"/>
        <v>0</v>
      </c>
      <c r="T61" s="235"/>
      <c r="U61" s="235"/>
      <c r="V61" s="238">
        <f t="shared" si="3"/>
        <v>18.558399999999999</v>
      </c>
      <c r="W61" s="239" t="e">
        <f t="shared" si="4"/>
        <v>#DIV/0!</v>
      </c>
      <c r="X61" s="220"/>
      <c r="Y61" s="221"/>
    </row>
    <row r="62" spans="1:25" ht="52.8" x14ac:dyDescent="0.25">
      <c r="A62" s="231" t="s">
        <v>173</v>
      </c>
      <c r="B62" s="232" t="s">
        <v>174</v>
      </c>
      <c r="C62" s="233"/>
      <c r="D62" s="233"/>
      <c r="E62" s="233">
        <v>45.634</v>
      </c>
      <c r="F62" s="234">
        <v>393.02550000000002</v>
      </c>
      <c r="G62" s="234">
        <f t="shared" si="31"/>
        <v>393.02550000000002</v>
      </c>
      <c r="H62" s="235">
        <f>393025.5/1000</f>
        <v>393.02550000000002</v>
      </c>
      <c r="I62" s="235"/>
      <c r="J62" s="236">
        <f t="shared" si="6"/>
        <v>0</v>
      </c>
      <c r="K62" s="236">
        <f t="shared" si="7"/>
        <v>0</v>
      </c>
      <c r="L62" s="235">
        <v>33.987299999999998</v>
      </c>
      <c r="M62" s="235">
        <f t="shared" si="32"/>
        <v>2027.7538</v>
      </c>
      <c r="N62" s="235">
        <f>2022649.9/1000</f>
        <v>2022.6498999999999</v>
      </c>
      <c r="O62" s="235">
        <f>5103.9/1000</f>
        <v>5.1038999999999994</v>
      </c>
      <c r="P62" s="236">
        <f t="shared" si="30"/>
        <v>-1993.7665</v>
      </c>
      <c r="Q62" s="236">
        <f t="shared" si="10"/>
        <v>-98.323894153225112</v>
      </c>
      <c r="R62" s="235">
        <v>33.987299999999998</v>
      </c>
      <c r="S62" s="235">
        <f t="shared" si="33"/>
        <v>833.9873</v>
      </c>
      <c r="T62" s="235">
        <f>833987.3/1000</f>
        <v>833.9873</v>
      </c>
      <c r="U62" s="248"/>
      <c r="V62" s="238">
        <f t="shared" si="3"/>
        <v>-800</v>
      </c>
      <c r="W62" s="239">
        <f t="shared" si="4"/>
        <v>-95.924722115072981</v>
      </c>
      <c r="X62" s="220"/>
      <c r="Y62" s="221"/>
    </row>
    <row r="63" spans="1:25" s="247" customFormat="1" ht="66" x14ac:dyDescent="0.25">
      <c r="A63" s="222" t="s">
        <v>548</v>
      </c>
      <c r="B63" s="223" t="s">
        <v>175</v>
      </c>
      <c r="C63" s="224">
        <f>C64+C65+C66</f>
        <v>216.68349999999998</v>
      </c>
      <c r="D63" s="224">
        <f>D64+D65+D66</f>
        <v>132.7996</v>
      </c>
      <c r="E63" s="224">
        <f>E64+E65+E66</f>
        <v>76.723799999999997</v>
      </c>
      <c r="F63" s="225">
        <f>F64+F65+F66</f>
        <v>298.21469999999999</v>
      </c>
      <c r="G63" s="225">
        <f t="shared" si="5"/>
        <v>298.21459999999996</v>
      </c>
      <c r="H63" s="225">
        <f>H64+H65+H66</f>
        <v>184.34909999999996</v>
      </c>
      <c r="I63" s="225">
        <f>I64+I65+I66</f>
        <v>113.8655</v>
      </c>
      <c r="J63" s="226">
        <f t="shared" si="6"/>
        <v>1.0000000003174137E-4</v>
      </c>
      <c r="K63" s="226">
        <f t="shared" si="7"/>
        <v>3.3532898811472478E-5</v>
      </c>
      <c r="L63" s="225">
        <f>L64+L65+L66</f>
        <v>167.07010000000002</v>
      </c>
      <c r="M63" s="225">
        <f>M64+M65+M66</f>
        <v>375.52369999999996</v>
      </c>
      <c r="N63" s="225">
        <f>N64+N65+N66</f>
        <v>276.89020000000005</v>
      </c>
      <c r="O63" s="225">
        <f>O64+O65+O66</f>
        <v>98.633499999999998</v>
      </c>
      <c r="P63" s="226">
        <f t="shared" si="30"/>
        <v>-208.45359999999994</v>
      </c>
      <c r="Q63" s="226">
        <f t="shared" si="10"/>
        <v>-55.5101049547605</v>
      </c>
      <c r="R63" s="225">
        <f>R64+R65+R66</f>
        <v>148.9545</v>
      </c>
      <c r="S63" s="225">
        <f>S64+S65+S66</f>
        <v>320.05949999999996</v>
      </c>
      <c r="T63" s="225">
        <f>T64+T65+T66</f>
        <v>221.42599999999999</v>
      </c>
      <c r="U63" s="225">
        <f>U64+U65+U66</f>
        <v>98.633499999999998</v>
      </c>
      <c r="V63" s="227">
        <f t="shared" si="3"/>
        <v>-171.10499999999996</v>
      </c>
      <c r="W63" s="228">
        <f t="shared" si="4"/>
        <v>-53.460372212041818</v>
      </c>
      <c r="X63" s="245">
        <f>M63+89.136</f>
        <v>464.65969999999993</v>
      </c>
      <c r="Y63" s="246">
        <f>S63+89.1346</f>
        <v>409.19409999999993</v>
      </c>
    </row>
    <row r="64" spans="1:25" ht="39.6" x14ac:dyDescent="0.25">
      <c r="A64" s="231" t="s">
        <v>176</v>
      </c>
      <c r="B64" s="232" t="s">
        <v>177</v>
      </c>
      <c r="C64" s="233">
        <v>68.801299999999998</v>
      </c>
      <c r="D64" s="233">
        <v>31.028600000000001</v>
      </c>
      <c r="E64" s="233">
        <v>41.275799999999997</v>
      </c>
      <c r="F64" s="234">
        <v>75.275000000000006</v>
      </c>
      <c r="G64" s="234">
        <f>H64+I64</f>
        <v>75.274899999999988</v>
      </c>
      <c r="H64" s="235">
        <f>75274.9/1000</f>
        <v>75.274899999999988</v>
      </c>
      <c r="I64" s="235"/>
      <c r="J64" s="236">
        <f t="shared" si="6"/>
        <v>1.0000000001753051E-4</v>
      </c>
      <c r="K64" s="236">
        <f t="shared" si="7"/>
        <v>1.3284640698429939E-4</v>
      </c>
      <c r="L64" s="235">
        <v>43.349800000000002</v>
      </c>
      <c r="M64" s="235">
        <f>N64+O64</f>
        <v>142.70500000000001</v>
      </c>
      <c r="N64" s="235">
        <f>142705/1000</f>
        <v>142.70500000000001</v>
      </c>
      <c r="O64" s="235"/>
      <c r="P64" s="236">
        <f t="shared" si="30"/>
        <v>-99.355200000000011</v>
      </c>
      <c r="Q64" s="236">
        <f t="shared" si="10"/>
        <v>-69.622788269507026</v>
      </c>
      <c r="R64" s="235">
        <v>44.825099999999999</v>
      </c>
      <c r="S64" s="235">
        <f>T64+U64</f>
        <v>142.3801</v>
      </c>
      <c r="T64" s="235">
        <f>142380.1/1000</f>
        <v>142.3801</v>
      </c>
      <c r="U64" s="235"/>
      <c r="V64" s="238">
        <f t="shared" si="3"/>
        <v>-97.555000000000007</v>
      </c>
      <c r="W64" s="239">
        <f t="shared" si="4"/>
        <v>-68.517299819286535</v>
      </c>
      <c r="X64" s="220"/>
      <c r="Y64" s="221"/>
    </row>
    <row r="65" spans="1:25" ht="26.4" x14ac:dyDescent="0.25">
      <c r="A65" s="231" t="s">
        <v>178</v>
      </c>
      <c r="B65" s="232" t="s">
        <v>179</v>
      </c>
      <c r="C65" s="233">
        <v>31.256</v>
      </c>
      <c r="D65" s="233">
        <v>23.8261</v>
      </c>
      <c r="E65" s="233">
        <v>21.134399999999999</v>
      </c>
      <c r="F65" s="234">
        <v>25.89</v>
      </c>
      <c r="G65" s="234">
        <f t="shared" ref="G65:G66" si="34">H65+I65</f>
        <v>25.89</v>
      </c>
      <c r="H65" s="235">
        <f>2000/1000</f>
        <v>2</v>
      </c>
      <c r="I65" s="235">
        <f>23890/1000</f>
        <v>23.89</v>
      </c>
      <c r="J65" s="236">
        <f t="shared" si="6"/>
        <v>0</v>
      </c>
      <c r="K65" s="236">
        <f t="shared" si="7"/>
        <v>0</v>
      </c>
      <c r="L65" s="235">
        <v>24.9389</v>
      </c>
      <c r="M65" s="235">
        <f t="shared" ref="M65:M66" si="35">N65+O65</f>
        <v>64.537300000000002</v>
      </c>
      <c r="N65" s="235">
        <f>39428.5/1000</f>
        <v>39.4285</v>
      </c>
      <c r="O65" s="235">
        <f>25108.8/1000</f>
        <v>25.108799999999999</v>
      </c>
      <c r="P65" s="236">
        <f t="shared" si="30"/>
        <v>-39.598399999999998</v>
      </c>
      <c r="Q65" s="236">
        <f t="shared" si="10"/>
        <v>-61.357385573923921</v>
      </c>
      <c r="R65" s="235">
        <v>25.108799999999999</v>
      </c>
      <c r="S65" s="235">
        <f t="shared" ref="S65:S66" si="36">T65+U65</f>
        <v>29.208799999999997</v>
      </c>
      <c r="T65" s="235">
        <f>4100/1000</f>
        <v>4.0999999999999996</v>
      </c>
      <c r="U65" s="235">
        <f>25108.8/1000</f>
        <v>25.108799999999999</v>
      </c>
      <c r="V65" s="238">
        <f t="shared" si="3"/>
        <v>-4.0999999999999979</v>
      </c>
      <c r="W65" s="239">
        <f t="shared" si="4"/>
        <v>-14.036865602147302</v>
      </c>
      <c r="X65" s="220"/>
      <c r="Y65" s="221"/>
    </row>
    <row r="66" spans="1:25" ht="26.4" x14ac:dyDescent="0.25">
      <c r="A66" s="231" t="s">
        <v>180</v>
      </c>
      <c r="B66" s="232" t="s">
        <v>181</v>
      </c>
      <c r="C66" s="233">
        <v>116.6262</v>
      </c>
      <c r="D66" s="233">
        <v>77.944900000000004</v>
      </c>
      <c r="E66" s="233">
        <v>14.313599999999999</v>
      </c>
      <c r="F66" s="234">
        <v>197.0497</v>
      </c>
      <c r="G66" s="234">
        <f t="shared" si="34"/>
        <v>197.04969999999997</v>
      </c>
      <c r="H66" s="235">
        <f>107074.2/1000</f>
        <v>107.07419999999999</v>
      </c>
      <c r="I66" s="235">
        <f>89975.5/1000</f>
        <v>89.975499999999997</v>
      </c>
      <c r="J66" s="236">
        <f t="shared" si="6"/>
        <v>0</v>
      </c>
      <c r="K66" s="236">
        <f t="shared" si="7"/>
        <v>0</v>
      </c>
      <c r="L66" s="235">
        <v>98.781400000000005</v>
      </c>
      <c r="M66" s="235">
        <f t="shared" si="35"/>
        <v>168.28139999999999</v>
      </c>
      <c r="N66" s="235">
        <f>94756.7/1000</f>
        <v>94.756699999999995</v>
      </c>
      <c r="O66" s="235">
        <f>73524.7/1000</f>
        <v>73.524699999999996</v>
      </c>
      <c r="P66" s="236">
        <f t="shared" si="30"/>
        <v>-69.499999999999986</v>
      </c>
      <c r="Q66" s="236">
        <f t="shared" si="10"/>
        <v>-41.29987033623442</v>
      </c>
      <c r="R66" s="235">
        <v>79.020600000000002</v>
      </c>
      <c r="S66" s="235">
        <f t="shared" si="36"/>
        <v>148.47059999999999</v>
      </c>
      <c r="T66" s="235">
        <f>74945.9/1000</f>
        <v>74.945899999999995</v>
      </c>
      <c r="U66" s="235">
        <f>73524.7/1000</f>
        <v>73.524699999999996</v>
      </c>
      <c r="V66" s="238">
        <f t="shared" si="3"/>
        <v>-69.449999999999989</v>
      </c>
      <c r="W66" s="239">
        <f t="shared" si="4"/>
        <v>-46.776937656344074</v>
      </c>
      <c r="X66" s="220"/>
      <c r="Y66" s="221"/>
    </row>
    <row r="67" spans="1:25" ht="79.2" x14ac:dyDescent="0.25">
      <c r="A67" s="222" t="s">
        <v>549</v>
      </c>
      <c r="B67" s="223" t="s">
        <v>182</v>
      </c>
      <c r="C67" s="224">
        <f>SUM(C68:C72)</f>
        <v>984.41959999999995</v>
      </c>
      <c r="D67" s="224">
        <f>SUM(D68:D72)</f>
        <v>763.40359999999998</v>
      </c>
      <c r="E67" s="224">
        <f>SUM(E68:E72)</f>
        <v>636.13679999999988</v>
      </c>
      <c r="F67" s="225">
        <f>SUM(F68:F72)</f>
        <v>948.06179999999995</v>
      </c>
      <c r="G67" s="241">
        <f t="shared" si="5"/>
        <v>948.06169999999997</v>
      </c>
      <c r="H67" s="225">
        <f>SUM(H68:H72)</f>
        <v>805.33459999999991</v>
      </c>
      <c r="I67" s="225">
        <f>SUM(I68:I72)</f>
        <v>142.72710000000001</v>
      </c>
      <c r="J67" s="242">
        <f t="shared" si="6"/>
        <v>9.9999999974897946E-5</v>
      </c>
      <c r="K67" s="242">
        <f t="shared" si="7"/>
        <v>1.0547836708951763E-5</v>
      </c>
      <c r="L67" s="225">
        <f>SUM(L68:L72)</f>
        <v>644.83760000000007</v>
      </c>
      <c r="M67" s="225">
        <f>SUM(M68:M72)</f>
        <v>2031.9853999999998</v>
      </c>
      <c r="N67" s="225">
        <f>SUM(N68:N72)</f>
        <v>1359.7182999999998</v>
      </c>
      <c r="O67" s="225">
        <f>SUM(O68:O72)</f>
        <v>672.26710000000003</v>
      </c>
      <c r="P67" s="226">
        <f t="shared" si="30"/>
        <v>-1387.1477999999997</v>
      </c>
      <c r="Q67" s="226">
        <f t="shared" si="10"/>
        <v>-68.265638129092849</v>
      </c>
      <c r="R67" s="225">
        <f>SUM(R68:R72)</f>
        <v>581.94749999999999</v>
      </c>
      <c r="S67" s="225">
        <f>SUM(S68:S72)</f>
        <v>1815.7207999999996</v>
      </c>
      <c r="T67" s="225">
        <f>SUM(T68:T72)</f>
        <v>1210.9555999999998</v>
      </c>
      <c r="U67" s="225">
        <f>SUM(U68:U72)</f>
        <v>604.76519999999994</v>
      </c>
      <c r="V67" s="227">
        <f t="shared" si="3"/>
        <v>-1233.7732999999996</v>
      </c>
      <c r="W67" s="228">
        <f t="shared" si="4"/>
        <v>-67.949505232302229</v>
      </c>
      <c r="X67" s="229">
        <f>M67+202.7821</f>
        <v>2234.7674999999999</v>
      </c>
      <c r="Y67" s="230">
        <f>S67+4.758</f>
        <v>1820.4787999999996</v>
      </c>
    </row>
    <row r="68" spans="1:25" ht="26.4" x14ac:dyDescent="0.25">
      <c r="A68" s="231" t="s">
        <v>183</v>
      </c>
      <c r="B68" s="232" t="s">
        <v>184</v>
      </c>
      <c r="C68" s="233">
        <v>866.0104</v>
      </c>
      <c r="D68" s="233">
        <v>602.53539999999998</v>
      </c>
      <c r="E68" s="233">
        <v>502.53429999999997</v>
      </c>
      <c r="F68" s="234">
        <v>725.8433</v>
      </c>
      <c r="G68" s="234">
        <f>H68+I68</f>
        <v>725.84320000000002</v>
      </c>
      <c r="H68" s="235">
        <f>583116.1/1000</f>
        <v>583.11609999999996</v>
      </c>
      <c r="I68" s="235">
        <f>142727.1/1000</f>
        <v>142.72710000000001</v>
      </c>
      <c r="J68" s="236">
        <f t="shared" si="6"/>
        <v>9.9999999974897946E-5</v>
      </c>
      <c r="K68" s="236">
        <f t="shared" si="7"/>
        <v>1.3777080226873295E-5</v>
      </c>
      <c r="L68" s="235">
        <v>520.30550000000005</v>
      </c>
      <c r="M68" s="235">
        <f>N68+O68</f>
        <v>1907.4532999999999</v>
      </c>
      <c r="N68" s="235">
        <f>1235186.2/1000</f>
        <v>1235.1861999999999</v>
      </c>
      <c r="O68" s="235">
        <f>672267.1/1000</f>
        <v>672.26710000000003</v>
      </c>
      <c r="P68" s="236">
        <f t="shared" si="30"/>
        <v>-1387.1477999999997</v>
      </c>
      <c r="Q68" s="236">
        <f t="shared" si="10"/>
        <v>-72.722503874668917</v>
      </c>
      <c r="R68" s="235">
        <v>454.9667</v>
      </c>
      <c r="S68" s="235">
        <f>T68+U68</f>
        <v>1688.7399999999998</v>
      </c>
      <c r="T68" s="235">
        <f>1083974.8/1000</f>
        <v>1083.9748</v>
      </c>
      <c r="U68" s="235">
        <f>604765.2/1000</f>
        <v>604.76519999999994</v>
      </c>
      <c r="V68" s="238">
        <f t="shared" si="3"/>
        <v>-1233.7732999999998</v>
      </c>
      <c r="W68" s="239">
        <f t="shared" si="4"/>
        <v>-73.058807157999453</v>
      </c>
      <c r="X68" s="220"/>
      <c r="Y68" s="221"/>
    </row>
    <row r="69" spans="1:25" ht="26.4" x14ac:dyDescent="0.25">
      <c r="A69" s="231" t="s">
        <v>185</v>
      </c>
      <c r="B69" s="232" t="s">
        <v>186</v>
      </c>
      <c r="C69" s="233">
        <v>47.276200000000003</v>
      </c>
      <c r="D69" s="233">
        <v>63.624000000000002</v>
      </c>
      <c r="E69" s="233">
        <v>55.242699999999999</v>
      </c>
      <c r="F69" s="234">
        <v>105.1123</v>
      </c>
      <c r="G69" s="234">
        <f t="shared" ref="G69:G72" si="37">H69+I69</f>
        <v>105.1123</v>
      </c>
      <c r="H69" s="235">
        <f>105112.3/1000</f>
        <v>105.1123</v>
      </c>
      <c r="I69" s="235"/>
      <c r="J69" s="236">
        <f t="shared" si="6"/>
        <v>0</v>
      </c>
      <c r="K69" s="236">
        <f t="shared" si="7"/>
        <v>0</v>
      </c>
      <c r="L69" s="235">
        <f>63990.6/1000</f>
        <v>63.990600000000001</v>
      </c>
      <c r="M69" s="235">
        <f t="shared" ref="M69:M72" si="38">N69+O69</f>
        <v>63.990600000000001</v>
      </c>
      <c r="N69" s="235">
        <f>63990.6/1000</f>
        <v>63.990600000000001</v>
      </c>
      <c r="O69" s="235"/>
      <c r="P69" s="236">
        <f t="shared" si="30"/>
        <v>0</v>
      </c>
      <c r="Q69" s="236">
        <f t="shared" si="10"/>
        <v>0</v>
      </c>
      <c r="R69" s="235">
        <f>65372.6/1000</f>
        <v>65.372600000000006</v>
      </c>
      <c r="S69" s="235">
        <f t="shared" ref="S69:S72" si="39">T69+U69</f>
        <v>65.372600000000006</v>
      </c>
      <c r="T69" s="235">
        <f>65372.6/1000</f>
        <v>65.372600000000006</v>
      </c>
      <c r="U69" s="235"/>
      <c r="V69" s="238">
        <f t="shared" si="3"/>
        <v>0</v>
      </c>
      <c r="W69" s="239">
        <f t="shared" si="4"/>
        <v>0</v>
      </c>
      <c r="X69" s="220"/>
      <c r="Y69" s="221"/>
    </row>
    <row r="70" spans="1:25" ht="52.8" x14ac:dyDescent="0.25">
      <c r="A70" s="231" t="s">
        <v>187</v>
      </c>
      <c r="B70" s="232" t="s">
        <v>188</v>
      </c>
      <c r="C70" s="233">
        <v>26.403600000000001</v>
      </c>
      <c r="D70" s="233">
        <v>34.715499999999999</v>
      </c>
      <c r="E70" s="233">
        <v>46.735500000000002</v>
      </c>
      <c r="F70" s="234">
        <v>100.78230000000001</v>
      </c>
      <c r="G70" s="234">
        <f t="shared" si="37"/>
        <v>100.78230000000001</v>
      </c>
      <c r="H70" s="235">
        <f>100782.3/1000</f>
        <v>100.78230000000001</v>
      </c>
      <c r="I70" s="235"/>
      <c r="J70" s="236">
        <f t="shared" si="6"/>
        <v>0</v>
      </c>
      <c r="K70" s="236">
        <f t="shared" si="7"/>
        <v>0</v>
      </c>
      <c r="L70" s="235">
        <v>43.594499999999996</v>
      </c>
      <c r="M70" s="235">
        <f t="shared" si="38"/>
        <v>43.594499999999996</v>
      </c>
      <c r="N70" s="235">
        <f>43594.5/1000</f>
        <v>43.594499999999996</v>
      </c>
      <c r="O70" s="235"/>
      <c r="P70" s="236">
        <f t="shared" si="30"/>
        <v>0</v>
      </c>
      <c r="Q70" s="236">
        <f t="shared" si="10"/>
        <v>0</v>
      </c>
      <c r="R70" s="235">
        <v>44.058399999999999</v>
      </c>
      <c r="S70" s="235">
        <f t="shared" si="39"/>
        <v>44.058399999999999</v>
      </c>
      <c r="T70" s="235">
        <f>44058.4/1000</f>
        <v>44.058399999999999</v>
      </c>
      <c r="U70" s="235"/>
      <c r="V70" s="238">
        <f t="shared" si="3"/>
        <v>0</v>
      </c>
      <c r="W70" s="239">
        <f t="shared" si="4"/>
        <v>0</v>
      </c>
      <c r="X70" s="220"/>
      <c r="Y70" s="221"/>
    </row>
    <row r="71" spans="1:25" ht="39.6" hidden="1" x14ac:dyDescent="0.25">
      <c r="A71" s="231" t="s">
        <v>189</v>
      </c>
      <c r="B71" s="232"/>
      <c r="C71" s="233">
        <v>18.808599999999998</v>
      </c>
      <c r="D71" s="233">
        <v>34.636299999999999</v>
      </c>
      <c r="E71" s="233"/>
      <c r="F71" s="234"/>
      <c r="G71" s="234">
        <f t="shared" si="37"/>
        <v>0</v>
      </c>
      <c r="H71" s="235"/>
      <c r="I71" s="235"/>
      <c r="J71" s="236">
        <f t="shared" si="6"/>
        <v>0</v>
      </c>
      <c r="K71" s="236" t="e">
        <f t="shared" si="7"/>
        <v>#DIV/0!</v>
      </c>
      <c r="L71" s="235"/>
      <c r="M71" s="235">
        <f t="shared" si="38"/>
        <v>0</v>
      </c>
      <c r="N71" s="235"/>
      <c r="O71" s="235"/>
      <c r="P71" s="236">
        <f t="shared" si="30"/>
        <v>0</v>
      </c>
      <c r="Q71" s="236" t="e">
        <f t="shared" si="10"/>
        <v>#DIV/0!</v>
      </c>
      <c r="R71" s="235"/>
      <c r="S71" s="235">
        <f t="shared" si="39"/>
        <v>0</v>
      </c>
      <c r="T71" s="235"/>
      <c r="U71" s="235"/>
      <c r="V71" s="238">
        <f t="shared" si="3"/>
        <v>0</v>
      </c>
      <c r="W71" s="239" t="e">
        <f t="shared" si="4"/>
        <v>#DIV/0!</v>
      </c>
      <c r="X71" s="220"/>
      <c r="Y71" s="221"/>
    </row>
    <row r="72" spans="1:25" ht="26.4" x14ac:dyDescent="0.25">
      <c r="A72" s="231" t="s">
        <v>141</v>
      </c>
      <c r="B72" s="232" t="s">
        <v>190</v>
      </c>
      <c r="C72" s="233">
        <v>25.9208</v>
      </c>
      <c r="D72" s="233">
        <v>27.892399999999999</v>
      </c>
      <c r="E72" s="233">
        <v>31.624300000000002</v>
      </c>
      <c r="F72" s="234">
        <v>16.323899999999998</v>
      </c>
      <c r="G72" s="234">
        <f t="shared" si="37"/>
        <v>16.323899999999998</v>
      </c>
      <c r="H72" s="235">
        <f>16323.9/1000</f>
        <v>16.323899999999998</v>
      </c>
      <c r="I72" s="235"/>
      <c r="J72" s="236">
        <f t="shared" si="6"/>
        <v>0</v>
      </c>
      <c r="K72" s="236">
        <f t="shared" si="7"/>
        <v>0</v>
      </c>
      <c r="L72" s="235">
        <f>16947/1000</f>
        <v>16.946999999999999</v>
      </c>
      <c r="M72" s="235">
        <f t="shared" si="38"/>
        <v>16.946999999999999</v>
      </c>
      <c r="N72" s="235">
        <f>16947/1000</f>
        <v>16.946999999999999</v>
      </c>
      <c r="O72" s="235"/>
      <c r="P72" s="236">
        <f t="shared" si="30"/>
        <v>0</v>
      </c>
      <c r="Q72" s="236">
        <f t="shared" si="10"/>
        <v>0</v>
      </c>
      <c r="R72" s="235">
        <v>17.549800000000001</v>
      </c>
      <c r="S72" s="235">
        <f t="shared" si="39"/>
        <v>17.549799999999998</v>
      </c>
      <c r="T72" s="235">
        <f>17549.8/1000</f>
        <v>17.549799999999998</v>
      </c>
      <c r="U72" s="235"/>
      <c r="V72" s="238">
        <f t="shared" si="3"/>
        <v>0</v>
      </c>
      <c r="W72" s="239">
        <f t="shared" si="4"/>
        <v>0</v>
      </c>
      <c r="X72" s="220"/>
      <c r="Y72" s="221"/>
    </row>
    <row r="73" spans="1:25" ht="52.8" x14ac:dyDescent="0.25">
      <c r="A73" s="222" t="s">
        <v>550</v>
      </c>
      <c r="B73" s="223" t="s">
        <v>191</v>
      </c>
      <c r="C73" s="224">
        <f t="shared" ref="C73:I73" si="40">C74+C75+C76+C77+C78+C79</f>
        <v>432.7937</v>
      </c>
      <c r="D73" s="224">
        <f t="shared" si="40"/>
        <v>457.29500000000007</v>
      </c>
      <c r="E73" s="224">
        <f t="shared" si="40"/>
        <v>222.2149</v>
      </c>
      <c r="F73" s="225">
        <f t="shared" si="40"/>
        <v>362.75420000000003</v>
      </c>
      <c r="G73" s="225">
        <f t="shared" si="40"/>
        <v>362.75340000000006</v>
      </c>
      <c r="H73" s="225">
        <f t="shared" si="40"/>
        <v>328.26140000000004</v>
      </c>
      <c r="I73" s="225">
        <f t="shared" si="40"/>
        <v>34.491999999999997</v>
      </c>
      <c r="J73" s="242">
        <f t="shared" si="6"/>
        <v>7.9999999996971383E-4</v>
      </c>
      <c r="K73" s="242">
        <f t="shared" si="7"/>
        <v>2.2053549324141386E-4</v>
      </c>
      <c r="L73" s="225">
        <f>L74+L75+L76+L77+L78+L79</f>
        <v>331.505</v>
      </c>
      <c r="M73" s="225">
        <f>M74+M75+M76+M77+M78+M79</f>
        <v>331.505</v>
      </c>
      <c r="N73" s="225">
        <f>N74+N75+N76+N77+N78+N79</f>
        <v>286.5856</v>
      </c>
      <c r="O73" s="225">
        <f>O74+O75+O76+O77+O78+O79</f>
        <v>44.919400000000003</v>
      </c>
      <c r="P73" s="226">
        <f t="shared" si="30"/>
        <v>0</v>
      </c>
      <c r="Q73" s="226">
        <f t="shared" si="10"/>
        <v>0</v>
      </c>
      <c r="R73" s="225">
        <f>R74+R75+R76+R77+R78+R79</f>
        <v>338.54020000000003</v>
      </c>
      <c r="S73" s="225">
        <f>S74+S75+S76+S77+S78+S79</f>
        <v>338.54010000000005</v>
      </c>
      <c r="T73" s="225">
        <f>T74+T75+T76+T77+T78+T79</f>
        <v>293.66550000000001</v>
      </c>
      <c r="U73" s="225">
        <f>U74+U75+U76+U77+U78+U79</f>
        <v>44.874600000000001</v>
      </c>
      <c r="V73" s="227">
        <f t="shared" si="3"/>
        <v>9.9999999974897946E-5</v>
      </c>
      <c r="W73" s="228">
        <f t="shared" si="4"/>
        <v>2.9538598226963586E-5</v>
      </c>
      <c r="X73" s="229">
        <f>M73+251.4124</f>
        <v>582.91740000000004</v>
      </c>
      <c r="Y73" s="230">
        <f>S73+271.5236</f>
        <v>610.06370000000004</v>
      </c>
    </row>
    <row r="74" spans="1:25" ht="39.6" x14ac:dyDescent="0.25">
      <c r="A74" s="231" t="s">
        <v>192</v>
      </c>
      <c r="B74" s="232" t="s">
        <v>193</v>
      </c>
      <c r="C74" s="233">
        <v>71.180999999999997</v>
      </c>
      <c r="D74" s="233">
        <v>106.9837</v>
      </c>
      <c r="E74" s="233">
        <v>11.6075</v>
      </c>
      <c r="F74" s="234">
        <v>29.5</v>
      </c>
      <c r="G74" s="234">
        <f>H74+I74</f>
        <v>29.5</v>
      </c>
      <c r="H74" s="235">
        <f>29500/1000</f>
        <v>29.5</v>
      </c>
      <c r="I74" s="235"/>
      <c r="J74" s="236">
        <f t="shared" ref="J74:J117" si="41">F74-G74</f>
        <v>0</v>
      </c>
      <c r="K74" s="236">
        <f t="shared" ref="K74:K117" si="42">F74/G74*100-100</f>
        <v>0</v>
      </c>
      <c r="L74" s="235">
        <v>25</v>
      </c>
      <c r="M74" s="235">
        <f>N74+O74</f>
        <v>25</v>
      </c>
      <c r="N74" s="235">
        <f>25000/1000</f>
        <v>25</v>
      </c>
      <c r="O74" s="235"/>
      <c r="P74" s="236">
        <f t="shared" si="30"/>
        <v>0</v>
      </c>
      <c r="Q74" s="236">
        <f t="shared" si="10"/>
        <v>0</v>
      </c>
      <c r="R74" s="235">
        <v>25</v>
      </c>
      <c r="S74" s="235">
        <f>T74+U74</f>
        <v>25</v>
      </c>
      <c r="T74" s="235">
        <f>25000/1000</f>
        <v>25</v>
      </c>
      <c r="U74" s="235"/>
      <c r="V74" s="238">
        <f t="shared" si="3"/>
        <v>0</v>
      </c>
      <c r="W74" s="239">
        <f t="shared" si="4"/>
        <v>0</v>
      </c>
      <c r="X74" s="220"/>
      <c r="Y74" s="221"/>
    </row>
    <row r="75" spans="1:25" ht="39.6" x14ac:dyDescent="0.25">
      <c r="A75" s="231" t="s">
        <v>194</v>
      </c>
      <c r="B75" s="232" t="s">
        <v>195</v>
      </c>
      <c r="C75" s="233">
        <v>215.65100000000001</v>
      </c>
      <c r="D75" s="233">
        <v>185.26849999999999</v>
      </c>
      <c r="E75" s="233">
        <v>48.843200000000003</v>
      </c>
      <c r="F75" s="234">
        <v>108.56180000000001</v>
      </c>
      <c r="G75" s="234">
        <f t="shared" ref="G75:G79" si="43">H75+I75</f>
        <v>108.56100000000001</v>
      </c>
      <c r="H75" s="235">
        <f>74069/1000</f>
        <v>74.069000000000003</v>
      </c>
      <c r="I75" s="235">
        <f>34492/1000</f>
        <v>34.491999999999997</v>
      </c>
      <c r="J75" s="236">
        <f t="shared" si="41"/>
        <v>7.9999999999813554E-4</v>
      </c>
      <c r="K75" s="236">
        <f t="shared" si="42"/>
        <v>7.3691288768884533E-4</v>
      </c>
      <c r="L75" s="235">
        <v>86.031899999999993</v>
      </c>
      <c r="M75" s="235">
        <f t="shared" ref="M75:M79" si="44">N75+O75</f>
        <v>86.031900000000007</v>
      </c>
      <c r="N75" s="235">
        <f>41112.5/1000</f>
        <v>41.112499999999997</v>
      </c>
      <c r="O75" s="235">
        <f>44919.4/1000</f>
        <v>44.919400000000003</v>
      </c>
      <c r="P75" s="236">
        <f t="shared" si="30"/>
        <v>0</v>
      </c>
      <c r="Q75" s="236">
        <f t="shared" si="10"/>
        <v>0</v>
      </c>
      <c r="R75" s="235">
        <v>85.987099999999998</v>
      </c>
      <c r="S75" s="235">
        <f t="shared" ref="S75:S79" si="45">T75+U75</f>
        <v>85.987099999999998</v>
      </c>
      <c r="T75" s="235">
        <f>41112.5/1000</f>
        <v>41.112499999999997</v>
      </c>
      <c r="U75" s="235">
        <f>44874.6/1000</f>
        <v>44.874600000000001</v>
      </c>
      <c r="V75" s="238">
        <f t="shared" si="3"/>
        <v>0</v>
      </c>
      <c r="W75" s="239">
        <f t="shared" si="4"/>
        <v>0</v>
      </c>
      <c r="X75" s="220"/>
      <c r="Y75" s="221"/>
    </row>
    <row r="76" spans="1:25" ht="39.6" x14ac:dyDescent="0.25">
      <c r="A76" s="231" t="s">
        <v>196</v>
      </c>
      <c r="B76" s="232" t="s">
        <v>197</v>
      </c>
      <c r="C76" s="233">
        <v>48.4878</v>
      </c>
      <c r="D76" s="233">
        <v>57.347700000000003</v>
      </c>
      <c r="E76" s="233">
        <v>56.264899999999997</v>
      </c>
      <c r="F76" s="234">
        <v>85.179599999999994</v>
      </c>
      <c r="G76" s="234">
        <f t="shared" si="43"/>
        <v>85.179600000000008</v>
      </c>
      <c r="H76" s="235">
        <f>85179.6/1000</f>
        <v>85.179600000000008</v>
      </c>
      <c r="I76" s="235"/>
      <c r="J76" s="236">
        <f t="shared" si="41"/>
        <v>0</v>
      </c>
      <c r="K76" s="236">
        <f t="shared" si="42"/>
        <v>0</v>
      </c>
      <c r="L76" s="235">
        <v>83.651300000000006</v>
      </c>
      <c r="M76" s="235">
        <f t="shared" si="44"/>
        <v>83.651300000000006</v>
      </c>
      <c r="N76" s="235">
        <f>83651.3/1000</f>
        <v>83.651300000000006</v>
      </c>
      <c r="O76" s="235"/>
      <c r="P76" s="236">
        <f t="shared" si="30"/>
        <v>0</v>
      </c>
      <c r="Q76" s="236">
        <f t="shared" si="10"/>
        <v>0</v>
      </c>
      <c r="R76" s="235">
        <v>85.825199999999995</v>
      </c>
      <c r="S76" s="235">
        <f t="shared" si="45"/>
        <v>85.825100000000006</v>
      </c>
      <c r="T76" s="235">
        <f>85825.1/1000</f>
        <v>85.825100000000006</v>
      </c>
      <c r="U76" s="235"/>
      <c r="V76" s="238">
        <f t="shared" si="3"/>
        <v>9.9999999989108801E-5</v>
      </c>
      <c r="W76" s="239">
        <f t="shared" si="4"/>
        <v>1.165160308431723E-4</v>
      </c>
      <c r="X76" s="220"/>
      <c r="Y76" s="221"/>
    </row>
    <row r="77" spans="1:25" ht="39.6" x14ac:dyDescent="0.25">
      <c r="A77" s="231" t="s">
        <v>198</v>
      </c>
      <c r="B77" s="232" t="s">
        <v>199</v>
      </c>
      <c r="C77" s="233">
        <v>45.968299999999999</v>
      </c>
      <c r="D77" s="233">
        <v>58.924599999999998</v>
      </c>
      <c r="E77" s="233">
        <v>57.519100000000002</v>
      </c>
      <c r="F77" s="234">
        <v>64.156899999999993</v>
      </c>
      <c r="G77" s="234">
        <f t="shared" si="43"/>
        <v>64.156900000000007</v>
      </c>
      <c r="H77" s="235">
        <f>64156.9/1000</f>
        <v>64.156900000000007</v>
      </c>
      <c r="I77" s="235"/>
      <c r="J77" s="236">
        <f t="shared" si="41"/>
        <v>0</v>
      </c>
      <c r="K77" s="236">
        <f t="shared" si="42"/>
        <v>0</v>
      </c>
      <c r="L77" s="235">
        <v>61.285299999999999</v>
      </c>
      <c r="M77" s="235">
        <f t="shared" si="44"/>
        <v>61.285299999999999</v>
      </c>
      <c r="N77" s="235">
        <f>61285.3/1000</f>
        <v>61.285299999999999</v>
      </c>
      <c r="O77" s="235"/>
      <c r="P77" s="236">
        <f t="shared" si="30"/>
        <v>0</v>
      </c>
      <c r="Q77" s="236">
        <f t="shared" si="10"/>
        <v>0</v>
      </c>
      <c r="R77" s="235">
        <v>63.513800000000003</v>
      </c>
      <c r="S77" s="235">
        <f t="shared" si="45"/>
        <v>63.513800000000003</v>
      </c>
      <c r="T77" s="235">
        <f>63513.8/1000</f>
        <v>63.513800000000003</v>
      </c>
      <c r="U77" s="235"/>
      <c r="V77" s="238">
        <f t="shared" si="3"/>
        <v>0</v>
      </c>
      <c r="W77" s="239">
        <f t="shared" si="4"/>
        <v>0</v>
      </c>
      <c r="X77" s="220"/>
      <c r="Y77" s="221"/>
    </row>
    <row r="78" spans="1:25" ht="52.8" x14ac:dyDescent="0.25">
      <c r="A78" s="231" t="s">
        <v>200</v>
      </c>
      <c r="B78" s="232" t="s">
        <v>201</v>
      </c>
      <c r="C78" s="233">
        <v>51.505600000000001</v>
      </c>
      <c r="D78" s="233">
        <v>48.770499999999998</v>
      </c>
      <c r="E78" s="233">
        <v>47.980200000000004</v>
      </c>
      <c r="F78" s="234">
        <v>51.855899999999998</v>
      </c>
      <c r="G78" s="234">
        <f t="shared" si="43"/>
        <v>51.855899999999998</v>
      </c>
      <c r="H78" s="235">
        <f>51855.9/1000</f>
        <v>51.855899999999998</v>
      </c>
      <c r="I78" s="235"/>
      <c r="J78" s="236">
        <f t="shared" si="41"/>
        <v>0</v>
      </c>
      <c r="K78" s="236">
        <f t="shared" si="42"/>
        <v>0</v>
      </c>
      <c r="L78" s="235">
        <v>51.336500000000001</v>
      </c>
      <c r="M78" s="235">
        <f t="shared" si="44"/>
        <v>51.336500000000001</v>
      </c>
      <c r="N78" s="235">
        <f>51336.5/1000</f>
        <v>51.336500000000001</v>
      </c>
      <c r="O78" s="235"/>
      <c r="P78" s="236">
        <f t="shared" si="30"/>
        <v>0</v>
      </c>
      <c r="Q78" s="236">
        <f t="shared" si="10"/>
        <v>0</v>
      </c>
      <c r="R78" s="235">
        <v>53.214100000000002</v>
      </c>
      <c r="S78" s="235">
        <f t="shared" si="45"/>
        <v>53.214100000000002</v>
      </c>
      <c r="T78" s="235">
        <f>53214.1/1000</f>
        <v>53.214100000000002</v>
      </c>
      <c r="U78" s="235"/>
      <c r="V78" s="238">
        <f t="shared" ref="V78:V117" si="46">R78-S78</f>
        <v>0</v>
      </c>
      <c r="W78" s="239">
        <f t="shared" ref="W78:W117" si="47">R78/S78*100-100</f>
        <v>0</v>
      </c>
      <c r="X78" s="220"/>
      <c r="Y78" s="221"/>
    </row>
    <row r="79" spans="1:25" ht="26.4" x14ac:dyDescent="0.25">
      <c r="A79" s="231" t="s">
        <v>202</v>
      </c>
      <c r="B79" s="232" t="s">
        <v>203</v>
      </c>
      <c r="C79" s="233"/>
      <c r="D79" s="233"/>
      <c r="E79" s="233"/>
      <c r="F79" s="234">
        <v>23.5</v>
      </c>
      <c r="G79" s="234">
        <f t="shared" si="43"/>
        <v>23.5</v>
      </c>
      <c r="H79" s="235">
        <f>23500/1000</f>
        <v>23.5</v>
      </c>
      <c r="I79" s="235"/>
      <c r="J79" s="236">
        <f t="shared" si="41"/>
        <v>0</v>
      </c>
      <c r="K79" s="236">
        <f t="shared" si="42"/>
        <v>0</v>
      </c>
      <c r="L79" s="235">
        <v>24.2</v>
      </c>
      <c r="M79" s="235">
        <f t="shared" si="44"/>
        <v>24.2</v>
      </c>
      <c r="N79" s="235">
        <f>24200/1000</f>
        <v>24.2</v>
      </c>
      <c r="O79" s="235"/>
      <c r="P79" s="236">
        <f t="shared" si="30"/>
        <v>0</v>
      </c>
      <c r="Q79" s="236">
        <f t="shared" si="10"/>
        <v>0</v>
      </c>
      <c r="R79" s="235">
        <v>25</v>
      </c>
      <c r="S79" s="235">
        <f t="shared" si="45"/>
        <v>25</v>
      </c>
      <c r="T79" s="235">
        <f>25000/1000</f>
        <v>25</v>
      </c>
      <c r="U79" s="235"/>
      <c r="V79" s="238">
        <f t="shared" si="46"/>
        <v>0</v>
      </c>
      <c r="W79" s="239">
        <f t="shared" si="47"/>
        <v>0</v>
      </c>
      <c r="X79" s="220"/>
      <c r="Y79" s="221"/>
    </row>
    <row r="80" spans="1:25" ht="52.8" x14ac:dyDescent="0.25">
      <c r="A80" s="222" t="s">
        <v>551</v>
      </c>
      <c r="B80" s="223" t="s">
        <v>204</v>
      </c>
      <c r="C80" s="224">
        <v>2.6831999999999998</v>
      </c>
      <c r="D80" s="224">
        <v>2.6576</v>
      </c>
      <c r="E80" s="224">
        <v>3.1190000000000002</v>
      </c>
      <c r="F80" s="225">
        <v>414.9196</v>
      </c>
      <c r="G80" s="241">
        <f>H80+I80</f>
        <v>414.91860000000003</v>
      </c>
      <c r="H80" s="225">
        <f>36344.2/1000</f>
        <v>36.344199999999994</v>
      </c>
      <c r="I80" s="225">
        <f>378574.4/1000</f>
        <v>378.57440000000003</v>
      </c>
      <c r="J80" s="242">
        <f t="shared" si="41"/>
        <v>9.9999999997635314E-4</v>
      </c>
      <c r="K80" s="242">
        <f t="shared" si="42"/>
        <v>2.4101112843766259E-4</v>
      </c>
      <c r="L80" s="225">
        <v>383.14299999999997</v>
      </c>
      <c r="M80" s="225">
        <f>N80+O80</f>
        <v>383.14299999999997</v>
      </c>
      <c r="N80" s="225">
        <f>29087.4/1000</f>
        <v>29.087400000000002</v>
      </c>
      <c r="O80" s="225">
        <f>354055.6/1000</f>
        <v>354.05559999999997</v>
      </c>
      <c r="P80" s="226">
        <f t="shared" si="30"/>
        <v>0</v>
      </c>
      <c r="Q80" s="226">
        <f t="shared" si="10"/>
        <v>0</v>
      </c>
      <c r="R80" s="225">
        <v>362.41269999999997</v>
      </c>
      <c r="S80" s="225">
        <f>T80+U80</f>
        <v>362.41269999999997</v>
      </c>
      <c r="T80" s="225">
        <f>27669.7/1000</f>
        <v>27.669700000000002</v>
      </c>
      <c r="U80" s="225">
        <f>334743/1000</f>
        <v>334.74299999999999</v>
      </c>
      <c r="V80" s="227">
        <f t="shared" si="46"/>
        <v>0</v>
      </c>
      <c r="W80" s="228">
        <f t="shared" si="47"/>
        <v>0</v>
      </c>
      <c r="X80" s="220"/>
      <c r="Y80" s="221"/>
    </row>
    <row r="81" spans="1:25" ht="39.6" x14ac:dyDescent="0.25">
      <c r="A81" s="222" t="s">
        <v>552</v>
      </c>
      <c r="B81" s="223" t="s">
        <v>204</v>
      </c>
      <c r="C81" s="224">
        <v>2.6831999999999998</v>
      </c>
      <c r="D81" s="224">
        <v>2.6576</v>
      </c>
      <c r="E81" s="224">
        <v>3.1190000000000002</v>
      </c>
      <c r="F81" s="225">
        <v>3.4940000000000002</v>
      </c>
      <c r="G81" s="241">
        <f>H81+I81</f>
        <v>3.4940000000000002</v>
      </c>
      <c r="H81" s="225">
        <f>3494/1000</f>
        <v>3.4940000000000002</v>
      </c>
      <c r="I81" s="225">
        <v>0</v>
      </c>
      <c r="J81" s="242">
        <f t="shared" si="41"/>
        <v>0</v>
      </c>
      <c r="K81" s="242">
        <f t="shared" si="42"/>
        <v>0</v>
      </c>
      <c r="L81" s="225">
        <v>3.4940000000000002</v>
      </c>
      <c r="M81" s="225">
        <f>N81+O81</f>
        <v>3.4940000000000002</v>
      </c>
      <c r="N81" s="225">
        <f>3494/1000</f>
        <v>3.4940000000000002</v>
      </c>
      <c r="O81" s="225">
        <v>0</v>
      </c>
      <c r="P81" s="226">
        <f t="shared" si="30"/>
        <v>0</v>
      </c>
      <c r="Q81" s="226">
        <f t="shared" ref="Q81:Q83" si="48">L81/M81*100-100</f>
        <v>0</v>
      </c>
      <c r="R81" s="225">
        <v>3.4940000000000002</v>
      </c>
      <c r="S81" s="225">
        <f>T81+U81</f>
        <v>3.4940000000000002</v>
      </c>
      <c r="T81" s="225">
        <f>3494/1000</f>
        <v>3.4940000000000002</v>
      </c>
      <c r="U81" s="225">
        <v>0</v>
      </c>
      <c r="V81" s="227">
        <f t="shared" si="46"/>
        <v>0</v>
      </c>
      <c r="W81" s="228">
        <f t="shared" si="47"/>
        <v>0</v>
      </c>
      <c r="X81" s="229">
        <f>M81</f>
        <v>3.4940000000000002</v>
      </c>
      <c r="Y81" s="230">
        <f>S81</f>
        <v>3.4940000000000002</v>
      </c>
    </row>
    <row r="82" spans="1:25" ht="39.6" x14ac:dyDescent="0.25">
      <c r="A82" s="222" t="s">
        <v>553</v>
      </c>
      <c r="B82" s="223" t="s">
        <v>205</v>
      </c>
      <c r="C82" s="224">
        <f>C83+C84+C85+C86</f>
        <v>898.46069999999997</v>
      </c>
      <c r="D82" s="224">
        <f>D83+D84+D85+D86</f>
        <v>894.75549999999998</v>
      </c>
      <c r="E82" s="224">
        <f>E83+E84+E85+E86</f>
        <v>1835.5234</v>
      </c>
      <c r="F82" s="225">
        <f>F83+F84+F85+F86</f>
        <v>1164.8393999999998</v>
      </c>
      <c r="G82" s="241">
        <f t="shared" ref="G82:G106" si="49">H82+I82</f>
        <v>1164.8395</v>
      </c>
      <c r="H82" s="225">
        <f>H83+H84+H85+H86</f>
        <v>455.61500000000001</v>
      </c>
      <c r="I82" s="225">
        <f>I83+I84+I85+I86</f>
        <v>709.22450000000003</v>
      </c>
      <c r="J82" s="242">
        <f t="shared" si="41"/>
        <v>-1.0000000020227162E-4</v>
      </c>
      <c r="K82" s="242">
        <f t="shared" si="42"/>
        <v>-8.5848737256810637E-6</v>
      </c>
      <c r="L82" s="225">
        <f>L83+L84+L85+L86</f>
        <v>1133.2350999999999</v>
      </c>
      <c r="M82" s="225">
        <f>M83+M84+M85+M86</f>
        <v>913.13750000000005</v>
      </c>
      <c r="N82" s="225">
        <f>N83+N84+N85+N86</f>
        <v>362.3202</v>
      </c>
      <c r="O82" s="225">
        <f>O83+O84+O85+O86</f>
        <v>550.81730000000005</v>
      </c>
      <c r="P82" s="226">
        <f t="shared" si="30"/>
        <v>220.09759999999983</v>
      </c>
      <c r="Q82" s="226">
        <f t="shared" si="48"/>
        <v>24.103445538048746</v>
      </c>
      <c r="R82" s="225">
        <f>R83+R84+R85+R86</f>
        <v>1170.519</v>
      </c>
      <c r="S82" s="225">
        <f>S83+S84+S85+S86</f>
        <v>913.13750000000005</v>
      </c>
      <c r="T82" s="225">
        <f>T83+T84+T85+T86</f>
        <v>362.3202</v>
      </c>
      <c r="U82" s="225">
        <f>U83+U84+U85+U86</f>
        <v>550.81730000000005</v>
      </c>
      <c r="V82" s="227">
        <f t="shared" si="46"/>
        <v>257.38149999999996</v>
      </c>
      <c r="W82" s="228">
        <f t="shared" si="47"/>
        <v>28.186499842575728</v>
      </c>
      <c r="X82" s="229">
        <f>M82+541.0829</f>
        <v>1454.2204000000002</v>
      </c>
      <c r="Y82" s="230">
        <f>S82+550.8173</f>
        <v>1463.9548</v>
      </c>
    </row>
    <row r="83" spans="1:25" ht="26.4" x14ac:dyDescent="0.25">
      <c r="A83" s="231" t="s">
        <v>206</v>
      </c>
      <c r="B83" s="232" t="s">
        <v>207</v>
      </c>
      <c r="C83" s="233">
        <v>82.896199999999993</v>
      </c>
      <c r="D83" s="233">
        <v>80.765299999999996</v>
      </c>
      <c r="E83" s="233">
        <v>1003.171</v>
      </c>
      <c r="F83" s="234">
        <v>112.2958</v>
      </c>
      <c r="G83" s="234">
        <f>H83+I83</f>
        <v>112.2958</v>
      </c>
      <c r="H83" s="235">
        <f>27.5</f>
        <v>27.5</v>
      </c>
      <c r="I83" s="235">
        <f>84795.8/1000</f>
        <v>84.7958</v>
      </c>
      <c r="J83" s="236">
        <f t="shared" si="41"/>
        <v>0</v>
      </c>
      <c r="K83" s="236">
        <f t="shared" si="42"/>
        <v>0</v>
      </c>
      <c r="L83" s="235">
        <v>105.8432</v>
      </c>
      <c r="M83" s="235">
        <f>N83+O83</f>
        <v>70.603100000000012</v>
      </c>
      <c r="N83" s="235">
        <f>500/1000</f>
        <v>0.5</v>
      </c>
      <c r="O83" s="235">
        <f>70103.1/1000</f>
        <v>70.103100000000012</v>
      </c>
      <c r="P83" s="236">
        <f t="shared" si="30"/>
        <v>35.240099999999984</v>
      </c>
      <c r="Q83" s="236">
        <f t="shared" si="48"/>
        <v>49.912964161630271</v>
      </c>
      <c r="R83" s="235">
        <v>106.3368</v>
      </c>
      <c r="S83" s="235">
        <f>T83+U83</f>
        <v>70.603100000000012</v>
      </c>
      <c r="T83" s="235">
        <f>500/1000</f>
        <v>0.5</v>
      </c>
      <c r="U83" s="235">
        <f>70103.1/1000</f>
        <v>70.103100000000012</v>
      </c>
      <c r="V83" s="238">
        <f t="shared" si="46"/>
        <v>35.733699999999985</v>
      </c>
      <c r="W83" s="239">
        <f t="shared" si="47"/>
        <v>50.612083605394076</v>
      </c>
      <c r="X83" s="220"/>
      <c r="Y83" s="221"/>
    </row>
    <row r="84" spans="1:25" ht="13.95" customHeight="1" x14ac:dyDescent="0.25">
      <c r="A84" s="231" t="s">
        <v>208</v>
      </c>
      <c r="B84" s="232" t="s">
        <v>209</v>
      </c>
      <c r="C84" s="233">
        <v>18.754899999999999</v>
      </c>
      <c r="D84" s="233">
        <v>26.574300000000001</v>
      </c>
      <c r="E84" s="233">
        <v>23.965399999999999</v>
      </c>
      <c r="F84" s="234">
        <v>21.4253</v>
      </c>
      <c r="G84" s="234">
        <f t="shared" ref="G84:G86" si="50">H84+I84</f>
        <v>21.425300000000004</v>
      </c>
      <c r="H84" s="235">
        <f>1997.9/1000</f>
        <v>1.9979</v>
      </c>
      <c r="I84" s="235">
        <f>19427.4/1000</f>
        <v>19.427400000000002</v>
      </c>
      <c r="J84" s="236">
        <f t="shared" si="41"/>
        <v>0</v>
      </c>
      <c r="K84" s="236">
        <f t="shared" si="42"/>
        <v>0</v>
      </c>
      <c r="L84" s="235">
        <v>21.436800000000002</v>
      </c>
      <c r="M84" s="235">
        <f t="shared" ref="M84:M86" si="51">N84+O84</f>
        <v>0.1875</v>
      </c>
      <c r="N84" s="235"/>
      <c r="O84" s="235">
        <f>187.5/1000</f>
        <v>0.1875</v>
      </c>
      <c r="P84" s="236">
        <f t="shared" si="30"/>
        <v>21.249300000000002</v>
      </c>
      <c r="Q84" s="236">
        <v>0</v>
      </c>
      <c r="R84" s="235">
        <v>21.4528</v>
      </c>
      <c r="S84" s="235">
        <f t="shared" ref="S84:S86" si="52">T84+U84</f>
        <v>0.1875</v>
      </c>
      <c r="T84" s="235"/>
      <c r="U84" s="235">
        <f>187.5/1000</f>
        <v>0.1875</v>
      </c>
      <c r="V84" s="238">
        <f t="shared" si="46"/>
        <v>21.2653</v>
      </c>
      <c r="W84" s="239">
        <v>0</v>
      </c>
      <c r="X84" s="220"/>
      <c r="Y84" s="221"/>
    </row>
    <row r="85" spans="1:25" x14ac:dyDescent="0.25">
      <c r="A85" s="231" t="s">
        <v>210</v>
      </c>
      <c r="B85" s="232" t="s">
        <v>211</v>
      </c>
      <c r="C85" s="233">
        <v>294.12709999999998</v>
      </c>
      <c r="D85" s="233">
        <v>231.69450000000001</v>
      </c>
      <c r="E85" s="233">
        <v>249.39</v>
      </c>
      <c r="F85" s="234">
        <v>351.23869999999999</v>
      </c>
      <c r="G85" s="234">
        <f t="shared" si="50"/>
        <v>351.23879999999997</v>
      </c>
      <c r="H85" s="235">
        <f>235315.1/1000</f>
        <v>235.3151</v>
      </c>
      <c r="I85" s="235">
        <f>115923.7/1000</f>
        <v>115.9237</v>
      </c>
      <c r="J85" s="236">
        <f t="shared" si="41"/>
        <v>-9.9999999974897946E-5</v>
      </c>
      <c r="K85" s="236">
        <f t="shared" si="42"/>
        <v>-2.8470658691048811E-5</v>
      </c>
      <c r="L85" s="235">
        <v>325.2294</v>
      </c>
      <c r="M85" s="235">
        <f t="shared" si="51"/>
        <v>255.17329999999998</v>
      </c>
      <c r="N85" s="235">
        <f>167931.8/1000</f>
        <v>167.93179999999998</v>
      </c>
      <c r="O85" s="235">
        <f>87241.5/1000</f>
        <v>87.241500000000002</v>
      </c>
      <c r="P85" s="236">
        <f t="shared" si="30"/>
        <v>70.056100000000015</v>
      </c>
      <c r="Q85" s="236">
        <f>L85/M85*100-100</f>
        <v>27.454322219448528</v>
      </c>
      <c r="R85" s="235">
        <v>331.67840000000001</v>
      </c>
      <c r="S85" s="235">
        <f t="shared" si="52"/>
        <v>255.17329999999998</v>
      </c>
      <c r="T85" s="235">
        <f>167931.8/1000</f>
        <v>167.93179999999998</v>
      </c>
      <c r="U85" s="235">
        <f>87241.5/1000</f>
        <v>87.241500000000002</v>
      </c>
      <c r="V85" s="238">
        <f t="shared" si="46"/>
        <v>76.505100000000027</v>
      </c>
      <c r="W85" s="239">
        <f t="shared" si="47"/>
        <v>29.981624253007681</v>
      </c>
      <c r="X85" s="220"/>
      <c r="Y85" s="221"/>
    </row>
    <row r="86" spans="1:25" ht="52.8" x14ac:dyDescent="0.25">
      <c r="A86" s="231" t="s">
        <v>212</v>
      </c>
      <c r="B86" s="232" t="s">
        <v>213</v>
      </c>
      <c r="C86" s="233">
        <v>502.6825</v>
      </c>
      <c r="D86" s="233">
        <v>555.72140000000002</v>
      </c>
      <c r="E86" s="233">
        <v>558.99699999999996</v>
      </c>
      <c r="F86" s="234">
        <v>679.87959999999998</v>
      </c>
      <c r="G86" s="234">
        <f t="shared" si="50"/>
        <v>679.87959999999998</v>
      </c>
      <c r="H86" s="235">
        <f>190802/1000</f>
        <v>190.80199999999999</v>
      </c>
      <c r="I86" s="235">
        <f>489077.6/1000</f>
        <v>489.07759999999996</v>
      </c>
      <c r="J86" s="236">
        <f t="shared" si="41"/>
        <v>0</v>
      </c>
      <c r="K86" s="236">
        <f t="shared" si="42"/>
        <v>0</v>
      </c>
      <c r="L86" s="235">
        <v>680.72569999999996</v>
      </c>
      <c r="M86" s="235">
        <f t="shared" si="51"/>
        <v>587.17360000000008</v>
      </c>
      <c r="N86" s="235">
        <f>193888.4/1000</f>
        <v>193.88839999999999</v>
      </c>
      <c r="O86" s="235">
        <f>393285.2/1000</f>
        <v>393.28520000000003</v>
      </c>
      <c r="P86" s="236">
        <f t="shared" si="30"/>
        <v>93.552099999999882</v>
      </c>
      <c r="Q86" s="236">
        <f>L86/M86*100-100</f>
        <v>15.932613455373314</v>
      </c>
      <c r="R86" s="235">
        <v>711.05100000000004</v>
      </c>
      <c r="S86" s="235">
        <f t="shared" si="52"/>
        <v>587.17360000000008</v>
      </c>
      <c r="T86" s="235">
        <f>193888.4/1000</f>
        <v>193.88839999999999</v>
      </c>
      <c r="U86" s="235">
        <f>393285.2/1000</f>
        <v>393.28520000000003</v>
      </c>
      <c r="V86" s="238">
        <f t="shared" si="46"/>
        <v>123.87739999999997</v>
      </c>
      <c r="W86" s="239">
        <f t="shared" si="47"/>
        <v>21.097235979274259</v>
      </c>
      <c r="X86" s="220"/>
      <c r="Y86" s="221"/>
    </row>
    <row r="87" spans="1:25" ht="52.8" x14ac:dyDescent="0.25">
      <c r="A87" s="222" t="s">
        <v>554</v>
      </c>
      <c r="B87" s="223" t="s">
        <v>214</v>
      </c>
      <c r="C87" s="224">
        <f t="shared" ref="C87:I87" si="53">SUM(C88:C90)</f>
        <v>3153.0568999999996</v>
      </c>
      <c r="D87" s="224">
        <f t="shared" si="53"/>
        <v>3053.2147999999997</v>
      </c>
      <c r="E87" s="224">
        <f t="shared" si="53"/>
        <v>3327.645</v>
      </c>
      <c r="F87" s="225">
        <f t="shared" si="53"/>
        <v>3319.1464999999998</v>
      </c>
      <c r="G87" s="225">
        <f t="shared" si="53"/>
        <v>3319.1464999999998</v>
      </c>
      <c r="H87" s="225">
        <f t="shared" si="53"/>
        <v>3319.1464999999998</v>
      </c>
      <c r="I87" s="225">
        <f t="shared" si="53"/>
        <v>0</v>
      </c>
      <c r="J87" s="242">
        <f t="shared" si="41"/>
        <v>0</v>
      </c>
      <c r="K87" s="242">
        <f t="shared" si="42"/>
        <v>0</v>
      </c>
      <c r="L87" s="225">
        <f>SUM(L88:L90)</f>
        <v>3709.7841000000003</v>
      </c>
      <c r="M87" s="225">
        <f>SUM(M88:M90)</f>
        <v>3709.7838999999999</v>
      </c>
      <c r="N87" s="225">
        <f>SUM(N88:N90)</f>
        <v>3709.7838999999999</v>
      </c>
      <c r="O87" s="225">
        <f>SUM(O88:O90)</f>
        <v>0</v>
      </c>
      <c r="P87" s="226">
        <f t="shared" si="30"/>
        <v>2.0000000040454324E-4</v>
      </c>
      <c r="Q87" s="226">
        <f>L87/M87*100-100</f>
        <v>5.3911496138425719E-6</v>
      </c>
      <c r="R87" s="225">
        <f>SUM(R88:R90)</f>
        <v>3829.5287000000003</v>
      </c>
      <c r="S87" s="225">
        <f>SUM(S88:S90)</f>
        <v>3829.5287000000003</v>
      </c>
      <c r="T87" s="225">
        <f>SUM(T88:T90)</f>
        <v>3829.5287000000003</v>
      </c>
      <c r="U87" s="225">
        <f>SUM(U88:U90)</f>
        <v>0</v>
      </c>
      <c r="V87" s="227">
        <f t="shared" si="46"/>
        <v>0</v>
      </c>
      <c r="W87" s="228">
        <f t="shared" si="47"/>
        <v>0</v>
      </c>
      <c r="X87" s="229">
        <f>M87</f>
        <v>3709.7838999999999</v>
      </c>
      <c r="Y87" s="230">
        <f>S87</f>
        <v>3829.5287000000003</v>
      </c>
    </row>
    <row r="88" spans="1:25" ht="39.6" x14ac:dyDescent="0.25">
      <c r="A88" s="231" t="s">
        <v>215</v>
      </c>
      <c r="B88" s="232" t="s">
        <v>216</v>
      </c>
      <c r="C88" s="233">
        <v>353.71460000000002</v>
      </c>
      <c r="D88" s="233">
        <v>186.55500000000001</v>
      </c>
      <c r="E88" s="233">
        <v>132.53749999999999</v>
      </c>
      <c r="F88" s="234">
        <v>27.9</v>
      </c>
      <c r="G88" s="234">
        <f>H88+I88</f>
        <v>27.9</v>
      </c>
      <c r="H88" s="235">
        <f>27900/1000</f>
        <v>27.9</v>
      </c>
      <c r="I88" s="235"/>
      <c r="J88" s="236">
        <f t="shared" si="41"/>
        <v>0</v>
      </c>
      <c r="K88" s="236">
        <f t="shared" si="42"/>
        <v>0</v>
      </c>
      <c r="L88" s="235">
        <v>0.9</v>
      </c>
      <c r="M88" s="235">
        <f>N88+O88</f>
        <v>0.9</v>
      </c>
      <c r="N88" s="235">
        <f>900/1000</f>
        <v>0.9</v>
      </c>
      <c r="O88" s="235"/>
      <c r="P88" s="236">
        <f t="shared" si="30"/>
        <v>0</v>
      </c>
      <c r="Q88" s="236">
        <f>L88/M88*100-100</f>
        <v>0</v>
      </c>
      <c r="R88" s="235">
        <v>0.9</v>
      </c>
      <c r="S88" s="235">
        <f>T88+U88</f>
        <v>0.9</v>
      </c>
      <c r="T88" s="235">
        <f>900/1000</f>
        <v>0.9</v>
      </c>
      <c r="U88" s="235"/>
      <c r="V88" s="238">
        <f t="shared" si="46"/>
        <v>0</v>
      </c>
      <c r="W88" s="239">
        <f t="shared" si="47"/>
        <v>0</v>
      </c>
      <c r="X88" s="220"/>
      <c r="Y88" s="221"/>
    </row>
    <row r="89" spans="1:25" ht="26.4" x14ac:dyDescent="0.25">
      <c r="A89" s="231" t="s">
        <v>323</v>
      </c>
      <c r="B89" s="232"/>
      <c r="C89" s="233"/>
      <c r="D89" s="233"/>
      <c r="E89" s="233"/>
      <c r="F89" s="234">
        <v>3.84</v>
      </c>
      <c r="G89" s="234">
        <f t="shared" ref="G89:G90" si="54">H89+I89</f>
        <v>3.84</v>
      </c>
      <c r="H89" s="235">
        <f>3840/1000</f>
        <v>3.84</v>
      </c>
      <c r="I89" s="235"/>
      <c r="J89" s="236">
        <f t="shared" si="41"/>
        <v>0</v>
      </c>
      <c r="K89" s="236">
        <f t="shared" si="42"/>
        <v>0</v>
      </c>
      <c r="L89" s="235">
        <v>0</v>
      </c>
      <c r="M89" s="235">
        <f t="shared" ref="M89:M90" si="55">N89+O89</f>
        <v>0</v>
      </c>
      <c r="N89" s="235"/>
      <c r="O89" s="235"/>
      <c r="P89" s="236">
        <f t="shared" si="30"/>
        <v>0</v>
      </c>
      <c r="Q89" s="236">
        <v>0</v>
      </c>
      <c r="R89" s="235"/>
      <c r="S89" s="235">
        <f t="shared" ref="S89:S90" si="56">T89+U89</f>
        <v>0</v>
      </c>
      <c r="T89" s="235">
        <v>0</v>
      </c>
      <c r="U89" s="235"/>
      <c r="V89" s="238">
        <f t="shared" si="46"/>
        <v>0</v>
      </c>
      <c r="W89" s="239" t="e">
        <f t="shared" si="47"/>
        <v>#DIV/0!</v>
      </c>
      <c r="X89" s="220"/>
      <c r="Y89" s="221"/>
    </row>
    <row r="90" spans="1:25" ht="52.8" x14ac:dyDescent="0.25">
      <c r="A90" s="231" t="s">
        <v>217</v>
      </c>
      <c r="B90" s="232" t="s">
        <v>218</v>
      </c>
      <c r="C90" s="233">
        <v>2799.3422999999998</v>
      </c>
      <c r="D90" s="233">
        <v>2866.6597999999999</v>
      </c>
      <c r="E90" s="233">
        <v>3195.1075000000001</v>
      </c>
      <c r="F90" s="234">
        <v>3287.4065000000001</v>
      </c>
      <c r="G90" s="234">
        <f t="shared" si="54"/>
        <v>3287.4065000000001</v>
      </c>
      <c r="H90" s="235">
        <f>3287406.5/1000</f>
        <v>3287.4065000000001</v>
      </c>
      <c r="I90" s="235"/>
      <c r="J90" s="236">
        <f t="shared" si="41"/>
        <v>0</v>
      </c>
      <c r="K90" s="236">
        <f t="shared" si="42"/>
        <v>0</v>
      </c>
      <c r="L90" s="235">
        <v>3708.8841000000002</v>
      </c>
      <c r="M90" s="235">
        <f t="shared" si="55"/>
        <v>3708.8838999999998</v>
      </c>
      <c r="N90" s="235">
        <f>3708883.9/1000</f>
        <v>3708.8838999999998</v>
      </c>
      <c r="O90" s="235"/>
      <c r="P90" s="236">
        <f t="shared" si="30"/>
        <v>2.0000000040454324E-4</v>
      </c>
      <c r="Q90" s="236">
        <f t="shared" ref="Q90:Q118" si="57">L90/M90*100-100</f>
        <v>5.3924578367059439E-6</v>
      </c>
      <c r="R90" s="235">
        <v>3828.6287000000002</v>
      </c>
      <c r="S90" s="235">
        <f t="shared" si="56"/>
        <v>3828.6287000000002</v>
      </c>
      <c r="T90" s="235">
        <f>3828628.7/1000</f>
        <v>3828.6287000000002</v>
      </c>
      <c r="U90" s="235"/>
      <c r="V90" s="238">
        <f t="shared" si="46"/>
        <v>0</v>
      </c>
      <c r="W90" s="239">
        <f t="shared" si="47"/>
        <v>0</v>
      </c>
      <c r="X90" s="220"/>
      <c r="Y90" s="221"/>
    </row>
    <row r="91" spans="1:25" ht="79.2" x14ac:dyDescent="0.25">
      <c r="A91" s="222" t="s">
        <v>555</v>
      </c>
      <c r="B91" s="223" t="s">
        <v>219</v>
      </c>
      <c r="C91" s="224">
        <f t="shared" ref="C91:I91" si="58">C92+C93+C94+C95</f>
        <v>80.991399999999999</v>
      </c>
      <c r="D91" s="224">
        <f t="shared" si="58"/>
        <v>81.4542</v>
      </c>
      <c r="E91" s="224">
        <f t="shared" si="58"/>
        <v>76.150800000000004</v>
      </c>
      <c r="F91" s="225">
        <f t="shared" si="58"/>
        <v>58.737599999999993</v>
      </c>
      <c r="G91" s="225">
        <f t="shared" si="58"/>
        <v>58.7376</v>
      </c>
      <c r="H91" s="225">
        <f t="shared" si="58"/>
        <v>56.525799999999997</v>
      </c>
      <c r="I91" s="225">
        <f t="shared" si="58"/>
        <v>2.2118000000000002</v>
      </c>
      <c r="J91" s="242">
        <f t="shared" si="41"/>
        <v>0</v>
      </c>
      <c r="K91" s="242">
        <f t="shared" si="42"/>
        <v>0</v>
      </c>
      <c r="L91" s="225">
        <f>L92+L93+L94+L95</f>
        <v>36.695599999999999</v>
      </c>
      <c r="M91" s="225">
        <f>M92+M93+M94+M95</f>
        <v>81.372699999999995</v>
      </c>
      <c r="N91" s="225">
        <f>N92+N93+N94+N95</f>
        <v>81.372699999999995</v>
      </c>
      <c r="O91" s="225">
        <f>O92+O93+O94+O95</f>
        <v>0</v>
      </c>
      <c r="P91" s="226">
        <f t="shared" si="30"/>
        <v>-44.677099999999996</v>
      </c>
      <c r="Q91" s="226">
        <f t="shared" si="57"/>
        <v>-54.904286081204134</v>
      </c>
      <c r="R91" s="225">
        <f>R92+R93+R94+R95</f>
        <v>36.671800000000005</v>
      </c>
      <c r="S91" s="225">
        <f>S92+S93+S94+S95</f>
        <v>83.572700000000012</v>
      </c>
      <c r="T91" s="225">
        <f>T92+T93+T94+T95</f>
        <v>83.572700000000012</v>
      </c>
      <c r="U91" s="225">
        <f>U92+U93+U94+U95</f>
        <v>0</v>
      </c>
      <c r="V91" s="227">
        <f t="shared" si="46"/>
        <v>-46.900900000000007</v>
      </c>
      <c r="W91" s="228">
        <f t="shared" si="47"/>
        <v>-56.119881253088629</v>
      </c>
      <c r="X91" s="229">
        <f>M91</f>
        <v>81.372699999999995</v>
      </c>
      <c r="Y91" s="230">
        <f>S91</f>
        <v>83.572700000000012</v>
      </c>
    </row>
    <row r="92" spans="1:25" ht="39.6" x14ac:dyDescent="0.25">
      <c r="A92" s="231" t="s">
        <v>220</v>
      </c>
      <c r="B92" s="232" t="s">
        <v>221</v>
      </c>
      <c r="C92" s="233">
        <v>26.431000000000001</v>
      </c>
      <c r="D92" s="233">
        <v>21.0898</v>
      </c>
      <c r="E92" s="233">
        <v>10</v>
      </c>
      <c r="F92" s="234">
        <v>20.0092</v>
      </c>
      <c r="G92" s="234">
        <f>H92+I92</f>
        <v>20.0092</v>
      </c>
      <c r="H92" s="235">
        <f>20009.2/1000</f>
        <v>20.0092</v>
      </c>
      <c r="I92" s="235"/>
      <c r="J92" s="236">
        <f t="shared" si="41"/>
        <v>0</v>
      </c>
      <c r="K92" s="236">
        <f t="shared" si="42"/>
        <v>0</v>
      </c>
      <c r="L92" s="235">
        <v>19.950299999999999</v>
      </c>
      <c r="M92" s="235">
        <f>N92+O92</f>
        <v>34.9619</v>
      </c>
      <c r="N92" s="235">
        <f>34961.9/1000</f>
        <v>34.9619</v>
      </c>
      <c r="O92" s="235"/>
      <c r="P92" s="236">
        <f t="shared" si="30"/>
        <v>-15.011600000000001</v>
      </c>
      <c r="Q92" s="236">
        <f t="shared" si="57"/>
        <v>-42.937025733727282</v>
      </c>
      <c r="R92" s="235">
        <v>19.926500000000001</v>
      </c>
      <c r="S92" s="235">
        <f>T92+U92</f>
        <v>37.161900000000003</v>
      </c>
      <c r="T92" s="235">
        <f>37161.9/1000</f>
        <v>37.161900000000003</v>
      </c>
      <c r="U92" s="235"/>
      <c r="V92" s="238">
        <f t="shared" si="46"/>
        <v>-17.235400000000002</v>
      </c>
      <c r="W92" s="239">
        <f t="shared" si="47"/>
        <v>-46.37922172978238</v>
      </c>
      <c r="X92" s="220"/>
      <c r="Y92" s="221"/>
    </row>
    <row r="93" spans="1:25" ht="39.6" x14ac:dyDescent="0.25">
      <c r="A93" s="231" t="s">
        <v>222</v>
      </c>
      <c r="B93" s="232" t="s">
        <v>223</v>
      </c>
      <c r="C93" s="233">
        <v>22</v>
      </c>
      <c r="D93" s="233">
        <v>12.495100000000001</v>
      </c>
      <c r="E93" s="233">
        <v>12.5</v>
      </c>
      <c r="F93" s="234">
        <v>18.45</v>
      </c>
      <c r="G93" s="234">
        <f t="shared" ref="G93:G95" si="59">H93+I93</f>
        <v>18.45</v>
      </c>
      <c r="H93" s="235">
        <f>18450/1000</f>
        <v>18.45</v>
      </c>
      <c r="I93" s="235"/>
      <c r="J93" s="236">
        <f t="shared" si="41"/>
        <v>0</v>
      </c>
      <c r="K93" s="236">
        <f t="shared" si="42"/>
        <v>0</v>
      </c>
      <c r="L93" s="235">
        <v>1.95</v>
      </c>
      <c r="M93" s="235">
        <f t="shared" ref="M93:M95" si="60">N93+O93</f>
        <v>27.2</v>
      </c>
      <c r="N93" s="235">
        <f>27200/1000</f>
        <v>27.2</v>
      </c>
      <c r="O93" s="235"/>
      <c r="P93" s="236">
        <f t="shared" si="30"/>
        <v>-25.25</v>
      </c>
      <c r="Q93" s="236">
        <f t="shared" si="57"/>
        <v>-92.830882352941174</v>
      </c>
      <c r="R93" s="235">
        <v>1.95</v>
      </c>
      <c r="S93" s="235">
        <f t="shared" ref="S93:S95" si="61">T93+U93</f>
        <v>27.2</v>
      </c>
      <c r="T93" s="235">
        <f>27200/1000</f>
        <v>27.2</v>
      </c>
      <c r="U93" s="235"/>
      <c r="V93" s="238">
        <f t="shared" si="46"/>
        <v>-25.25</v>
      </c>
      <c r="W93" s="239">
        <f t="shared" si="47"/>
        <v>-92.830882352941174</v>
      </c>
      <c r="X93" s="220"/>
      <c r="Y93" s="221"/>
    </row>
    <row r="94" spans="1:25" ht="26.4" x14ac:dyDescent="0.25">
      <c r="A94" s="231" t="s">
        <v>224</v>
      </c>
      <c r="B94" s="232" t="s">
        <v>225</v>
      </c>
      <c r="C94" s="233">
        <v>32.560400000000001</v>
      </c>
      <c r="D94" s="233">
        <v>46.869399999999999</v>
      </c>
      <c r="E94" s="233">
        <v>52.650799999999997</v>
      </c>
      <c r="F94" s="234">
        <v>17.389399999999998</v>
      </c>
      <c r="G94" s="234">
        <f t="shared" si="59"/>
        <v>17.389400000000002</v>
      </c>
      <c r="H94" s="235">
        <f>17389.4/1000</f>
        <v>17.389400000000002</v>
      </c>
      <c r="I94" s="235"/>
      <c r="J94" s="236">
        <f t="shared" si="41"/>
        <v>0</v>
      </c>
      <c r="K94" s="236">
        <f t="shared" si="42"/>
        <v>0</v>
      </c>
      <c r="L94" s="235">
        <v>14.1</v>
      </c>
      <c r="M94" s="235">
        <f t="shared" si="60"/>
        <v>17.389400000000002</v>
      </c>
      <c r="N94" s="235">
        <f>17389.4/1000</f>
        <v>17.389400000000002</v>
      </c>
      <c r="O94" s="235"/>
      <c r="P94" s="236">
        <f t="shared" si="30"/>
        <v>-3.2894000000000023</v>
      </c>
      <c r="Q94" s="236">
        <f t="shared" si="57"/>
        <v>-18.916121315284045</v>
      </c>
      <c r="R94" s="235">
        <v>14.1</v>
      </c>
      <c r="S94" s="235">
        <f t="shared" si="61"/>
        <v>17.389400000000002</v>
      </c>
      <c r="T94" s="235">
        <f>17389.4/1000</f>
        <v>17.389400000000002</v>
      </c>
      <c r="U94" s="235"/>
      <c r="V94" s="238">
        <f t="shared" si="46"/>
        <v>-3.2894000000000023</v>
      </c>
      <c r="W94" s="239">
        <f t="shared" si="47"/>
        <v>-18.916121315284045</v>
      </c>
      <c r="X94" s="220"/>
      <c r="Y94" s="221"/>
    </row>
    <row r="95" spans="1:25" ht="52.8" x14ac:dyDescent="0.25">
      <c r="A95" s="231" t="s">
        <v>226</v>
      </c>
      <c r="B95" s="232" t="s">
        <v>227</v>
      </c>
      <c r="C95" s="233"/>
      <c r="D95" s="233">
        <v>0.99990000000000001</v>
      </c>
      <c r="E95" s="233">
        <v>1</v>
      </c>
      <c r="F95" s="234">
        <v>2.8889999999999998</v>
      </c>
      <c r="G95" s="234">
        <f t="shared" si="59"/>
        <v>2.8890000000000002</v>
      </c>
      <c r="H95" s="235">
        <f>677.2/1000</f>
        <v>0.67720000000000002</v>
      </c>
      <c r="I95" s="235">
        <f>2211.8/1000</f>
        <v>2.2118000000000002</v>
      </c>
      <c r="J95" s="236">
        <f t="shared" si="41"/>
        <v>0</v>
      </c>
      <c r="K95" s="236">
        <f t="shared" si="42"/>
        <v>0</v>
      </c>
      <c r="L95" s="235">
        <v>0.69530000000000003</v>
      </c>
      <c r="M95" s="235">
        <f t="shared" si="60"/>
        <v>1.8214000000000001</v>
      </c>
      <c r="N95" s="235">
        <f>1821.4/1000</f>
        <v>1.8214000000000001</v>
      </c>
      <c r="O95" s="235"/>
      <c r="P95" s="236">
        <f t="shared" si="30"/>
        <v>-1.1261000000000001</v>
      </c>
      <c r="Q95" s="236">
        <f t="shared" si="57"/>
        <v>-61.826067859887999</v>
      </c>
      <c r="R95" s="235">
        <v>0.69530000000000003</v>
      </c>
      <c r="S95" s="235">
        <f t="shared" si="61"/>
        <v>1.8214000000000001</v>
      </c>
      <c r="T95" s="235">
        <f>1821.4/1000</f>
        <v>1.8214000000000001</v>
      </c>
      <c r="U95" s="235"/>
      <c r="V95" s="238">
        <f t="shared" si="46"/>
        <v>-1.1261000000000001</v>
      </c>
      <c r="W95" s="239">
        <f t="shared" si="47"/>
        <v>-61.826067859887999</v>
      </c>
      <c r="X95" s="220"/>
      <c r="Y95" s="221"/>
    </row>
    <row r="96" spans="1:25" ht="39.6" x14ac:dyDescent="0.25">
      <c r="A96" s="222" t="s">
        <v>556</v>
      </c>
      <c r="B96" s="223" t="s">
        <v>228</v>
      </c>
      <c r="C96" s="224">
        <f>C97+C98+C99+C100+C101+C102</f>
        <v>4272.0410000000002</v>
      </c>
      <c r="D96" s="224">
        <f>D97+D98+D99+D100+D101+D102</f>
        <v>4894.067</v>
      </c>
      <c r="E96" s="224">
        <f>E97+E98+E99+E100+E101+E102</f>
        <v>6513.4591</v>
      </c>
      <c r="F96" s="225">
        <f>F97+F98+F99+F100+F101+F102+F103</f>
        <v>5230.7541000000001</v>
      </c>
      <c r="G96" s="225">
        <f>G97+G98+G99+G100+G101+G102+G103</f>
        <v>5230.7541000000001</v>
      </c>
      <c r="H96" s="225">
        <f>H97+H98+H99+H100+H101+H102+H103</f>
        <v>5230.7541000000001</v>
      </c>
      <c r="I96" s="225">
        <f>I97+I98+I99+I100+I101+I102</f>
        <v>0</v>
      </c>
      <c r="J96" s="242">
        <f t="shared" si="41"/>
        <v>0</v>
      </c>
      <c r="K96" s="242">
        <f t="shared" si="42"/>
        <v>0</v>
      </c>
      <c r="L96" s="225">
        <f>L97+L98+L99+L100+L101+L102+L103</f>
        <v>6856.7572</v>
      </c>
      <c r="M96" s="225">
        <f>M97+M98+M99+M100+M101+M102+M103</f>
        <v>12103.8514</v>
      </c>
      <c r="N96" s="225">
        <f>N97+N98+N99+N100+N101+N102+N103</f>
        <v>5937.8513999999996</v>
      </c>
      <c r="O96" s="225">
        <f>O97+O98+O99+O100+O101+O102+O103</f>
        <v>6166</v>
      </c>
      <c r="P96" s="226">
        <f t="shared" si="30"/>
        <v>-5247.0941999999995</v>
      </c>
      <c r="Q96" s="226">
        <f t="shared" si="57"/>
        <v>-43.350616482287606</v>
      </c>
      <c r="R96" s="225">
        <f>R97+R98+R99+R100+R101+R102+R103</f>
        <v>8711.3450000000012</v>
      </c>
      <c r="S96" s="225">
        <f>S97+S98+S99+S100+S101+S102+S103</f>
        <v>9693.5918000000001</v>
      </c>
      <c r="T96" s="225">
        <f>T97+T98+T99+T100+T101+T102+T103</f>
        <v>6405.4917999999998</v>
      </c>
      <c r="U96" s="225">
        <f>U97+U98+U99+U100+U101+U102+U103</f>
        <v>3288.1</v>
      </c>
      <c r="V96" s="227">
        <f t="shared" si="46"/>
        <v>-982.24679999999898</v>
      </c>
      <c r="W96" s="228">
        <f t="shared" si="47"/>
        <v>-10.132949893763822</v>
      </c>
      <c r="X96" s="229">
        <f>M96+1205.2781</f>
        <v>13309.129499999999</v>
      </c>
      <c r="Y96" s="230">
        <f>S96+1890.2883</f>
        <v>11583.8801</v>
      </c>
    </row>
    <row r="97" spans="1:25" ht="39.6" x14ac:dyDescent="0.25">
      <c r="A97" s="231" t="s">
        <v>229</v>
      </c>
      <c r="B97" s="232" t="s">
        <v>230</v>
      </c>
      <c r="C97" s="233">
        <v>432.82580000000002</v>
      </c>
      <c r="D97" s="233">
        <v>431.10300000000001</v>
      </c>
      <c r="E97" s="233">
        <v>484.04730000000001</v>
      </c>
      <c r="F97" s="234">
        <v>733.58270000000005</v>
      </c>
      <c r="G97" s="234">
        <f>H97+I97</f>
        <v>733.58269999999993</v>
      </c>
      <c r="H97" s="235">
        <f>733582.7/1000</f>
        <v>733.58269999999993</v>
      </c>
      <c r="I97" s="235"/>
      <c r="J97" s="236">
        <f t="shared" si="41"/>
        <v>0</v>
      </c>
      <c r="K97" s="236">
        <f t="shared" si="42"/>
        <v>0</v>
      </c>
      <c r="L97" s="235">
        <v>722.14940000000001</v>
      </c>
      <c r="M97" s="235">
        <f>N97+O97</f>
        <v>722.14940000000001</v>
      </c>
      <c r="N97" s="235">
        <f>722149.4/1000</f>
        <v>722.14940000000001</v>
      </c>
      <c r="O97" s="235"/>
      <c r="P97" s="236">
        <f t="shared" si="30"/>
        <v>0</v>
      </c>
      <c r="Q97" s="236">
        <f t="shared" si="57"/>
        <v>0</v>
      </c>
      <c r="R97" s="235">
        <v>752.64200000000005</v>
      </c>
      <c r="S97" s="235">
        <f>T97+U97</f>
        <v>752.64200000000005</v>
      </c>
      <c r="T97" s="235">
        <f>752642/1000</f>
        <v>752.64200000000005</v>
      </c>
      <c r="U97" s="235"/>
      <c r="V97" s="238">
        <f t="shared" si="46"/>
        <v>0</v>
      </c>
      <c r="W97" s="239">
        <f t="shared" si="47"/>
        <v>0</v>
      </c>
      <c r="X97" s="220"/>
      <c r="Y97" s="221"/>
    </row>
    <row r="98" spans="1:25" ht="39.6" x14ac:dyDescent="0.25">
      <c r="A98" s="231" t="s">
        <v>231</v>
      </c>
      <c r="B98" s="232" t="s">
        <v>232</v>
      </c>
      <c r="C98" s="233">
        <v>29.0063</v>
      </c>
      <c r="D98" s="233">
        <v>147.38210000000001</v>
      </c>
      <c r="E98" s="233">
        <v>436.5016</v>
      </c>
      <c r="F98" s="234">
        <v>84.219200000000001</v>
      </c>
      <c r="G98" s="234">
        <f t="shared" ref="G98:G103" si="62">H98+I98</f>
        <v>84.219200000000001</v>
      </c>
      <c r="H98" s="235">
        <f>84219.2/1000</f>
        <v>84.219200000000001</v>
      </c>
      <c r="I98" s="235"/>
      <c r="J98" s="236">
        <f t="shared" si="41"/>
        <v>0</v>
      </c>
      <c r="K98" s="236">
        <f t="shared" si="42"/>
        <v>0</v>
      </c>
      <c r="L98" s="235">
        <v>2.5703999999999998</v>
      </c>
      <c r="M98" s="235">
        <f t="shared" ref="M98:M103" si="63">N98+O98</f>
        <v>677.94380000000001</v>
      </c>
      <c r="N98" s="235">
        <f>677943.8/1000</f>
        <v>677.94380000000001</v>
      </c>
      <c r="O98" s="235"/>
      <c r="P98" s="236">
        <f t="shared" si="30"/>
        <v>-675.37340000000006</v>
      </c>
      <c r="Q98" s="236">
        <f t="shared" si="57"/>
        <v>-99.620853527976806</v>
      </c>
      <c r="R98" s="235">
        <v>2.5703999999999998</v>
      </c>
      <c r="S98" s="235">
        <f t="shared" ref="S98:S103" si="64">T98+U98</f>
        <v>848.87040000000002</v>
      </c>
      <c r="T98" s="235">
        <f>848870.4/1000</f>
        <v>848.87040000000002</v>
      </c>
      <c r="U98" s="235"/>
      <c r="V98" s="238">
        <f t="shared" si="46"/>
        <v>-846.30000000000007</v>
      </c>
      <c r="W98" s="239">
        <f t="shared" si="47"/>
        <v>-99.697197593413549</v>
      </c>
      <c r="X98" s="220"/>
      <c r="Y98" s="221"/>
    </row>
    <row r="99" spans="1:25" ht="39.6" x14ac:dyDescent="0.25">
      <c r="A99" s="231" t="s">
        <v>233</v>
      </c>
      <c r="B99" s="232" t="s">
        <v>234</v>
      </c>
      <c r="C99" s="233">
        <v>579.03949999999998</v>
      </c>
      <c r="D99" s="233">
        <v>1135.4845</v>
      </c>
      <c r="E99" s="233">
        <v>1147.3747000000001</v>
      </c>
      <c r="F99" s="234">
        <v>120.1802</v>
      </c>
      <c r="G99" s="234">
        <f t="shared" si="62"/>
        <v>120.1802</v>
      </c>
      <c r="H99" s="235">
        <f>120180.2/1000</f>
        <v>120.1802</v>
      </c>
      <c r="I99" s="235"/>
      <c r="J99" s="236">
        <f t="shared" si="41"/>
        <v>0</v>
      </c>
      <c r="K99" s="236">
        <f t="shared" si="42"/>
        <v>0</v>
      </c>
      <c r="L99" s="235">
        <v>231.06399999999999</v>
      </c>
      <c r="M99" s="235">
        <f t="shared" si="63"/>
        <v>150.13739999999999</v>
      </c>
      <c r="N99" s="235">
        <f>150137.4/1000</f>
        <v>150.13739999999999</v>
      </c>
      <c r="O99" s="235"/>
      <c r="P99" s="236">
        <f t="shared" si="30"/>
        <v>80.926600000000008</v>
      </c>
      <c r="Q99" s="236">
        <f t="shared" si="57"/>
        <v>53.901692716138683</v>
      </c>
      <c r="R99" s="235">
        <v>375.58800000000002</v>
      </c>
      <c r="S99" s="235">
        <f t="shared" si="64"/>
        <v>217.40950000000001</v>
      </c>
      <c r="T99" s="235">
        <f>217409.5/1000</f>
        <v>217.40950000000001</v>
      </c>
      <c r="U99" s="235"/>
      <c r="V99" s="238">
        <f t="shared" si="46"/>
        <v>158.17850000000001</v>
      </c>
      <c r="W99" s="239">
        <f t="shared" si="47"/>
        <v>72.756020321099129</v>
      </c>
      <c r="X99" s="220"/>
      <c r="Y99" s="221"/>
    </row>
    <row r="100" spans="1:25" ht="52.8" x14ac:dyDescent="0.25">
      <c r="A100" s="231" t="s">
        <v>235</v>
      </c>
      <c r="B100" s="232" t="s">
        <v>236</v>
      </c>
      <c r="C100" s="233">
        <v>2555.8744000000002</v>
      </c>
      <c r="D100" s="233">
        <v>2551.587</v>
      </c>
      <c r="E100" s="233">
        <v>3780.9002</v>
      </c>
      <c r="F100" s="234">
        <v>3087.0016000000001</v>
      </c>
      <c r="G100" s="234">
        <f t="shared" si="62"/>
        <v>3087.0016000000001</v>
      </c>
      <c r="H100" s="235">
        <f>3087001.6/1000</f>
        <v>3087.0016000000001</v>
      </c>
      <c r="I100" s="235"/>
      <c r="J100" s="236">
        <f t="shared" si="41"/>
        <v>0</v>
      </c>
      <c r="K100" s="236">
        <f t="shared" si="42"/>
        <v>0</v>
      </c>
      <c r="L100" s="235">
        <v>3546.7444999999998</v>
      </c>
      <c r="M100" s="235">
        <f t="shared" si="63"/>
        <v>3527.7542999999996</v>
      </c>
      <c r="N100" s="235">
        <f>3527754.3/1000</f>
        <v>3527.7542999999996</v>
      </c>
      <c r="O100" s="235"/>
      <c r="P100" s="236">
        <f t="shared" si="30"/>
        <v>18.990200000000186</v>
      </c>
      <c r="Q100" s="236">
        <f t="shared" si="57"/>
        <v>0.53830846439618085</v>
      </c>
      <c r="R100" s="235">
        <v>3670.7386000000001</v>
      </c>
      <c r="S100" s="235">
        <f t="shared" si="64"/>
        <v>3650.2334999999998</v>
      </c>
      <c r="T100" s="235">
        <f>3650233.5/1000</f>
        <v>3650.2334999999998</v>
      </c>
      <c r="U100" s="235"/>
      <c r="V100" s="238">
        <f t="shared" si="46"/>
        <v>20.505100000000311</v>
      </c>
      <c r="W100" s="239">
        <f t="shared" si="47"/>
        <v>0.56174762518617172</v>
      </c>
      <c r="X100" s="220"/>
      <c r="Y100" s="221"/>
    </row>
    <row r="101" spans="1:25" ht="39.6" x14ac:dyDescent="0.25">
      <c r="A101" s="231" t="s">
        <v>237</v>
      </c>
      <c r="B101" s="232" t="s">
        <v>238</v>
      </c>
      <c r="C101" s="233">
        <v>675.29499999999996</v>
      </c>
      <c r="D101" s="233">
        <v>628.5104</v>
      </c>
      <c r="E101" s="233">
        <v>616.69640000000004</v>
      </c>
      <c r="F101" s="234">
        <v>640.97799999999995</v>
      </c>
      <c r="G101" s="234">
        <f t="shared" si="62"/>
        <v>640.97799999999995</v>
      </c>
      <c r="H101" s="235">
        <f>640978/1000</f>
        <v>640.97799999999995</v>
      </c>
      <c r="I101" s="235"/>
      <c r="J101" s="236">
        <f t="shared" si="41"/>
        <v>0</v>
      </c>
      <c r="K101" s="236">
        <f t="shared" si="42"/>
        <v>0</v>
      </c>
      <c r="L101" s="235">
        <v>584.69209999999998</v>
      </c>
      <c r="M101" s="235">
        <f t="shared" si="63"/>
        <v>584.69209999999998</v>
      </c>
      <c r="N101" s="235">
        <f>584692.1/1000</f>
        <v>584.69209999999998</v>
      </c>
      <c r="O101" s="235"/>
      <c r="P101" s="236">
        <f t="shared" si="30"/>
        <v>0</v>
      </c>
      <c r="Q101" s="236">
        <f t="shared" si="57"/>
        <v>0</v>
      </c>
      <c r="R101" s="235">
        <v>591.36699999999996</v>
      </c>
      <c r="S101" s="235">
        <f t="shared" si="64"/>
        <v>591.36699999999996</v>
      </c>
      <c r="T101" s="235">
        <f>591367/1000</f>
        <v>591.36699999999996</v>
      </c>
      <c r="U101" s="235"/>
      <c r="V101" s="238">
        <f t="shared" si="46"/>
        <v>0</v>
      </c>
      <c r="W101" s="239">
        <f t="shared" si="47"/>
        <v>0</v>
      </c>
      <c r="X101" s="220"/>
      <c r="Y101" s="221"/>
    </row>
    <row r="102" spans="1:25" ht="26.4" x14ac:dyDescent="0.25">
      <c r="A102" s="231" t="s">
        <v>239</v>
      </c>
      <c r="B102" s="232" t="s">
        <v>240</v>
      </c>
      <c r="C102" s="233"/>
      <c r="D102" s="233"/>
      <c r="E102" s="233">
        <v>47.938899999999997</v>
      </c>
      <c r="F102" s="234">
        <v>67.337800000000001</v>
      </c>
      <c r="G102" s="234">
        <f t="shared" si="62"/>
        <v>67.337800000000001</v>
      </c>
      <c r="H102" s="235">
        <f>67337.8/1000</f>
        <v>67.337800000000001</v>
      </c>
      <c r="I102" s="235"/>
      <c r="J102" s="236">
        <f t="shared" si="41"/>
        <v>0</v>
      </c>
      <c r="K102" s="236">
        <f t="shared" si="42"/>
        <v>0</v>
      </c>
      <c r="L102" s="235">
        <v>43.376600000000003</v>
      </c>
      <c r="M102" s="235">
        <f t="shared" si="63"/>
        <v>62.9544</v>
      </c>
      <c r="N102" s="235">
        <f>62954.4/1000</f>
        <v>62.9544</v>
      </c>
      <c r="O102" s="235"/>
      <c r="P102" s="236">
        <f t="shared" si="30"/>
        <v>-19.577799999999996</v>
      </c>
      <c r="Q102" s="236">
        <f t="shared" si="57"/>
        <v>-31.098382321172153</v>
      </c>
      <c r="R102" s="235">
        <v>17.8584</v>
      </c>
      <c r="S102" s="235">
        <f t="shared" si="64"/>
        <v>24.589400000000001</v>
      </c>
      <c r="T102" s="235">
        <f>24589.4/1000</f>
        <v>24.589400000000001</v>
      </c>
      <c r="U102" s="235"/>
      <c r="V102" s="238">
        <f t="shared" si="46"/>
        <v>-6.7310000000000016</v>
      </c>
      <c r="W102" s="239">
        <f t="shared" si="47"/>
        <v>-27.373583739334833</v>
      </c>
      <c r="X102" s="220"/>
      <c r="Y102" s="221"/>
    </row>
    <row r="103" spans="1:25" ht="39.6" x14ac:dyDescent="0.25">
      <c r="A103" s="231" t="s">
        <v>557</v>
      </c>
      <c r="B103" s="232"/>
      <c r="C103" s="233"/>
      <c r="D103" s="233"/>
      <c r="E103" s="233"/>
      <c r="F103" s="234">
        <v>497.45460000000003</v>
      </c>
      <c r="G103" s="234">
        <f t="shared" si="62"/>
        <v>497.45459999999997</v>
      </c>
      <c r="H103" s="235">
        <f>497454.6/1000</f>
        <v>497.45459999999997</v>
      </c>
      <c r="I103" s="235"/>
      <c r="J103" s="236">
        <f t="shared" si="41"/>
        <v>0</v>
      </c>
      <c r="K103" s="236">
        <f t="shared" si="42"/>
        <v>0</v>
      </c>
      <c r="L103" s="235">
        <v>1726.1602</v>
      </c>
      <c r="M103" s="235">
        <f t="shared" si="63"/>
        <v>6378.22</v>
      </c>
      <c r="N103" s="235">
        <f>212220/1000</f>
        <v>212.22</v>
      </c>
      <c r="O103" s="235">
        <f>6166000/1000</f>
        <v>6166</v>
      </c>
      <c r="P103" s="236">
        <f t="shared" si="30"/>
        <v>-4652.0598</v>
      </c>
      <c r="Q103" s="236">
        <f t="shared" si="57"/>
        <v>-72.936646901486625</v>
      </c>
      <c r="R103" s="235">
        <v>3300.5805999999998</v>
      </c>
      <c r="S103" s="235">
        <f t="shared" si="64"/>
        <v>3608.48</v>
      </c>
      <c r="T103" s="235">
        <f>320380/1000</f>
        <v>320.38</v>
      </c>
      <c r="U103" s="235">
        <f>3288100/1000</f>
        <v>3288.1</v>
      </c>
      <c r="V103" s="238">
        <f t="shared" si="46"/>
        <v>-307.89940000000024</v>
      </c>
      <c r="W103" s="239">
        <f t="shared" si="47"/>
        <v>-8.5326619518467623</v>
      </c>
      <c r="X103" s="220"/>
      <c r="Y103" s="221"/>
    </row>
    <row r="104" spans="1:25" ht="39.6" x14ac:dyDescent="0.25">
      <c r="A104" s="222" t="s">
        <v>558</v>
      </c>
      <c r="B104" s="223" t="s">
        <v>241</v>
      </c>
      <c r="C104" s="224">
        <v>47.294699999999999</v>
      </c>
      <c r="D104" s="224">
        <v>381.26400000000001</v>
      </c>
      <c r="E104" s="224">
        <v>106.0838</v>
      </c>
      <c r="F104" s="225">
        <v>1592.7013999999999</v>
      </c>
      <c r="G104" s="241">
        <f>H104+I104</f>
        <v>1592.7012999999999</v>
      </c>
      <c r="H104" s="225">
        <f>492701.3/1000</f>
        <v>492.7013</v>
      </c>
      <c r="I104" s="225">
        <f>1100000/1000</f>
        <v>1100</v>
      </c>
      <c r="J104" s="242">
        <f t="shared" si="41"/>
        <v>9.9999999974897946E-5</v>
      </c>
      <c r="K104" s="242">
        <f t="shared" si="42"/>
        <v>6.2786412087234567E-6</v>
      </c>
      <c r="L104" s="225">
        <v>1313.2059999999999</v>
      </c>
      <c r="M104" s="225">
        <f>N104+O104</f>
        <v>3480.2895000000003</v>
      </c>
      <c r="N104" s="225">
        <f>427396/1000</f>
        <v>427.39600000000002</v>
      </c>
      <c r="O104" s="225">
        <f>3052893.5/1000</f>
        <v>3052.8935000000001</v>
      </c>
      <c r="P104" s="226">
        <f>L104-M104</f>
        <v>-2167.0835000000006</v>
      </c>
      <c r="Q104" s="226">
        <f t="shared" si="57"/>
        <v>-62.26733436974137</v>
      </c>
      <c r="R104" s="225">
        <v>53.8962</v>
      </c>
      <c r="S104" s="225">
        <f>T104+U104</f>
        <v>2134.7635</v>
      </c>
      <c r="T104" s="225">
        <f>777585.9/1000</f>
        <v>777.58590000000004</v>
      </c>
      <c r="U104" s="225">
        <f>1357177.6/1000</f>
        <v>1357.1776</v>
      </c>
      <c r="V104" s="227">
        <f t="shared" si="46"/>
        <v>-2080.8672999999999</v>
      </c>
      <c r="W104" s="228">
        <f t="shared" si="47"/>
        <v>-97.47530815474407</v>
      </c>
      <c r="X104" s="229">
        <f>M104+1687.48</f>
        <v>5167.7695000000003</v>
      </c>
      <c r="Y104" s="230">
        <f>S104+2275.86</f>
        <v>4410.6234999999997</v>
      </c>
    </row>
    <row r="105" spans="1:25" ht="52.8" x14ac:dyDescent="0.25">
      <c r="A105" s="222" t="s">
        <v>559</v>
      </c>
      <c r="B105" s="223" t="s">
        <v>242</v>
      </c>
      <c r="C105" s="224">
        <v>57.308599999999998</v>
      </c>
      <c r="D105" s="224">
        <v>54.190899999999999</v>
      </c>
      <c r="E105" s="224">
        <v>56.384700000000002</v>
      </c>
      <c r="F105" s="225">
        <v>105.0682</v>
      </c>
      <c r="G105" s="241">
        <f>H105+I105</f>
        <v>105.06819999999999</v>
      </c>
      <c r="H105" s="225">
        <f>105068.2/1000</f>
        <v>105.06819999999999</v>
      </c>
      <c r="I105" s="225"/>
      <c r="J105" s="242">
        <f t="shared" si="41"/>
        <v>0</v>
      </c>
      <c r="K105" s="242">
        <f t="shared" si="42"/>
        <v>0</v>
      </c>
      <c r="L105" s="225">
        <v>82.749700000000004</v>
      </c>
      <c r="M105" s="225">
        <f>N105+O105</f>
        <v>82.74969999999999</v>
      </c>
      <c r="N105" s="225">
        <f>82749.7/1000</f>
        <v>82.74969999999999</v>
      </c>
      <c r="O105" s="225"/>
      <c r="P105" s="226">
        <f t="shared" si="30"/>
        <v>0</v>
      </c>
      <c r="Q105" s="226">
        <f t="shared" si="57"/>
        <v>0</v>
      </c>
      <c r="R105" s="225">
        <v>84.986500000000007</v>
      </c>
      <c r="S105" s="225">
        <f>T105+U105</f>
        <v>84.986500000000007</v>
      </c>
      <c r="T105" s="225">
        <f>84986.5/1000</f>
        <v>84.986500000000007</v>
      </c>
      <c r="U105" s="225"/>
      <c r="V105" s="227">
        <f t="shared" si="46"/>
        <v>0</v>
      </c>
      <c r="W105" s="228">
        <f t="shared" si="47"/>
        <v>0</v>
      </c>
      <c r="X105" s="229">
        <f>M105</f>
        <v>82.74969999999999</v>
      </c>
      <c r="Y105" s="230">
        <f>S105</f>
        <v>84.986500000000007</v>
      </c>
    </row>
    <row r="106" spans="1:25" ht="52.8" x14ac:dyDescent="0.25">
      <c r="A106" s="222" t="s">
        <v>560</v>
      </c>
      <c r="B106" s="223" t="s">
        <v>243</v>
      </c>
      <c r="C106" s="224">
        <f>C107+C108+C109+C110</f>
        <v>6005.9546</v>
      </c>
      <c r="D106" s="224">
        <f>D107+D108+D109+D110</f>
        <v>4815.4683000000005</v>
      </c>
      <c r="E106" s="224">
        <f>E107+E108+E109+E110</f>
        <v>4928.2129999999997</v>
      </c>
      <c r="F106" s="225">
        <f>F107+F108+F109+F110</f>
        <v>8771.9354999999996</v>
      </c>
      <c r="G106" s="241">
        <f t="shared" si="49"/>
        <v>8771.9354999999996</v>
      </c>
      <c r="H106" s="225">
        <f>H107+H108+H109+H110</f>
        <v>8571.8495999999996</v>
      </c>
      <c r="I106" s="225">
        <f>I107+I108+I109+I110</f>
        <v>200.08589999999998</v>
      </c>
      <c r="J106" s="242">
        <f t="shared" si="41"/>
        <v>0</v>
      </c>
      <c r="K106" s="242">
        <f t="shared" si="42"/>
        <v>0</v>
      </c>
      <c r="L106" s="225">
        <f t="shared" ref="L106:U106" si="65">L107+L108+L109+L110</f>
        <v>6753.7564000000002</v>
      </c>
      <c r="M106" s="225">
        <f t="shared" si="65"/>
        <v>6753.7564000000002</v>
      </c>
      <c r="N106" s="225">
        <f t="shared" si="65"/>
        <v>6581.1635999999999</v>
      </c>
      <c r="O106" s="225">
        <f t="shared" si="65"/>
        <v>172.59280000000001</v>
      </c>
      <c r="P106" s="226">
        <f t="shared" si="30"/>
        <v>0</v>
      </c>
      <c r="Q106" s="226">
        <f t="shared" si="57"/>
        <v>0</v>
      </c>
      <c r="R106" s="225">
        <f t="shared" si="65"/>
        <v>7545.4468999999999</v>
      </c>
      <c r="S106" s="225">
        <f t="shared" si="65"/>
        <v>7545.4468999999999</v>
      </c>
      <c r="T106" s="225">
        <f t="shared" si="65"/>
        <v>7375.5644000000002</v>
      </c>
      <c r="U106" s="225">
        <f t="shared" si="65"/>
        <v>169.88249999999999</v>
      </c>
      <c r="V106" s="227">
        <f t="shared" si="46"/>
        <v>0</v>
      </c>
      <c r="W106" s="228">
        <f t="shared" si="47"/>
        <v>0</v>
      </c>
      <c r="X106" s="229">
        <f>M106+143.5863</f>
        <v>6897.3427000000001</v>
      </c>
      <c r="Y106" s="230">
        <f>S106+139.6993</f>
        <v>7685.1462000000001</v>
      </c>
    </row>
    <row r="107" spans="1:25" ht="52.8" x14ac:dyDescent="0.25">
      <c r="A107" s="231" t="s">
        <v>244</v>
      </c>
      <c r="B107" s="232" t="s">
        <v>245</v>
      </c>
      <c r="C107" s="233">
        <v>218.13419999999999</v>
      </c>
      <c r="D107" s="233">
        <v>195.96010000000001</v>
      </c>
      <c r="E107" s="233">
        <v>195.04769999999999</v>
      </c>
      <c r="F107" s="234">
        <v>363.6026</v>
      </c>
      <c r="G107" s="234">
        <f>H107+I107</f>
        <v>363.60260000000005</v>
      </c>
      <c r="H107" s="235">
        <f>323729.7/1000</f>
        <v>323.72970000000004</v>
      </c>
      <c r="I107" s="235">
        <f>39872.9/1000</f>
        <v>39.872900000000001</v>
      </c>
      <c r="J107" s="236">
        <f t="shared" si="41"/>
        <v>0</v>
      </c>
      <c r="K107" s="236">
        <f t="shared" si="42"/>
        <v>0</v>
      </c>
      <c r="L107" s="235">
        <v>359.51220000000001</v>
      </c>
      <c r="M107" s="235">
        <f>N107+O107</f>
        <v>359.51220000000001</v>
      </c>
      <c r="N107" s="235">
        <f>319615.4/1000</f>
        <v>319.61540000000002</v>
      </c>
      <c r="O107" s="235">
        <f>39896.8/1000</f>
        <v>39.896800000000006</v>
      </c>
      <c r="P107" s="236">
        <f t="shared" si="30"/>
        <v>0</v>
      </c>
      <c r="Q107" s="236">
        <f t="shared" si="57"/>
        <v>0</v>
      </c>
      <c r="R107" s="235">
        <v>366.01749999999998</v>
      </c>
      <c r="S107" s="235">
        <f>T107+U107</f>
        <v>366.01750000000004</v>
      </c>
      <c r="T107" s="235">
        <f>326093/1000</f>
        <v>326.09300000000002</v>
      </c>
      <c r="U107" s="235">
        <f>39924.5/1000</f>
        <v>39.924500000000002</v>
      </c>
      <c r="V107" s="238">
        <f t="shared" si="46"/>
        <v>0</v>
      </c>
      <c r="W107" s="239">
        <f t="shared" si="47"/>
        <v>0</v>
      </c>
      <c r="X107" s="220"/>
      <c r="Y107" s="221"/>
    </row>
    <row r="108" spans="1:25" ht="26.4" x14ac:dyDescent="0.25">
      <c r="A108" s="231" t="s">
        <v>246</v>
      </c>
      <c r="B108" s="232" t="s">
        <v>247</v>
      </c>
      <c r="C108" s="233">
        <v>1754.2739999999999</v>
      </c>
      <c r="D108" s="233">
        <v>1413.9712999999999</v>
      </c>
      <c r="E108" s="233">
        <v>1230.1610000000001</v>
      </c>
      <c r="F108" s="234">
        <v>2759.8438999999998</v>
      </c>
      <c r="G108" s="234">
        <f t="shared" ref="G108:G110" si="66">H108+I108</f>
        <v>2759.8438999999998</v>
      </c>
      <c r="H108" s="235">
        <f>2759843.9/1000</f>
        <v>2759.8438999999998</v>
      </c>
      <c r="I108" s="235"/>
      <c r="J108" s="236">
        <f t="shared" si="41"/>
        <v>0</v>
      </c>
      <c r="K108" s="236">
        <f t="shared" si="42"/>
        <v>0</v>
      </c>
      <c r="L108" s="235">
        <v>2576.3784999999998</v>
      </c>
      <c r="M108" s="235">
        <f t="shared" ref="M108:M110" si="67">N108+O108</f>
        <v>2576.3784999999998</v>
      </c>
      <c r="N108" s="235">
        <f>2576378.5/1000</f>
        <v>2576.3784999999998</v>
      </c>
      <c r="O108" s="235"/>
      <c r="P108" s="236">
        <f t="shared" si="30"/>
        <v>0</v>
      </c>
      <c r="Q108" s="236">
        <f t="shared" si="57"/>
        <v>0</v>
      </c>
      <c r="R108" s="235">
        <v>2466.6071000000002</v>
      </c>
      <c r="S108" s="235">
        <f t="shared" ref="S108:S110" si="68">T108+U108</f>
        <v>2466.6071000000002</v>
      </c>
      <c r="T108" s="235">
        <f>2466607.1/1000</f>
        <v>2466.6071000000002</v>
      </c>
      <c r="U108" s="235"/>
      <c r="V108" s="238">
        <f t="shared" si="46"/>
        <v>0</v>
      </c>
      <c r="W108" s="239">
        <f t="shared" si="47"/>
        <v>0</v>
      </c>
      <c r="X108" s="220"/>
      <c r="Y108" s="221"/>
    </row>
    <row r="109" spans="1:25" ht="39.6" x14ac:dyDescent="0.25">
      <c r="A109" s="231" t="s">
        <v>248</v>
      </c>
      <c r="B109" s="232" t="s">
        <v>249</v>
      </c>
      <c r="C109" s="233">
        <v>4011.0753</v>
      </c>
      <c r="D109" s="233">
        <v>3177.7903000000001</v>
      </c>
      <c r="E109" s="233">
        <v>3475.2044999999998</v>
      </c>
      <c r="F109" s="234">
        <v>5620.8726999999999</v>
      </c>
      <c r="G109" s="234">
        <f t="shared" si="66"/>
        <v>5620.8726999999999</v>
      </c>
      <c r="H109" s="235">
        <f>5460659.7/1000</f>
        <v>5460.6597000000002</v>
      </c>
      <c r="I109" s="235">
        <f>160213/1000</f>
        <v>160.21299999999999</v>
      </c>
      <c r="J109" s="236">
        <f t="shared" si="41"/>
        <v>0</v>
      </c>
      <c r="K109" s="236">
        <f t="shared" si="42"/>
        <v>0</v>
      </c>
      <c r="L109" s="235">
        <v>3789.2460999999998</v>
      </c>
      <c r="M109" s="235">
        <f t="shared" si="67"/>
        <v>3789.2460999999998</v>
      </c>
      <c r="N109" s="235">
        <f>3656550.1/1000</f>
        <v>3656.5500999999999</v>
      </c>
      <c r="O109" s="235">
        <f>132696/1000</f>
        <v>132.696</v>
      </c>
      <c r="P109" s="236">
        <f t="shared" si="30"/>
        <v>0</v>
      </c>
      <c r="Q109" s="236">
        <f t="shared" si="57"/>
        <v>0</v>
      </c>
      <c r="R109" s="235">
        <v>4683.2318999999998</v>
      </c>
      <c r="S109" s="235">
        <f t="shared" si="68"/>
        <v>4683.2318999999998</v>
      </c>
      <c r="T109" s="235">
        <f>4553273.9/1000</f>
        <v>4553.2739000000001</v>
      </c>
      <c r="U109" s="235">
        <f>129958/1000</f>
        <v>129.958</v>
      </c>
      <c r="V109" s="238">
        <f t="shared" si="46"/>
        <v>0</v>
      </c>
      <c r="W109" s="239">
        <f t="shared" si="47"/>
        <v>0</v>
      </c>
      <c r="X109" s="220"/>
      <c r="Y109" s="221"/>
    </row>
    <row r="110" spans="1:25" ht="39.6" x14ac:dyDescent="0.25">
      <c r="A110" s="231" t="s">
        <v>250</v>
      </c>
      <c r="B110" s="232" t="s">
        <v>251</v>
      </c>
      <c r="C110" s="233">
        <v>22.4711</v>
      </c>
      <c r="D110" s="233">
        <v>27.746600000000001</v>
      </c>
      <c r="E110" s="233">
        <v>27.799800000000001</v>
      </c>
      <c r="F110" s="234">
        <v>27.616299999999999</v>
      </c>
      <c r="G110" s="234">
        <f t="shared" si="66"/>
        <v>27.616299999999999</v>
      </c>
      <c r="H110" s="235">
        <f>27616.3/1000</f>
        <v>27.616299999999999</v>
      </c>
      <c r="I110" s="235"/>
      <c r="J110" s="236">
        <f t="shared" si="41"/>
        <v>0</v>
      </c>
      <c r="K110" s="236">
        <f t="shared" si="42"/>
        <v>0</v>
      </c>
      <c r="L110" s="235">
        <v>28.619599999999998</v>
      </c>
      <c r="M110" s="235">
        <f t="shared" si="67"/>
        <v>28.619599999999998</v>
      </c>
      <c r="N110" s="235">
        <f>28619.6/1000</f>
        <v>28.619599999999998</v>
      </c>
      <c r="O110" s="235"/>
      <c r="P110" s="236">
        <f t="shared" si="30"/>
        <v>0</v>
      </c>
      <c r="Q110" s="236">
        <f t="shared" si="57"/>
        <v>0</v>
      </c>
      <c r="R110" s="235">
        <v>29.590399999999999</v>
      </c>
      <c r="S110" s="235">
        <f t="shared" si="68"/>
        <v>29.590400000000002</v>
      </c>
      <c r="T110" s="235">
        <f>29590.4/1000</f>
        <v>29.590400000000002</v>
      </c>
      <c r="U110" s="235"/>
      <c r="V110" s="238">
        <f t="shared" si="46"/>
        <v>0</v>
      </c>
      <c r="W110" s="239">
        <f t="shared" si="47"/>
        <v>0</v>
      </c>
      <c r="X110" s="220"/>
      <c r="Y110" s="221"/>
    </row>
    <row r="111" spans="1:25" ht="52.8" x14ac:dyDescent="0.25">
      <c r="A111" s="222" t="s">
        <v>561</v>
      </c>
      <c r="B111" s="223" t="s">
        <v>252</v>
      </c>
      <c r="C111" s="224">
        <f t="shared" ref="C111:I111" si="69">C112+C113+C114+C115+C116</f>
        <v>1205.1885</v>
      </c>
      <c r="D111" s="224">
        <f t="shared" si="69"/>
        <v>1404.0587</v>
      </c>
      <c r="E111" s="224">
        <f t="shared" si="69"/>
        <v>1374.4317000000001</v>
      </c>
      <c r="F111" s="225">
        <f t="shared" si="69"/>
        <v>1974.3302000000001</v>
      </c>
      <c r="G111" s="225">
        <f t="shared" si="69"/>
        <v>1974.3303000000001</v>
      </c>
      <c r="H111" s="225">
        <f t="shared" si="69"/>
        <v>1836.0484999999999</v>
      </c>
      <c r="I111" s="225">
        <f t="shared" si="69"/>
        <v>138.2818</v>
      </c>
      <c r="J111" s="242">
        <f t="shared" si="41"/>
        <v>-9.9999999974897946E-5</v>
      </c>
      <c r="K111" s="242">
        <f t="shared" si="42"/>
        <v>-5.0650086222958635E-6</v>
      </c>
      <c r="L111" s="225">
        <f>L112+L113+L114+L115+L116</f>
        <v>1519.1241</v>
      </c>
      <c r="M111" s="225">
        <f>M112+M113+M114+M115+M116</f>
        <v>1519.0674999999999</v>
      </c>
      <c r="N111" s="225">
        <f>N112+N113+N114+N115+N116</f>
        <v>1390.3159000000001</v>
      </c>
      <c r="O111" s="225">
        <f>O112+O113+O114+O115+O116</f>
        <v>128.7516</v>
      </c>
      <c r="P111" s="226">
        <f t="shared" si="30"/>
        <v>5.6600000000116779E-2</v>
      </c>
      <c r="Q111" s="226">
        <f t="shared" si="57"/>
        <v>3.7259700441154564E-3</v>
      </c>
      <c r="R111" s="225">
        <f>R112+R113+R114+R115+R116</f>
        <v>1514.4608000000001</v>
      </c>
      <c r="S111" s="225">
        <f>S112+S113+S114+S115+S116</f>
        <v>1514.4609</v>
      </c>
      <c r="T111" s="225">
        <f>T112+T113+T114+T115+T116</f>
        <v>1427.3118999999999</v>
      </c>
      <c r="U111" s="225">
        <f>U112+U113+U114+U115+U116</f>
        <v>87.149000000000001</v>
      </c>
      <c r="V111" s="227">
        <f t="shared" si="46"/>
        <v>-9.9999999974897946E-5</v>
      </c>
      <c r="W111" s="228">
        <f t="shared" si="47"/>
        <v>-6.6030096945723926E-6</v>
      </c>
      <c r="X111" s="229">
        <f>M111+112.1319</f>
        <v>1631.1994</v>
      </c>
      <c r="Y111" s="230">
        <f>S111+112.1164</f>
        <v>1626.5772999999999</v>
      </c>
    </row>
    <row r="112" spans="1:25" ht="79.2" x14ac:dyDescent="0.25">
      <c r="A112" s="231" t="s">
        <v>253</v>
      </c>
      <c r="B112" s="232" t="s">
        <v>254</v>
      </c>
      <c r="C112" s="233">
        <v>10.781599999999999</v>
      </c>
      <c r="D112" s="233">
        <v>10.1622</v>
      </c>
      <c r="E112" s="233">
        <v>8.4924999999999997</v>
      </c>
      <c r="F112" s="234">
        <v>11.0328</v>
      </c>
      <c r="G112" s="234">
        <f>H112+I112</f>
        <v>11.0328</v>
      </c>
      <c r="H112" s="235">
        <f>9907.5/1000</f>
        <v>9.9075000000000006</v>
      </c>
      <c r="I112" s="235">
        <f>1125.3/1000</f>
        <v>1.1253</v>
      </c>
      <c r="J112" s="236">
        <f t="shared" si="41"/>
        <v>0</v>
      </c>
      <c r="K112" s="236">
        <f t="shared" si="42"/>
        <v>0</v>
      </c>
      <c r="L112" s="235">
        <v>9.2769999999999992</v>
      </c>
      <c r="M112" s="235">
        <f>N112+O112</f>
        <v>9.2207000000000008</v>
      </c>
      <c r="N112" s="235">
        <f>9220.7/1000</f>
        <v>9.2207000000000008</v>
      </c>
      <c r="O112" s="235"/>
      <c r="P112" s="236">
        <f t="shared" si="30"/>
        <v>5.6299999999998462E-2</v>
      </c>
      <c r="Q112" s="236">
        <f t="shared" si="57"/>
        <v>0.61058271064018754</v>
      </c>
      <c r="R112" s="235">
        <v>8.8397000000000006</v>
      </c>
      <c r="S112" s="235">
        <f>T112+U112</f>
        <v>8.8397000000000006</v>
      </c>
      <c r="T112" s="235">
        <f>8839.7/1000</f>
        <v>8.8397000000000006</v>
      </c>
      <c r="U112" s="235"/>
      <c r="V112" s="238">
        <f t="shared" si="46"/>
        <v>0</v>
      </c>
      <c r="W112" s="239">
        <f t="shared" si="47"/>
        <v>0</v>
      </c>
      <c r="X112" s="220"/>
      <c r="Y112" s="221"/>
    </row>
    <row r="113" spans="1:25" ht="66" x14ac:dyDescent="0.25">
      <c r="A113" s="231" t="s">
        <v>255</v>
      </c>
      <c r="B113" s="232" t="s">
        <v>256</v>
      </c>
      <c r="C113" s="233">
        <v>161.90950000000001</v>
      </c>
      <c r="D113" s="233">
        <v>273.71600000000001</v>
      </c>
      <c r="E113" s="233">
        <v>353.41520000000003</v>
      </c>
      <c r="F113" s="234">
        <v>296.7149</v>
      </c>
      <c r="G113" s="234">
        <f t="shared" ref="G113:G116" si="70">H113+I113</f>
        <v>296.7149</v>
      </c>
      <c r="H113" s="235">
        <f>296714.9/1000</f>
        <v>296.7149</v>
      </c>
      <c r="I113" s="235"/>
      <c r="J113" s="236">
        <f t="shared" si="41"/>
        <v>0</v>
      </c>
      <c r="K113" s="236">
        <f t="shared" si="42"/>
        <v>0</v>
      </c>
      <c r="L113" s="235">
        <v>287.2681</v>
      </c>
      <c r="M113" s="235">
        <f t="shared" ref="M113:M116" si="71">N113+O113</f>
        <v>287.2681</v>
      </c>
      <c r="N113" s="235">
        <f>287268.1/1000</f>
        <v>287.2681</v>
      </c>
      <c r="O113" s="235"/>
      <c r="P113" s="236">
        <f t="shared" si="30"/>
        <v>0</v>
      </c>
      <c r="Q113" s="236">
        <f t="shared" si="57"/>
        <v>0</v>
      </c>
      <c r="R113" s="235">
        <v>298.61970000000002</v>
      </c>
      <c r="S113" s="235">
        <f t="shared" ref="S113:S116" si="72">T113+U113</f>
        <v>298.61970000000002</v>
      </c>
      <c r="T113" s="235">
        <f>298619.7/1000</f>
        <v>298.61970000000002</v>
      </c>
      <c r="U113" s="235"/>
      <c r="V113" s="238">
        <f t="shared" si="46"/>
        <v>0</v>
      </c>
      <c r="W113" s="239">
        <f t="shared" si="47"/>
        <v>0</v>
      </c>
      <c r="X113" s="220"/>
      <c r="Y113" s="221"/>
    </row>
    <row r="114" spans="1:25" ht="39.6" x14ac:dyDescent="0.25">
      <c r="A114" s="231" t="s">
        <v>257</v>
      </c>
      <c r="B114" s="232" t="s">
        <v>258</v>
      </c>
      <c r="C114" s="233">
        <v>80.241200000000006</v>
      </c>
      <c r="D114" s="233">
        <v>135.5172</v>
      </c>
      <c r="E114" s="233">
        <v>78.809600000000003</v>
      </c>
      <c r="F114" s="234">
        <v>182.50710000000001</v>
      </c>
      <c r="G114" s="234">
        <f t="shared" si="70"/>
        <v>182.50710000000001</v>
      </c>
      <c r="H114" s="235">
        <f>182507.1/1000</f>
        <v>182.50710000000001</v>
      </c>
      <c r="I114" s="235"/>
      <c r="J114" s="236">
        <f t="shared" si="41"/>
        <v>0</v>
      </c>
      <c r="K114" s="236">
        <f t="shared" si="42"/>
        <v>0</v>
      </c>
      <c r="L114" s="235">
        <v>112.0776</v>
      </c>
      <c r="M114" s="235">
        <f t="shared" si="71"/>
        <v>112.0775</v>
      </c>
      <c r="N114" s="235">
        <f>105741.6/1000</f>
        <v>105.74160000000001</v>
      </c>
      <c r="O114" s="235">
        <f>6335.9/1000</f>
        <v>6.3358999999999996</v>
      </c>
      <c r="P114" s="236">
        <f t="shared" si="30"/>
        <v>1.0000000000331966E-4</v>
      </c>
      <c r="Q114" s="236">
        <f t="shared" si="57"/>
        <v>8.9223974470087342E-5</v>
      </c>
      <c r="R114" s="235">
        <v>105.6123</v>
      </c>
      <c r="S114" s="235">
        <f t="shared" si="72"/>
        <v>105.61239999999999</v>
      </c>
      <c r="T114" s="235">
        <f>105612.4/1000</f>
        <v>105.61239999999999</v>
      </c>
      <c r="U114" s="235"/>
      <c r="V114" s="238">
        <f t="shared" si="46"/>
        <v>-9.9999999989108801E-5</v>
      </c>
      <c r="W114" s="239">
        <f t="shared" si="47"/>
        <v>-9.4685851266262944E-5</v>
      </c>
      <c r="X114" s="220"/>
      <c r="Y114" s="221"/>
    </row>
    <row r="115" spans="1:25" ht="52.8" x14ac:dyDescent="0.25">
      <c r="A115" s="231" t="s">
        <v>259</v>
      </c>
      <c r="B115" s="232" t="s">
        <v>260</v>
      </c>
      <c r="C115" s="233">
        <v>92.161900000000003</v>
      </c>
      <c r="D115" s="233">
        <v>79.840500000000006</v>
      </c>
      <c r="E115" s="233">
        <v>86.6434</v>
      </c>
      <c r="F115" s="234">
        <v>86.6</v>
      </c>
      <c r="G115" s="234">
        <f t="shared" si="70"/>
        <v>86.6</v>
      </c>
      <c r="H115" s="235">
        <f>86600/1000</f>
        <v>86.6</v>
      </c>
      <c r="I115" s="235"/>
      <c r="J115" s="236">
        <f t="shared" si="41"/>
        <v>0</v>
      </c>
      <c r="K115" s="236">
        <f t="shared" si="42"/>
        <v>0</v>
      </c>
      <c r="L115" s="235">
        <v>56.934600000000003</v>
      </c>
      <c r="M115" s="235">
        <f t="shared" si="71"/>
        <v>56.934599999999996</v>
      </c>
      <c r="N115" s="235">
        <f>56934.6/1000</f>
        <v>56.934599999999996</v>
      </c>
      <c r="O115" s="235"/>
      <c r="P115" s="236">
        <f t="shared" si="30"/>
        <v>0</v>
      </c>
      <c r="Q115" s="236">
        <f t="shared" si="57"/>
        <v>0</v>
      </c>
      <c r="R115" s="235">
        <v>57.959000000000003</v>
      </c>
      <c r="S115" s="235">
        <f t="shared" si="72"/>
        <v>57.959000000000003</v>
      </c>
      <c r="T115" s="235">
        <f>57959/1000</f>
        <v>57.959000000000003</v>
      </c>
      <c r="U115" s="235"/>
      <c r="V115" s="238">
        <f t="shared" si="46"/>
        <v>0</v>
      </c>
      <c r="W115" s="239">
        <f t="shared" si="47"/>
        <v>0</v>
      </c>
      <c r="X115" s="220"/>
      <c r="Y115" s="221"/>
    </row>
    <row r="116" spans="1:25" ht="39.6" x14ac:dyDescent="0.25">
      <c r="A116" s="231" t="s">
        <v>261</v>
      </c>
      <c r="B116" s="232" t="s">
        <v>262</v>
      </c>
      <c r="C116" s="233">
        <v>860.09429999999998</v>
      </c>
      <c r="D116" s="233">
        <v>904.82280000000003</v>
      </c>
      <c r="E116" s="233">
        <v>847.07100000000003</v>
      </c>
      <c r="F116" s="234">
        <v>1397.4754</v>
      </c>
      <c r="G116" s="234">
        <f t="shared" si="70"/>
        <v>1397.4755</v>
      </c>
      <c r="H116" s="235">
        <f>1260319/1000</f>
        <v>1260.319</v>
      </c>
      <c r="I116" s="235">
        <f>137156.5/1000</f>
        <v>137.15649999999999</v>
      </c>
      <c r="J116" s="236">
        <f t="shared" si="41"/>
        <v>-9.9999999974897946E-5</v>
      </c>
      <c r="K116" s="236">
        <f t="shared" si="42"/>
        <v>-7.1557604996996815E-6</v>
      </c>
      <c r="L116" s="235">
        <v>1053.5668000000001</v>
      </c>
      <c r="M116" s="235">
        <f t="shared" si="71"/>
        <v>1053.5665999999999</v>
      </c>
      <c r="N116" s="235">
        <f>931150.9/1000</f>
        <v>931.15089999999998</v>
      </c>
      <c r="O116" s="235">
        <f>122415.7/1000</f>
        <v>122.4157</v>
      </c>
      <c r="P116" s="236">
        <f>L116-M116</f>
        <v>2.0000000017716957E-4</v>
      </c>
      <c r="Q116" s="236">
        <f t="shared" si="57"/>
        <v>1.8983137863415322E-5</v>
      </c>
      <c r="R116" s="235">
        <v>1043.4301</v>
      </c>
      <c r="S116" s="235">
        <f t="shared" si="72"/>
        <v>1043.4301</v>
      </c>
      <c r="T116" s="235">
        <f>956281.1/1000</f>
        <v>956.28109999999992</v>
      </c>
      <c r="U116" s="235">
        <f>87149/1000</f>
        <v>87.149000000000001</v>
      </c>
      <c r="V116" s="238">
        <f t="shared" si="46"/>
        <v>0</v>
      </c>
      <c r="W116" s="239">
        <f t="shared" si="47"/>
        <v>0</v>
      </c>
      <c r="X116" s="220"/>
      <c r="Y116" s="221"/>
    </row>
    <row r="117" spans="1:25" ht="52.8" x14ac:dyDescent="0.25">
      <c r="A117" s="222" t="s">
        <v>562</v>
      </c>
      <c r="B117" s="223" t="s">
        <v>263</v>
      </c>
      <c r="C117" s="224">
        <v>108.4</v>
      </c>
      <c r="D117" s="224">
        <v>158.20480000000001</v>
      </c>
      <c r="E117" s="224">
        <v>132.28450000000001</v>
      </c>
      <c r="F117" s="225">
        <v>398.74400000000003</v>
      </c>
      <c r="G117" s="241">
        <f>H117+I117</f>
        <v>398.74400000000003</v>
      </c>
      <c r="H117" s="225">
        <f>212529.2/1000</f>
        <v>212.5292</v>
      </c>
      <c r="I117" s="225">
        <f>186214.8/1000</f>
        <v>186.2148</v>
      </c>
      <c r="J117" s="242">
        <f t="shared" si="41"/>
        <v>0</v>
      </c>
      <c r="K117" s="242">
        <f t="shared" si="42"/>
        <v>0</v>
      </c>
      <c r="L117" s="225">
        <v>562.59630000000004</v>
      </c>
      <c r="M117" s="225">
        <f>N117+O117</f>
        <v>562.59630000000004</v>
      </c>
      <c r="N117" s="225">
        <f>218296.4/1000</f>
        <v>218.29640000000001</v>
      </c>
      <c r="O117" s="225">
        <f>344299.9/1000</f>
        <v>344.29990000000004</v>
      </c>
      <c r="P117" s="226">
        <f t="shared" si="30"/>
        <v>0</v>
      </c>
      <c r="Q117" s="226">
        <f t="shared" si="57"/>
        <v>0</v>
      </c>
      <c r="R117" s="225">
        <v>139.1695</v>
      </c>
      <c r="S117" s="225">
        <f>T117+U117</f>
        <v>309.04700000000003</v>
      </c>
      <c r="T117" s="225">
        <f>104750.7/1000</f>
        <v>104.75069999999999</v>
      </c>
      <c r="U117" s="225">
        <f>204296.3/1000</f>
        <v>204.2963</v>
      </c>
      <c r="V117" s="227">
        <f t="shared" si="46"/>
        <v>-169.87750000000003</v>
      </c>
      <c r="W117" s="228">
        <f t="shared" si="47"/>
        <v>-54.9681763615243</v>
      </c>
      <c r="X117" s="229">
        <f>M117+33</f>
        <v>595.59630000000004</v>
      </c>
      <c r="Y117" s="230">
        <f>S117+33</f>
        <v>342.04700000000003</v>
      </c>
    </row>
    <row r="118" spans="1:25" ht="13.8" thickBot="1" x14ac:dyDescent="0.3">
      <c r="A118" s="249" t="s">
        <v>60</v>
      </c>
      <c r="B118" s="250"/>
      <c r="C118" s="251" t="e">
        <f>C8+C18+C26+C35+C36+C41+C47+C53+C58+C63+C67+C73+C81+C82+C87+C91+C96+C104+C105+C106+C111+C117</f>
        <v>#REF!</v>
      </c>
      <c r="D118" s="251" t="e">
        <f>D8+D18+D26+D35+D36+D41+D47+D53+D58+D63+D67+D73+D81+D82+D87+D91+D96+D104+D105+D106+D111+D117</f>
        <v>#REF!</v>
      </c>
      <c r="E118" s="251" t="e">
        <f>E8+E18+E26+E35+E36+E41+E47+E53+E58+E63+E67+E73+E81+E82+E87+E91+E96+E104+E105+E106+E111+E117</f>
        <v>#REF!</v>
      </c>
      <c r="F118" s="252">
        <f>F8+F18+F26+F35+F36+F41+F47+F53+F58+F63+F67+F73+F81+F82+F87+F91+F96+F104+F105+F106+F111+F117+F80</f>
        <v>79800.584899999987</v>
      </c>
      <c r="G118" s="252">
        <f>G8+G18+G26+G35+G36+G41+G47+G53+G58+G63+G67+G73+G81+G82+G87+G91+G96+G104+G105+G106+G111+G117+G80</f>
        <v>79801.21100000001</v>
      </c>
      <c r="H118" s="252">
        <f>H8+H18+H26+H35+H36+H41+H47+H53+H58+H63+H67+H73+H81+H82+H87+H91+H96+H104+H105+H106+H111+H117+H80</f>
        <v>70475.582500000019</v>
      </c>
      <c r="I118" s="252">
        <f>I8+I18+I26+I35+I36+I41+I47+I53+I58+I63+I67+I73+I81+I82+I87+I91+I96+I104+I105+I106+I111+I117+I80</f>
        <v>9325.6285000000007</v>
      </c>
      <c r="J118" s="253">
        <f>J8+J18+J26+J35+J36+J41+J47+J53+J58+J63+J67+J73+J81+J82+J87+J91+J96+J104+J105+J106+J111+J117+J80</f>
        <v>-0.62609999999961019</v>
      </c>
      <c r="K118" s="254">
        <f>F118/G118*100-100</f>
        <v>-7.8457455992975156E-4</v>
      </c>
      <c r="L118" s="252">
        <f>L8+L18+L26+L35+L36+L41+L47+L53+L58+L63+L67+L73+L81+L82+L87+L91+L96+L104+L105+L106+L111+L117+L80</f>
        <v>76914.8995</v>
      </c>
      <c r="M118" s="252">
        <f>M8+M18+M26+M35+M36+M41+M47+M53+M58+M63+M67+M73+M81+M82+M87+M91+M96+M104+M105+M106+M111+M117+M80</f>
        <v>90797.273399999991</v>
      </c>
      <c r="N118" s="252">
        <f>N8+N18+N26+N35+N36+N41+N47+N53+N58+N63+N67+N73+N81+N82+N87+N91+N96+N104+N105+N106+N111+N117+N80</f>
        <v>72659.034500000023</v>
      </c>
      <c r="O118" s="252">
        <f>O8+O18+O26+O35+O36+O41+O47+O53+O58+O63+O67+O73+O81+O82+O87+O91+O96+O104+O105+O106+O111+O117+O80</f>
        <v>18138.238899999997</v>
      </c>
      <c r="P118" s="252">
        <f>P8+P18+P26+P35+P36+P41+P47+P53+P58+P63+P67+P73+P81+P82+P87+P91+P96+P104+P105+P106+P111+P117+P80</f>
        <v>-13882.37390000001</v>
      </c>
      <c r="Q118" s="254">
        <f t="shared" si="57"/>
        <v>-15.289417159965055</v>
      </c>
      <c r="R118" s="252">
        <f>R8+R18+R26+R35+R36+R41+R47+R53+R58+R63+R67+R73+R81+R82+R87+R91+R96+R104+R105+R106+R111+R117+R80</f>
        <v>79589.903760000001</v>
      </c>
      <c r="S118" s="252">
        <f>S8+S18+S26+S35+S36+S41+S47+S53+S58+S63+S67+S73+S81+S82+S87+S91+S96+S104+S105+S106+S111+S117+S80</f>
        <v>93349.462599999999</v>
      </c>
      <c r="T118" s="252">
        <f>T8+T18+T26+T35+T36+T41+T47+T53+T58+T63+T67+T73+T81+T82+T87+T91+T96+T104+T105+T106+T111+T117+T80</f>
        <v>80036.3894</v>
      </c>
      <c r="U118" s="252">
        <f>U8+U18+U26+U35+U36+U41+U47+U53+U58+U63+U67+U73+U81+U82+U87+U91+U96+U104+U105+U106+U111+U117+U80</f>
        <v>13313.073199999997</v>
      </c>
      <c r="V118" s="252">
        <f>V8+V18+V26+V35+V36+V41+V47+V53+V58+V63+V67+V73+V81+V82+V87+V91+V96+V104+V105+V106+V111+V117+V80</f>
        <v>-13759.558839999996</v>
      </c>
      <c r="W118" s="255">
        <f>R118/S118*100-100</f>
        <v>-14.739837227515011</v>
      </c>
      <c r="X118" s="90">
        <f>X8+X18+X26+X35+X36+X41+X47+X53+X58+X63+X67+X73+X81+X82+X87+X91+X96+X104+X105+X106+X111+X117</f>
        <v>98695.7935</v>
      </c>
      <c r="Y118" s="89">
        <f>Y8+Y18+Y26+Y35+Y36+Y41+Y47+Y53+Y58+Y63+Y67+Y73+Y81+Y82+Y87+Y91+Y96+Y104+Y105+Y106+Y111+Y117</f>
        <v>102441.6075</v>
      </c>
    </row>
    <row r="119" spans="1:25" ht="13.8" hidden="1" thickTop="1" x14ac:dyDescent="0.25">
      <c r="A119" s="212" t="s">
        <v>264</v>
      </c>
      <c r="L119" s="256">
        <f>135.8766+18.226+2845.4224+10.9559+224.627+12.7167+444.4174+36.6211+541.0829+143.586+112.1319</f>
        <v>4525.6639000000005</v>
      </c>
      <c r="R119" s="256">
        <f>132.9944+18.226+2910.1286+10.9559+219.8711+12.4403+454.4565+36.6211+550.8173+139.6993+112.1164</f>
        <v>4598.3269</v>
      </c>
      <c r="T119" s="257">
        <f t="shared" ref="T119:T124" si="73">T9+T19+T27+T36+T37+T42+T48+T54+T59+T64+T68+T74+T82+T83+T88+T92+T97+T105+T106+T107+T112+T118+T81</f>
        <v>113843.04549999999</v>
      </c>
    </row>
    <row r="120" spans="1:25" ht="13.8" hidden="1" thickTop="1" x14ac:dyDescent="0.25">
      <c r="A120" s="212" t="s">
        <v>265</v>
      </c>
      <c r="L120" s="258">
        <f>L118+L119</f>
        <v>81440.563399999999</v>
      </c>
      <c r="R120" s="258">
        <f>R118+R119</f>
        <v>84188.230660000001</v>
      </c>
      <c r="T120" s="259">
        <f t="shared" si="73"/>
        <v>137453.38209999999</v>
      </c>
      <c r="X120" s="260">
        <f>X118-V124-V125</f>
        <v>98627.209499999997</v>
      </c>
      <c r="Y120" s="260">
        <f>Y118-W125</f>
        <v>102441.6075</v>
      </c>
    </row>
    <row r="121" spans="1:25" ht="13.8" hidden="1" thickTop="1" x14ac:dyDescent="0.25">
      <c r="T121" s="259">
        <f t="shared" si="73"/>
        <v>153450.7273</v>
      </c>
    </row>
    <row r="122" spans="1:25" ht="13.8" hidden="1" thickTop="1" x14ac:dyDescent="0.25">
      <c r="T122" s="259">
        <f t="shared" si="73"/>
        <v>167768.09940000001</v>
      </c>
    </row>
    <row r="123" spans="1:25" ht="13.8" hidden="1" thickTop="1" x14ac:dyDescent="0.25">
      <c r="T123" s="259">
        <f t="shared" si="73"/>
        <v>191454.0331</v>
      </c>
    </row>
    <row r="124" spans="1:25" ht="13.8" hidden="1" thickTop="1" x14ac:dyDescent="0.25">
      <c r="T124" s="259">
        <f t="shared" si="73"/>
        <v>202729.72500000001</v>
      </c>
      <c r="V124" s="212">
        <v>67.784000000000006</v>
      </c>
    </row>
    <row r="125" spans="1:25" ht="13.8" hidden="1" thickTop="1" x14ac:dyDescent="0.25">
      <c r="T125" s="259">
        <f>T15+T25+T33+T42+T43+T48+T54+T60+T65+T70+T74+T80+T88+T89+T94+T98+T104+T111+T112+T113+T118+T124+T87</f>
        <v>297354.85340000002</v>
      </c>
      <c r="V125" s="212">
        <v>0.8</v>
      </c>
    </row>
    <row r="126" spans="1:25" ht="13.8" hidden="1" thickTop="1" x14ac:dyDescent="0.25">
      <c r="T126" s="259">
        <f>T16+T26+T34+T43+T44+T49+T55+T61+T66+T71+T75+T81+T89+T90+T95+T99+T105+T112+T113+T114+T119+T125+T88</f>
        <v>424777.29270000005</v>
      </c>
    </row>
    <row r="127" spans="1:25" ht="13.8" hidden="1" thickTop="1" x14ac:dyDescent="0.25">
      <c r="S127" s="213"/>
      <c r="T127" s="213"/>
      <c r="U127" s="213"/>
      <c r="V127" s="213"/>
      <c r="W127" s="213"/>
    </row>
    <row r="128" spans="1:25" ht="13.8" hidden="1" thickTop="1" x14ac:dyDescent="0.25">
      <c r="A128" s="261" t="s">
        <v>563</v>
      </c>
      <c r="B128" s="261"/>
      <c r="C128" s="262"/>
      <c r="D128" s="262"/>
      <c r="E128" s="262"/>
      <c r="F128" s="263">
        <f>(15285589.1+21976032.3+11654524.2+1740140.9+967533.5+663770.6+1061678.2+159900+1647714.3+298214.7+948061.9+362754.2+414918.6+3494+1164839.4+3319146.5+58737.6+5230754.1+1592701.4+105068.2+8771935.5+1974330.2+398744)/1000</f>
        <v>79800.583400000003</v>
      </c>
      <c r="G128" s="263"/>
      <c r="H128" s="263"/>
      <c r="I128" s="263"/>
      <c r="J128" s="263"/>
      <c r="K128" s="263"/>
      <c r="L128" s="263">
        <f>(14832061.9+21658614.5+11673310.4+1427471.5+990835.4+348064.4+1078585.2+180682.3+1227319.7+167070.1+644837.6+331505+383143+3494+1133235.1+3709784.1+36695.6+6856757.2+1313206+82749.7+6753756.4+1519124.1+562596.3)/1000</f>
        <v>76914.8995</v>
      </c>
      <c r="M128" s="263"/>
      <c r="N128" s="263"/>
      <c r="O128" s="263"/>
      <c r="P128" s="263"/>
      <c r="Q128" s="263"/>
      <c r="R128" s="263">
        <f>(15217736.7+22218048.6+11937152.9+1894750.3+993924.8+401117.8+1088812.3+59900+1257093.1+148954.5+581947.5+338540.2+362412.7+3494+1170519+3829528.7+36671.8+8711345+53896.2+84986.5+7545446.9+1514460.8+139169.5)/1000</f>
        <v>79589.909799999994</v>
      </c>
      <c r="S128" s="263"/>
      <c r="T128" s="263"/>
      <c r="U128" s="263"/>
      <c r="V128" s="263"/>
      <c r="W128" s="263"/>
    </row>
    <row r="129" spans="1:23" ht="13.8" hidden="1" thickTop="1" x14ac:dyDescent="0.25">
      <c r="A129" s="261" t="s">
        <v>564</v>
      </c>
      <c r="B129" s="261"/>
      <c r="C129" s="262"/>
      <c r="D129" s="262"/>
      <c r="E129" s="262"/>
      <c r="F129" s="263">
        <v>79800.583299999998</v>
      </c>
      <c r="G129" s="263">
        <v>79800.583299999998</v>
      </c>
      <c r="H129" s="263">
        <v>70474.953999999998</v>
      </c>
      <c r="I129" s="263"/>
      <c r="J129" s="263"/>
      <c r="K129" s="263"/>
      <c r="L129" s="263">
        <v>76914.8995</v>
      </c>
      <c r="M129" s="263">
        <v>90791.487999999998</v>
      </c>
      <c r="N129" s="263">
        <v>72658.249100000001</v>
      </c>
      <c r="O129" s="263"/>
      <c r="P129" s="263"/>
      <c r="Q129" s="263"/>
      <c r="R129" s="263">
        <v>79589.909799999994</v>
      </c>
      <c r="S129" s="264">
        <v>93365.583599999998</v>
      </c>
      <c r="T129" s="264">
        <v>79537.095100000006</v>
      </c>
      <c r="U129" s="264"/>
      <c r="V129" s="264"/>
      <c r="W129" s="264"/>
    </row>
    <row r="130" spans="1:23" ht="13.8" hidden="1" thickTop="1" x14ac:dyDescent="0.25">
      <c r="A130" s="261" t="s">
        <v>565</v>
      </c>
      <c r="B130" s="261"/>
      <c r="C130" s="262"/>
      <c r="D130" s="262"/>
      <c r="E130" s="262"/>
      <c r="F130" s="263">
        <f>F118-F129</f>
        <v>1.5999999886844307E-3</v>
      </c>
      <c r="G130" s="263">
        <f t="shared" ref="G130:T130" si="74">G118-G129</f>
        <v>0.6277000000118278</v>
      </c>
      <c r="H130" s="263">
        <f t="shared" si="74"/>
        <v>0.62850000002072193</v>
      </c>
      <c r="I130" s="263"/>
      <c r="J130" s="263"/>
      <c r="K130" s="263"/>
      <c r="L130" s="263">
        <f t="shared" si="74"/>
        <v>0</v>
      </c>
      <c r="M130" s="263">
        <f t="shared" si="74"/>
        <v>5.7853999999933876</v>
      </c>
      <c r="N130" s="263">
        <f t="shared" si="74"/>
        <v>0.78540000002249144</v>
      </c>
      <c r="O130" s="263"/>
      <c r="P130" s="263"/>
      <c r="Q130" s="263"/>
      <c r="R130" s="263">
        <f t="shared" si="74"/>
        <v>-6.0399999929359183E-3</v>
      </c>
      <c r="S130" s="263">
        <f t="shared" si="74"/>
        <v>-16.120999999999185</v>
      </c>
      <c r="T130" s="263">
        <f t="shared" si="74"/>
        <v>499.29429999999411</v>
      </c>
      <c r="U130" s="263"/>
      <c r="V130" s="263"/>
      <c r="W130" s="263"/>
    </row>
    <row r="131" spans="1:23" ht="13.8" thickTop="1" x14ac:dyDescent="0.25"/>
    <row r="133" spans="1:23" x14ac:dyDescent="0.25">
      <c r="M133" s="256"/>
      <c r="N133" s="256"/>
      <c r="O133" s="256"/>
    </row>
  </sheetData>
  <mergeCells count="25">
    <mergeCell ref="A3:W3"/>
    <mergeCell ref="V4:W4"/>
    <mergeCell ref="O5:O6"/>
    <mergeCell ref="A5:A6"/>
    <mergeCell ref="B5:B6"/>
    <mergeCell ref="C5:C6"/>
    <mergeCell ref="D5:D6"/>
    <mergeCell ref="E5:E6"/>
    <mergeCell ref="F5:F6"/>
    <mergeCell ref="G5:G6"/>
    <mergeCell ref="P5:Q5"/>
    <mergeCell ref="R5:R6"/>
    <mergeCell ref="S5:S6"/>
    <mergeCell ref="X4:Y4"/>
    <mergeCell ref="H5:H6"/>
    <mergeCell ref="I5:I6"/>
    <mergeCell ref="J5:K5"/>
    <mergeCell ref="L5:L6"/>
    <mergeCell ref="M5:M6"/>
    <mergeCell ref="T5:T6"/>
    <mergeCell ref="U5:U6"/>
    <mergeCell ref="V5:W5"/>
    <mergeCell ref="X5:X6"/>
    <mergeCell ref="Y5:Y6"/>
    <mergeCell ref="N5:N6"/>
  </mergeCells>
  <pageMargins left="0.39370078740157483" right="0.39370078740157483" top="0.74803149606299213" bottom="0.59055118110236227" header="0.31496062992125984" footer="0.31496062992125984"/>
  <pageSetup paperSize="9" scale="69" fitToHeight="0" orientation="landscape" r:id="rId1"/>
  <headerFooter>
    <oddFooter>&amp;C&amp;P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workbookViewId="0">
      <selection activeCell="G10" sqref="G10"/>
    </sheetView>
  </sheetViews>
  <sheetFormatPr defaultColWidth="9.109375" defaultRowHeight="13.2" x14ac:dyDescent="0.3"/>
  <cols>
    <col min="1" max="1" width="35.5546875" style="135" customWidth="1"/>
    <col min="2" max="2" width="12.33203125" style="136" customWidth="1"/>
    <col min="3" max="3" width="12.109375" style="137" customWidth="1"/>
    <col min="4" max="4" width="12.33203125" style="136" customWidth="1"/>
    <col min="5" max="5" width="11.33203125" style="136" bestFit="1" customWidth="1"/>
    <col min="6" max="6" width="6.6640625" style="136" bestFit="1" customWidth="1"/>
    <col min="7" max="8" width="12.33203125" style="136" customWidth="1"/>
    <col min="9" max="10" width="9.44140625" style="136" customWidth="1"/>
    <col min="11" max="12" width="7.5546875" style="136" customWidth="1"/>
    <col min="13" max="13" width="7.44140625" style="136" customWidth="1"/>
    <col min="14" max="14" width="17.44140625" style="136" customWidth="1"/>
    <col min="15" max="16384" width="9.109375" style="136"/>
  </cols>
  <sheetData>
    <row r="1" spans="1:13" ht="13.2" customHeight="1" x14ac:dyDescent="0.3">
      <c r="K1" s="369" t="s">
        <v>570</v>
      </c>
      <c r="L1" s="357"/>
      <c r="M1" s="357"/>
    </row>
    <row r="3" spans="1:13" s="135" customFormat="1" ht="30.75" customHeight="1" x14ac:dyDescent="0.3">
      <c r="A3" s="358" t="s">
        <v>511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</row>
    <row r="4" spans="1:13" s="135" customFormat="1" ht="13.8" thickBot="1" x14ac:dyDescent="0.35">
      <c r="A4" s="127"/>
      <c r="B4" s="127"/>
      <c r="C4" s="88"/>
      <c r="D4" s="127"/>
      <c r="E4" s="127"/>
      <c r="F4" s="127"/>
      <c r="G4" s="127"/>
      <c r="H4" s="127"/>
      <c r="I4" s="127"/>
      <c r="J4" s="127"/>
      <c r="K4" s="127"/>
    </row>
    <row r="5" spans="1:13" s="135" customFormat="1" ht="29.25" customHeight="1" thickTop="1" x14ac:dyDescent="0.3">
      <c r="A5" s="359" t="s">
        <v>327</v>
      </c>
      <c r="B5" s="362" t="s">
        <v>326</v>
      </c>
      <c r="C5" s="362"/>
      <c r="D5" s="362"/>
      <c r="E5" s="362"/>
      <c r="F5" s="362"/>
      <c r="G5" s="362"/>
      <c r="H5" s="362"/>
      <c r="I5" s="362" t="s">
        <v>266</v>
      </c>
      <c r="J5" s="362"/>
      <c r="K5" s="362"/>
      <c r="L5" s="362"/>
      <c r="M5" s="363"/>
    </row>
    <row r="6" spans="1:13" s="138" customFormat="1" ht="38.4" customHeight="1" x14ac:dyDescent="0.3">
      <c r="A6" s="360"/>
      <c r="B6" s="353" t="s">
        <v>518</v>
      </c>
      <c r="C6" s="364" t="s">
        <v>519</v>
      </c>
      <c r="D6" s="353" t="s">
        <v>324</v>
      </c>
      <c r="E6" s="366" t="s">
        <v>523</v>
      </c>
      <c r="F6" s="367"/>
      <c r="G6" s="353" t="s">
        <v>325</v>
      </c>
      <c r="H6" s="353" t="s">
        <v>510</v>
      </c>
      <c r="I6" s="351" t="s">
        <v>524</v>
      </c>
      <c r="J6" s="351" t="s">
        <v>525</v>
      </c>
      <c r="K6" s="353" t="s">
        <v>324</v>
      </c>
      <c r="L6" s="353" t="s">
        <v>325</v>
      </c>
      <c r="M6" s="355" t="s">
        <v>510</v>
      </c>
    </row>
    <row r="7" spans="1:13" s="138" customFormat="1" x14ac:dyDescent="0.3">
      <c r="A7" s="361"/>
      <c r="B7" s="354"/>
      <c r="C7" s="365"/>
      <c r="D7" s="354"/>
      <c r="E7" s="139" t="s">
        <v>526</v>
      </c>
      <c r="F7" s="139" t="s">
        <v>13</v>
      </c>
      <c r="G7" s="354"/>
      <c r="H7" s="354"/>
      <c r="I7" s="352"/>
      <c r="J7" s="352"/>
      <c r="K7" s="354"/>
      <c r="L7" s="354"/>
      <c r="M7" s="356"/>
    </row>
    <row r="8" spans="1:13" s="144" customFormat="1" x14ac:dyDescent="0.3">
      <c r="A8" s="140" t="s">
        <v>19</v>
      </c>
      <c r="B8" s="141">
        <v>1</v>
      </c>
      <c r="C8" s="142">
        <v>2</v>
      </c>
      <c r="D8" s="141">
        <v>3</v>
      </c>
      <c r="E8" s="142" t="s">
        <v>527</v>
      </c>
      <c r="F8" s="142" t="s">
        <v>528</v>
      </c>
      <c r="G8" s="141">
        <v>6</v>
      </c>
      <c r="H8" s="141">
        <v>7</v>
      </c>
      <c r="I8" s="141">
        <v>8</v>
      </c>
      <c r="J8" s="141">
        <v>9</v>
      </c>
      <c r="K8" s="141">
        <v>10</v>
      </c>
      <c r="L8" s="141">
        <v>11</v>
      </c>
      <c r="M8" s="143">
        <v>12</v>
      </c>
    </row>
    <row r="9" spans="1:13" ht="26.4" x14ac:dyDescent="0.3">
      <c r="A9" s="145" t="s">
        <v>267</v>
      </c>
      <c r="B9" s="146">
        <v>9476.2739999999994</v>
      </c>
      <c r="C9" s="147">
        <v>9849.6</v>
      </c>
      <c r="D9" s="146">
        <v>9922.2999999999993</v>
      </c>
      <c r="E9" s="147">
        <f>D9-C9</f>
        <v>72.699999999998909</v>
      </c>
      <c r="F9" s="147">
        <f t="shared" ref="F9:F26" si="0">+D9/C9*100-100</f>
        <v>0.7381010396361205</v>
      </c>
      <c r="G9" s="146">
        <v>10350.6</v>
      </c>
      <c r="H9" s="146">
        <v>10738.9</v>
      </c>
      <c r="I9" s="148">
        <v>2</v>
      </c>
      <c r="J9" s="148">
        <v>2</v>
      </c>
      <c r="K9" s="148">
        <v>2</v>
      </c>
      <c r="L9" s="148">
        <v>2</v>
      </c>
      <c r="M9" s="149">
        <v>2</v>
      </c>
    </row>
    <row r="10" spans="1:13" ht="26.4" x14ac:dyDescent="0.3">
      <c r="A10" s="145" t="s">
        <v>268</v>
      </c>
      <c r="B10" s="146">
        <v>313071.62857</v>
      </c>
      <c r="C10" s="147">
        <v>392708.70400000003</v>
      </c>
      <c r="D10" s="146">
        <v>428889.3</v>
      </c>
      <c r="E10" s="147">
        <f t="shared" ref="E10:E25" si="1">D10-C10</f>
        <v>36180.595999999961</v>
      </c>
      <c r="F10" s="147">
        <f t="shared" si="0"/>
        <v>9.2130873676790088</v>
      </c>
      <c r="G10" s="146">
        <v>409697.30000000005</v>
      </c>
      <c r="H10" s="146">
        <v>417092</v>
      </c>
      <c r="I10" s="148">
        <v>2</v>
      </c>
      <c r="J10" s="148">
        <v>2</v>
      </c>
      <c r="K10" s="148">
        <v>2</v>
      </c>
      <c r="L10" s="148">
        <v>2</v>
      </c>
      <c r="M10" s="149">
        <v>2</v>
      </c>
    </row>
    <row r="11" spans="1:13" x14ac:dyDescent="0.3">
      <c r="A11" s="145" t="s">
        <v>269</v>
      </c>
      <c r="B11" s="146">
        <v>2896655.6592399999</v>
      </c>
      <c r="C11" s="147">
        <v>3475875.5770100001</v>
      </c>
      <c r="D11" s="146">
        <v>4074362.6</v>
      </c>
      <c r="E11" s="147">
        <f t="shared" si="1"/>
        <v>598487.02298999997</v>
      </c>
      <c r="F11" s="147">
        <f t="shared" si="0"/>
        <v>17.218309738947198</v>
      </c>
      <c r="G11" s="146">
        <v>4170254.8899999997</v>
      </c>
      <c r="H11" s="146">
        <v>4316463.09</v>
      </c>
      <c r="I11" s="148">
        <v>63</v>
      </c>
      <c r="J11" s="150">
        <v>62</v>
      </c>
      <c r="K11" s="150">
        <v>62</v>
      </c>
      <c r="L11" s="128">
        <v>62</v>
      </c>
      <c r="M11" s="129">
        <v>62</v>
      </c>
    </row>
    <row r="12" spans="1:13" ht="26.4" x14ac:dyDescent="0.3">
      <c r="A12" s="151" t="s">
        <v>270</v>
      </c>
      <c r="B12" s="146">
        <v>3342.721</v>
      </c>
      <c r="C12" s="147">
        <v>4201.8999999999996</v>
      </c>
      <c r="D12" s="146">
        <v>4573.3999999999996</v>
      </c>
      <c r="E12" s="147">
        <f t="shared" si="1"/>
        <v>371.5</v>
      </c>
      <c r="F12" s="147">
        <f t="shared" si="0"/>
        <v>8.8412384873509637</v>
      </c>
      <c r="G12" s="146">
        <v>4791.8999999999996</v>
      </c>
      <c r="H12" s="146">
        <v>5074.3999999999996</v>
      </c>
      <c r="I12" s="148">
        <v>1</v>
      </c>
      <c r="J12" s="148">
        <v>1</v>
      </c>
      <c r="K12" s="150">
        <v>1</v>
      </c>
      <c r="L12" s="150">
        <v>1</v>
      </c>
      <c r="M12" s="152">
        <v>1</v>
      </c>
    </row>
    <row r="13" spans="1:13" x14ac:dyDescent="0.3">
      <c r="A13" s="145" t="s">
        <v>271</v>
      </c>
      <c r="B13" s="146">
        <v>801512.31946999999</v>
      </c>
      <c r="C13" s="147">
        <v>1000341.0454000001</v>
      </c>
      <c r="D13" s="146">
        <v>1082449.2</v>
      </c>
      <c r="E13" s="147">
        <f t="shared" si="1"/>
        <v>82108.154599999893</v>
      </c>
      <c r="F13" s="147">
        <f t="shared" si="0"/>
        <v>8.2080161538475807</v>
      </c>
      <c r="G13" s="146">
        <v>1125861.7999999998</v>
      </c>
      <c r="H13" s="146">
        <v>1194744.1000000001</v>
      </c>
      <c r="I13" s="148">
        <v>20</v>
      </c>
      <c r="J13" s="148">
        <v>20</v>
      </c>
      <c r="K13" s="148">
        <v>20</v>
      </c>
      <c r="L13" s="148">
        <v>20</v>
      </c>
      <c r="M13" s="149">
        <v>20</v>
      </c>
    </row>
    <row r="14" spans="1:13" ht="26.4" x14ac:dyDescent="0.3">
      <c r="A14" s="145" t="s">
        <v>272</v>
      </c>
      <c r="B14" s="146">
        <v>308659.43347000005</v>
      </c>
      <c r="C14" s="147">
        <v>402446.4</v>
      </c>
      <c r="D14" s="146">
        <v>428570.3</v>
      </c>
      <c r="E14" s="147">
        <f t="shared" si="1"/>
        <v>26123.899999999965</v>
      </c>
      <c r="F14" s="147">
        <f t="shared" si="0"/>
        <v>6.4912743659776737</v>
      </c>
      <c r="G14" s="146">
        <v>392036.30800000002</v>
      </c>
      <c r="H14" s="146">
        <v>403547.69900000002</v>
      </c>
      <c r="I14" s="148">
        <v>3</v>
      </c>
      <c r="J14" s="148">
        <v>3</v>
      </c>
      <c r="K14" s="150">
        <v>3</v>
      </c>
      <c r="L14" s="128">
        <v>3</v>
      </c>
      <c r="M14" s="129">
        <v>3</v>
      </c>
    </row>
    <row r="15" spans="1:13" x14ac:dyDescent="0.3">
      <c r="A15" s="145" t="s">
        <v>273</v>
      </c>
      <c r="B15" s="146">
        <v>3364737.4179999996</v>
      </c>
      <c r="C15" s="147">
        <v>3779232.4901100001</v>
      </c>
      <c r="D15" s="146">
        <v>3897144.3229280002</v>
      </c>
      <c r="E15" s="147">
        <f t="shared" si="1"/>
        <v>117911.83281800011</v>
      </c>
      <c r="F15" s="147">
        <f t="shared" si="0"/>
        <v>3.1199941556008497</v>
      </c>
      <c r="G15" s="146">
        <v>4058156.8200897761</v>
      </c>
      <c r="H15" s="146">
        <v>4246299.5228782659</v>
      </c>
      <c r="I15" s="148">
        <v>88</v>
      </c>
      <c r="J15" s="148">
        <v>88</v>
      </c>
      <c r="K15" s="148">
        <v>88</v>
      </c>
      <c r="L15" s="148">
        <v>88</v>
      </c>
      <c r="M15" s="149">
        <v>88</v>
      </c>
    </row>
    <row r="16" spans="1:13" ht="26.4" x14ac:dyDescent="0.3">
      <c r="A16" s="145" t="s">
        <v>274</v>
      </c>
      <c r="B16" s="146">
        <v>614.6</v>
      </c>
      <c r="C16" s="147">
        <v>614.6</v>
      </c>
      <c r="D16" s="146">
        <v>614.6</v>
      </c>
      <c r="E16" s="147">
        <f t="shared" si="1"/>
        <v>0</v>
      </c>
      <c r="F16" s="147">
        <f t="shared" si="0"/>
        <v>0</v>
      </c>
      <c r="G16" s="146">
        <v>614.6</v>
      </c>
      <c r="H16" s="146">
        <v>614.6</v>
      </c>
      <c r="I16" s="148">
        <v>1</v>
      </c>
      <c r="J16" s="148">
        <v>1</v>
      </c>
      <c r="K16" s="148">
        <v>1</v>
      </c>
      <c r="L16" s="148">
        <v>1</v>
      </c>
      <c r="M16" s="149">
        <v>1</v>
      </c>
    </row>
    <row r="17" spans="1:13" x14ac:dyDescent="0.3">
      <c r="A17" s="145" t="s">
        <v>520</v>
      </c>
      <c r="B17" s="146">
        <v>48905.8</v>
      </c>
      <c r="C17" s="147">
        <v>55560.6</v>
      </c>
      <c r="D17" s="146">
        <v>60156.17</v>
      </c>
      <c r="E17" s="147">
        <f t="shared" si="1"/>
        <v>4595.57</v>
      </c>
      <c r="F17" s="147">
        <f t="shared" si="0"/>
        <v>8.2712749682328734</v>
      </c>
      <c r="G17" s="146">
        <v>76372.399999999994</v>
      </c>
      <c r="H17" s="146">
        <v>77867</v>
      </c>
      <c r="I17" s="148">
        <v>1</v>
      </c>
      <c r="J17" s="148">
        <v>1</v>
      </c>
      <c r="K17" s="150">
        <v>1</v>
      </c>
      <c r="L17" s="150">
        <v>1</v>
      </c>
      <c r="M17" s="152">
        <v>1</v>
      </c>
    </row>
    <row r="18" spans="1:13" ht="26.4" x14ac:dyDescent="0.3">
      <c r="A18" s="145" t="s">
        <v>275</v>
      </c>
      <c r="B18" s="146">
        <v>5632.2005799999997</v>
      </c>
      <c r="C18" s="147">
        <v>42915.6</v>
      </c>
      <c r="D18" s="146">
        <v>0</v>
      </c>
      <c r="E18" s="147">
        <f t="shared" si="1"/>
        <v>-42915.6</v>
      </c>
      <c r="F18" s="147">
        <f t="shared" si="0"/>
        <v>-100</v>
      </c>
      <c r="G18" s="146">
        <v>0</v>
      </c>
      <c r="H18" s="146">
        <v>0</v>
      </c>
      <c r="I18" s="148">
        <v>1</v>
      </c>
      <c r="J18" s="148">
        <v>1</v>
      </c>
      <c r="K18" s="148">
        <v>0</v>
      </c>
      <c r="L18" s="148">
        <v>0</v>
      </c>
      <c r="M18" s="149">
        <v>0</v>
      </c>
    </row>
    <row r="19" spans="1:13" ht="26.4" x14ac:dyDescent="0.3">
      <c r="A19" s="145" t="s">
        <v>276</v>
      </c>
      <c r="B19" s="146">
        <v>1746481.0673199999</v>
      </c>
      <c r="C19" s="147">
        <v>2168677.4384700004</v>
      </c>
      <c r="D19" s="146">
        <v>2296163.2999999998</v>
      </c>
      <c r="E19" s="147">
        <f t="shared" si="1"/>
        <v>127485.86152999941</v>
      </c>
      <c r="F19" s="147">
        <f t="shared" si="0"/>
        <v>5.8785072998195744</v>
      </c>
      <c r="G19" s="146">
        <v>2290873.7999999998</v>
      </c>
      <c r="H19" s="146">
        <v>2410541.6999999997</v>
      </c>
      <c r="I19" s="148">
        <v>56</v>
      </c>
      <c r="J19" s="148">
        <v>55</v>
      </c>
      <c r="K19" s="148">
        <v>55</v>
      </c>
      <c r="L19" s="148">
        <v>55</v>
      </c>
      <c r="M19" s="149">
        <v>55</v>
      </c>
    </row>
    <row r="20" spans="1:13" ht="26.4" x14ac:dyDescent="0.3">
      <c r="A20" s="145" t="s">
        <v>521</v>
      </c>
      <c r="B20" s="146">
        <v>20421.900000000001</v>
      </c>
      <c r="C20" s="147">
        <v>30107.599999999999</v>
      </c>
      <c r="D20" s="146">
        <v>38739.800000000003</v>
      </c>
      <c r="E20" s="147">
        <f t="shared" si="1"/>
        <v>8632.2000000000044</v>
      </c>
      <c r="F20" s="147">
        <f t="shared" si="0"/>
        <v>28.671166084310954</v>
      </c>
      <c r="G20" s="146">
        <v>25906.799999999999</v>
      </c>
      <c r="H20" s="146">
        <v>26204</v>
      </c>
      <c r="I20" s="148">
        <v>1</v>
      </c>
      <c r="J20" s="148">
        <v>1</v>
      </c>
      <c r="K20" s="148">
        <v>1</v>
      </c>
      <c r="L20" s="148">
        <v>1</v>
      </c>
      <c r="M20" s="149">
        <v>1</v>
      </c>
    </row>
    <row r="21" spans="1:13" ht="39.6" x14ac:dyDescent="0.3">
      <c r="A21" s="145" t="s">
        <v>277</v>
      </c>
      <c r="B21" s="146">
        <v>146565.1</v>
      </c>
      <c r="C21" s="147">
        <v>171907</v>
      </c>
      <c r="D21" s="146">
        <v>193080.4</v>
      </c>
      <c r="E21" s="147">
        <f t="shared" si="1"/>
        <v>21173.399999999994</v>
      </c>
      <c r="F21" s="147">
        <f t="shared" si="0"/>
        <v>12.316775931172089</v>
      </c>
      <c r="G21" s="146">
        <v>179052.79999999999</v>
      </c>
      <c r="H21" s="146">
        <v>184885.2</v>
      </c>
      <c r="I21" s="148">
        <v>2</v>
      </c>
      <c r="J21" s="148">
        <v>2</v>
      </c>
      <c r="K21" s="128">
        <v>2</v>
      </c>
      <c r="L21" s="128">
        <v>2</v>
      </c>
      <c r="M21" s="129">
        <v>2</v>
      </c>
    </row>
    <row r="22" spans="1:13" x14ac:dyDescent="0.3">
      <c r="A22" s="145" t="s">
        <v>522</v>
      </c>
      <c r="B22" s="146">
        <v>281600.8</v>
      </c>
      <c r="C22" s="147">
        <v>327337.2</v>
      </c>
      <c r="D22" s="146">
        <v>364385.58</v>
      </c>
      <c r="E22" s="147">
        <f t="shared" si="1"/>
        <v>37048.380000000005</v>
      </c>
      <c r="F22" s="147">
        <f t="shared" si="0"/>
        <v>11.318108665926147</v>
      </c>
      <c r="G22" s="146">
        <v>349274.81499999994</v>
      </c>
      <c r="H22" s="146">
        <v>357302.68399999995</v>
      </c>
      <c r="I22" s="148">
        <v>3</v>
      </c>
      <c r="J22" s="148">
        <v>3</v>
      </c>
      <c r="K22" s="148">
        <v>3</v>
      </c>
      <c r="L22" s="148">
        <v>3</v>
      </c>
      <c r="M22" s="149">
        <v>3</v>
      </c>
    </row>
    <row r="23" spans="1:13" ht="26.4" x14ac:dyDescent="0.3">
      <c r="A23" s="145" t="s">
        <v>278</v>
      </c>
      <c r="B23" s="146">
        <v>85070.399999999994</v>
      </c>
      <c r="C23" s="147">
        <v>104921.8</v>
      </c>
      <c r="D23" s="146">
        <v>126507.6</v>
      </c>
      <c r="E23" s="147">
        <f t="shared" si="1"/>
        <v>21585.800000000003</v>
      </c>
      <c r="F23" s="147">
        <f t="shared" si="0"/>
        <v>20.573226917570992</v>
      </c>
      <c r="G23" s="146">
        <v>111980.99999999999</v>
      </c>
      <c r="H23" s="146">
        <v>115399.4</v>
      </c>
      <c r="I23" s="148">
        <v>24</v>
      </c>
      <c r="J23" s="150">
        <v>24</v>
      </c>
      <c r="K23" s="148">
        <v>24</v>
      </c>
      <c r="L23" s="148">
        <v>24</v>
      </c>
      <c r="M23" s="149">
        <v>24</v>
      </c>
    </row>
    <row r="24" spans="1:13" x14ac:dyDescent="0.3">
      <c r="A24" s="145" t="s">
        <v>279</v>
      </c>
      <c r="B24" s="146">
        <v>8895.4912399999994</v>
      </c>
      <c r="C24" s="147">
        <v>15443.4</v>
      </c>
      <c r="D24" s="146">
        <v>19502.3</v>
      </c>
      <c r="E24" s="147">
        <f t="shared" si="1"/>
        <v>4058.8999999999996</v>
      </c>
      <c r="F24" s="147">
        <f t="shared" si="0"/>
        <v>26.282424854630463</v>
      </c>
      <c r="G24" s="146">
        <v>16481.7</v>
      </c>
      <c r="H24" s="146">
        <v>17041.599999999999</v>
      </c>
      <c r="I24" s="148">
        <v>1</v>
      </c>
      <c r="J24" s="148">
        <v>1</v>
      </c>
      <c r="K24" s="148">
        <v>1</v>
      </c>
      <c r="L24" s="148">
        <v>1</v>
      </c>
      <c r="M24" s="149">
        <v>1</v>
      </c>
    </row>
    <row r="25" spans="1:13" ht="26.4" x14ac:dyDescent="0.3">
      <c r="A25" s="145" t="s">
        <v>280</v>
      </c>
      <c r="B25" s="146">
        <v>144106.31200000001</v>
      </c>
      <c r="C25" s="147">
        <v>166442.4</v>
      </c>
      <c r="D25" s="146">
        <v>171173.6</v>
      </c>
      <c r="E25" s="147">
        <f t="shared" si="1"/>
        <v>4731.2000000000116</v>
      </c>
      <c r="F25" s="147">
        <f t="shared" si="0"/>
        <v>2.8425449284557516</v>
      </c>
      <c r="G25" s="146">
        <v>163379.80000000002</v>
      </c>
      <c r="H25" s="146">
        <v>169338.2</v>
      </c>
      <c r="I25" s="148">
        <v>23</v>
      </c>
      <c r="J25" s="148">
        <v>23</v>
      </c>
      <c r="K25" s="148">
        <v>23</v>
      </c>
      <c r="L25" s="150">
        <v>23</v>
      </c>
      <c r="M25" s="152">
        <v>23</v>
      </c>
    </row>
    <row r="26" spans="1:13" ht="13.8" thickBot="1" x14ac:dyDescent="0.35">
      <c r="A26" s="130" t="s">
        <v>67</v>
      </c>
      <c r="B26" s="131">
        <f t="shared" ref="B26:M26" si="2">SUM(B9:B25)</f>
        <v>10185749.124890001</v>
      </c>
      <c r="C26" s="131">
        <f t="shared" si="2"/>
        <v>12148583.35499</v>
      </c>
      <c r="D26" s="131">
        <f t="shared" si="2"/>
        <v>13196234.772928003</v>
      </c>
      <c r="E26" s="131">
        <f t="shared" si="2"/>
        <v>1047651.4179379994</v>
      </c>
      <c r="F26" s="131">
        <f t="shared" si="0"/>
        <v>8.6236509008902971</v>
      </c>
      <c r="G26" s="131">
        <f t="shared" si="2"/>
        <v>13385087.333089778</v>
      </c>
      <c r="H26" s="131">
        <f t="shared" si="2"/>
        <v>13953154.095878264</v>
      </c>
      <c r="I26" s="132">
        <f t="shared" si="2"/>
        <v>292</v>
      </c>
      <c r="J26" s="132">
        <f t="shared" si="2"/>
        <v>290</v>
      </c>
      <c r="K26" s="132">
        <f t="shared" si="2"/>
        <v>289</v>
      </c>
      <c r="L26" s="132">
        <f t="shared" si="2"/>
        <v>289</v>
      </c>
      <c r="M26" s="133">
        <f t="shared" si="2"/>
        <v>289</v>
      </c>
    </row>
    <row r="27" spans="1:13" ht="13.8" thickTop="1" x14ac:dyDescent="0.3">
      <c r="C27" s="136"/>
      <c r="D27" s="134"/>
      <c r="E27" s="134"/>
      <c r="F27" s="134"/>
    </row>
  </sheetData>
  <mergeCells count="16">
    <mergeCell ref="J6:J7"/>
    <mergeCell ref="K6:K7"/>
    <mergeCell ref="L6:L7"/>
    <mergeCell ref="M6:M7"/>
    <mergeCell ref="K1:M1"/>
    <mergeCell ref="A3:M3"/>
    <mergeCell ref="A5:A7"/>
    <mergeCell ref="B5:H5"/>
    <mergeCell ref="I5:M5"/>
    <mergeCell ref="B6:B7"/>
    <mergeCell ref="C6:C7"/>
    <mergeCell ref="D6:D7"/>
    <mergeCell ref="E6:F6"/>
    <mergeCell ref="G6:G7"/>
    <mergeCell ref="H6:H7"/>
    <mergeCell ref="I6:I7"/>
  </mergeCells>
  <pageMargins left="0.39370078740157483" right="0.39370078740157483" top="0.59055118110236227" bottom="0.59055118110236227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9</vt:i4>
      </vt:variant>
    </vt:vector>
  </HeadingPairs>
  <TitlesOfParts>
    <vt:vector size="16" baseType="lpstr">
      <vt:lpstr>1_СЭР</vt:lpstr>
      <vt:lpstr>2_Доходы ОБ</vt:lpstr>
      <vt:lpstr>3_Расходы ГРБС</vt:lpstr>
      <vt:lpstr>4_Функц.</vt:lpstr>
      <vt:lpstr>5_Госорганы</vt:lpstr>
      <vt:lpstr>6_Программы</vt:lpstr>
      <vt:lpstr>7_Учреждения</vt:lpstr>
      <vt:lpstr>'1_СЭР'!Заголовки_для_печати</vt:lpstr>
      <vt:lpstr>'2_Доходы ОБ'!Заголовки_для_печати</vt:lpstr>
      <vt:lpstr>'3_Расходы ГРБС'!Заголовки_для_печати</vt:lpstr>
      <vt:lpstr>'4_Функц.'!Заголовки_для_печати</vt:lpstr>
      <vt:lpstr>'5_Госорганы'!Заголовки_для_печати</vt:lpstr>
      <vt:lpstr>'6_Программы'!Заголовки_для_печати</vt:lpstr>
      <vt:lpstr>'1_СЭР'!Область_печати</vt:lpstr>
      <vt:lpstr>'5_Госорганы'!Область_печати</vt:lpstr>
      <vt:lpstr>'6_Программы'!Область_печати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Пономарёва</dc:creator>
  <cp:lastModifiedBy>Калинин С.Ф.</cp:lastModifiedBy>
  <cp:lastPrinted>2018-11-02T11:42:26Z</cp:lastPrinted>
  <dcterms:created xsi:type="dcterms:W3CDTF">2013-10-21T15:19:43Z</dcterms:created>
  <dcterms:modified xsi:type="dcterms:W3CDTF">2018-11-02T12:07:45Z</dcterms:modified>
</cp:coreProperties>
</file>