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\2020 год\Проект бюджета\Заключение\"/>
    </mc:Choice>
  </mc:AlternateContent>
  <bookViews>
    <workbookView xWindow="0" yWindow="0" windowWidth="14090" windowHeight="12120" tabRatio="669" firstSheet="2" activeTab="6"/>
  </bookViews>
  <sheets>
    <sheet name="1_СЭР" sheetId="1" r:id="rId1"/>
    <sheet name="2_Доходы ОБ" sheetId="8" r:id="rId2"/>
    <sheet name="3_Расходы ГРБС" sheetId="9" r:id="rId3"/>
    <sheet name="4_Функц." sheetId="5" r:id="rId4"/>
    <sheet name="5_Госорганы" sheetId="4" r:id="rId5"/>
    <sheet name="6_Учреждения" sheetId="7" r:id="rId6"/>
    <sheet name="7_Программы" sheetId="6" r:id="rId7"/>
    <sheet name="8_Нацпроекты" sheetId="10" r:id="rId8"/>
  </sheets>
  <definedNames>
    <definedName name="_xlnm.Print_Titles" localSheetId="0">'1_СЭР'!$4:$5</definedName>
    <definedName name="_xlnm.Print_Titles" localSheetId="1">'2_Доходы ОБ'!$6:$7</definedName>
    <definedName name="_xlnm.Print_Titles" localSheetId="2">'3_Расходы ГРБС'!$6:$7</definedName>
    <definedName name="_xlnm.Print_Titles" localSheetId="3">'4_Функц.'!$6:$7</definedName>
    <definedName name="_xlnm.Print_Titles" localSheetId="4">'5_Госорганы'!$5:$7</definedName>
    <definedName name="_xlnm.Print_Titles" localSheetId="6">'7_Программы'!$5:$6</definedName>
    <definedName name="_xlnm.Print_Titles" localSheetId="7">'8_Нацпроекты'!$4:$5</definedName>
    <definedName name="_xlnm.Print_Area" localSheetId="0">'1_СЭР'!$A$1:$Q$38</definedName>
    <definedName name="_xlnm.Print_Area" localSheetId="2">'3_Расходы ГРБС'!$A$1:$J$40</definedName>
    <definedName name="_xlnm.Print_Area" localSheetId="3">'4_Функц.'!$A$1:$J$93</definedName>
    <definedName name="_xlnm.Print_Area" localSheetId="4">'5_Госорганы'!$A$1:$W$39</definedName>
    <definedName name="_xlnm.Print_Area" localSheetId="5">'6_Учреждения'!$A$1:$O$26</definedName>
    <definedName name="_xlnm.Print_Area" localSheetId="6">'7_Программы'!$A$1:$T$121</definedName>
  </definedNames>
  <calcPr calcId="152511"/>
</workbook>
</file>

<file path=xl/calcChain.xml><?xml version="1.0" encoding="utf-8"?>
<calcChain xmlns="http://schemas.openxmlformats.org/spreadsheetml/2006/main">
  <c r="L83" i="10" l="1"/>
  <c r="K83" i="10"/>
  <c r="J83" i="10"/>
  <c r="I83" i="10"/>
  <c r="H83" i="10"/>
  <c r="F83" i="10"/>
  <c r="E83" i="10"/>
  <c r="D83" i="10"/>
  <c r="J82" i="10"/>
  <c r="G82" i="10"/>
  <c r="G83" i="10" s="1"/>
  <c r="I77" i="10"/>
  <c r="H77" i="10"/>
  <c r="F77" i="10"/>
  <c r="E77" i="10"/>
  <c r="D77" i="10"/>
  <c r="K76" i="10"/>
  <c r="G75" i="10"/>
  <c r="L75" i="10" s="1"/>
  <c r="L74" i="10"/>
  <c r="J74" i="10"/>
  <c r="G74" i="10"/>
  <c r="K74" i="10" s="1"/>
  <c r="L73" i="10"/>
  <c r="J73" i="10"/>
  <c r="G73" i="10"/>
  <c r="K73" i="10" s="1"/>
  <c r="L72" i="10"/>
  <c r="L77" i="10" s="1"/>
  <c r="J72" i="10"/>
  <c r="J77" i="10" s="1"/>
  <c r="G72" i="10"/>
  <c r="G77" i="10" s="1"/>
  <c r="I70" i="10"/>
  <c r="H70" i="10"/>
  <c r="E70" i="10"/>
  <c r="D70" i="10"/>
  <c r="J69" i="10"/>
  <c r="G69" i="10"/>
  <c r="L69" i="10" s="1"/>
  <c r="D69" i="10"/>
  <c r="J68" i="10"/>
  <c r="K68" i="10" s="1"/>
  <c r="G68" i="10"/>
  <c r="D68" i="10"/>
  <c r="L68" i="10" s="1"/>
  <c r="J67" i="10"/>
  <c r="K67" i="10" s="1"/>
  <c r="G67" i="10"/>
  <c r="J66" i="10"/>
  <c r="J70" i="10" s="1"/>
  <c r="I66" i="10"/>
  <c r="H66" i="10"/>
  <c r="F66" i="10"/>
  <c r="F70" i="10" s="1"/>
  <c r="E66" i="10"/>
  <c r="D66" i="10"/>
  <c r="J57" i="10"/>
  <c r="I57" i="10"/>
  <c r="H57" i="10"/>
  <c r="G57" i="10"/>
  <c r="F57" i="10"/>
  <c r="E57" i="10"/>
  <c r="D57" i="10"/>
  <c r="L52" i="10"/>
  <c r="G51" i="10"/>
  <c r="L51" i="10" s="1"/>
  <c r="L50" i="10"/>
  <c r="L57" i="10" s="1"/>
  <c r="K50" i="10"/>
  <c r="K57" i="10" s="1"/>
  <c r="G50" i="10"/>
  <c r="K48" i="10"/>
  <c r="I48" i="10"/>
  <c r="H48" i="10"/>
  <c r="F48" i="10"/>
  <c r="E48" i="10"/>
  <c r="D48" i="10"/>
  <c r="L47" i="10"/>
  <c r="J47" i="10"/>
  <c r="J48" i="10" s="1"/>
  <c r="G47" i="10"/>
  <c r="J46" i="10"/>
  <c r="G46" i="10"/>
  <c r="L46" i="10" s="1"/>
  <c r="L48" i="10" s="1"/>
  <c r="J42" i="10"/>
  <c r="I42" i="10"/>
  <c r="I7" i="10" s="1"/>
  <c r="H42" i="10"/>
  <c r="G42" i="10"/>
  <c r="F42" i="10"/>
  <c r="F7" i="10" s="1"/>
  <c r="E42" i="10"/>
  <c r="E7" i="10" s="1"/>
  <c r="D42" i="10"/>
  <c r="L41" i="10"/>
  <c r="L42" i="10" s="1"/>
  <c r="K41" i="10"/>
  <c r="K42" i="10" s="1"/>
  <c r="I37" i="10"/>
  <c r="H37" i="10"/>
  <c r="F37" i="10"/>
  <c r="E37" i="10"/>
  <c r="D37" i="10"/>
  <c r="J36" i="10"/>
  <c r="G36" i="10"/>
  <c r="L36" i="10" s="1"/>
  <c r="J35" i="10"/>
  <c r="G35" i="10"/>
  <c r="L35" i="10" s="1"/>
  <c r="J34" i="10"/>
  <c r="G34" i="10"/>
  <c r="L34" i="10" s="1"/>
  <c r="J33" i="10"/>
  <c r="G33" i="10"/>
  <c r="L33" i="10" s="1"/>
  <c r="J32" i="10"/>
  <c r="G32" i="10"/>
  <c r="L32" i="10" s="1"/>
  <c r="J31" i="10"/>
  <c r="G31" i="10"/>
  <c r="L31" i="10" s="1"/>
  <c r="J30" i="10"/>
  <c r="J37" i="10" s="1"/>
  <c r="G30" i="10"/>
  <c r="G37" i="10" s="1"/>
  <c r="I28" i="10"/>
  <c r="H28" i="10"/>
  <c r="F28" i="10"/>
  <c r="E28" i="10"/>
  <c r="L26" i="10"/>
  <c r="J26" i="10"/>
  <c r="G26" i="10"/>
  <c r="K26" i="10" s="1"/>
  <c r="L24" i="10"/>
  <c r="J24" i="10"/>
  <c r="G24" i="10"/>
  <c r="K24" i="10" s="1"/>
  <c r="L23" i="10"/>
  <c r="J23" i="10"/>
  <c r="G23" i="10"/>
  <c r="L22" i="10"/>
  <c r="J22" i="10"/>
  <c r="J28" i="10" s="1"/>
  <c r="G22" i="10"/>
  <c r="G21" i="10"/>
  <c r="G28" i="10" s="1"/>
  <c r="I19" i="10"/>
  <c r="H19" i="10"/>
  <c r="L18" i="10"/>
  <c r="J18" i="10"/>
  <c r="J19" i="10" s="1"/>
  <c r="J7" i="10" s="1"/>
  <c r="G18" i="10"/>
  <c r="L17" i="10"/>
  <c r="J17" i="10"/>
  <c r="K17" i="10" s="1"/>
  <c r="G17" i="10"/>
  <c r="L16" i="10"/>
  <c r="J16" i="10"/>
  <c r="K16" i="10" s="1"/>
  <c r="G16" i="10"/>
  <c r="L15" i="10"/>
  <c r="J15" i="10"/>
  <c r="K15" i="10" s="1"/>
  <c r="G15" i="10"/>
  <c r="L14" i="10"/>
  <c r="J14" i="10"/>
  <c r="K14" i="10" s="1"/>
  <c r="G14" i="10"/>
  <c r="J13" i="10"/>
  <c r="I13" i="10"/>
  <c r="H13" i="10"/>
  <c r="G13" i="10"/>
  <c r="L13" i="10" s="1"/>
  <c r="L19" i="10" s="1"/>
  <c r="F13" i="10"/>
  <c r="E13" i="10"/>
  <c r="D13" i="10"/>
  <c r="D19" i="10" s="1"/>
  <c r="D7" i="10" s="1"/>
  <c r="L12" i="10"/>
  <c r="K12" i="10"/>
  <c r="J12" i="10"/>
  <c r="G12" i="10"/>
  <c r="L11" i="10"/>
  <c r="K11" i="10"/>
  <c r="J11" i="10"/>
  <c r="G11" i="10"/>
  <c r="L10" i="10"/>
  <c r="K10" i="10"/>
  <c r="J10" i="10"/>
  <c r="I10" i="10"/>
  <c r="H10" i="10"/>
  <c r="G10" i="10"/>
  <c r="F10" i="10"/>
  <c r="E10" i="10"/>
  <c r="D10" i="10"/>
  <c r="L9" i="10"/>
  <c r="J9" i="10"/>
  <c r="G9" i="10"/>
  <c r="K9" i="10" s="1"/>
  <c r="H7" i="10"/>
  <c r="K13" i="10" l="1"/>
  <c r="K18" i="10"/>
  <c r="K19" i="10" s="1"/>
  <c r="G48" i="10"/>
  <c r="G66" i="10"/>
  <c r="L21" i="10"/>
  <c r="L28" i="10" s="1"/>
  <c r="K30" i="10"/>
  <c r="K31" i="10"/>
  <c r="K32" i="10"/>
  <c r="K33" i="10"/>
  <c r="K34" i="10"/>
  <c r="K35" i="10"/>
  <c r="K36" i="10"/>
  <c r="K69" i="10"/>
  <c r="L30" i="10"/>
  <c r="L37" i="10" s="1"/>
  <c r="K72" i="10"/>
  <c r="K77" i="10" s="1"/>
  <c r="B64" i="8"/>
  <c r="D9" i="8"/>
  <c r="F59" i="8"/>
  <c r="D59" i="8"/>
  <c r="H57" i="8"/>
  <c r="F57" i="8"/>
  <c r="D57" i="8"/>
  <c r="H56" i="8"/>
  <c r="F56" i="8"/>
  <c r="D56" i="8"/>
  <c r="H55" i="8"/>
  <c r="F55" i="8"/>
  <c r="D55" i="8"/>
  <c r="H54" i="8"/>
  <c r="F54" i="8"/>
  <c r="D54" i="8"/>
  <c r="H53" i="8"/>
  <c r="F53" i="8"/>
  <c r="D53" i="8"/>
  <c r="G52" i="8"/>
  <c r="H52" i="8" s="1"/>
  <c r="E52" i="8"/>
  <c r="F52" i="8" s="1"/>
  <c r="C52" i="8"/>
  <c r="D52" i="8" s="1"/>
  <c r="B52" i="8"/>
  <c r="B51" i="8"/>
  <c r="D49" i="8"/>
  <c r="H48" i="8"/>
  <c r="F48" i="8"/>
  <c r="D48" i="8"/>
  <c r="H47" i="8"/>
  <c r="F47" i="8"/>
  <c r="D47" i="8"/>
  <c r="H46" i="8"/>
  <c r="F46" i="8"/>
  <c r="D46" i="8"/>
  <c r="H45" i="8"/>
  <c r="F45" i="8"/>
  <c r="D45" i="8"/>
  <c r="H44" i="8"/>
  <c r="F44" i="8"/>
  <c r="D44" i="8"/>
  <c r="G43" i="8"/>
  <c r="H43" i="8" s="1"/>
  <c r="E43" i="8"/>
  <c r="F43" i="8" s="1"/>
  <c r="C43" i="8"/>
  <c r="D43" i="8" s="1"/>
  <c r="B43" i="8"/>
  <c r="H42" i="8"/>
  <c r="F42" i="8"/>
  <c r="D42" i="8"/>
  <c r="H41" i="8"/>
  <c r="F41" i="8"/>
  <c r="D41" i="8"/>
  <c r="H40" i="8"/>
  <c r="F40" i="8"/>
  <c r="D40" i="8"/>
  <c r="G39" i="8"/>
  <c r="H39" i="8" s="1"/>
  <c r="E39" i="8"/>
  <c r="F39" i="8" s="1"/>
  <c r="C39" i="8"/>
  <c r="D39" i="8" s="1"/>
  <c r="B39" i="8"/>
  <c r="B66" i="8" s="1"/>
  <c r="B67" i="8" s="1"/>
  <c r="H38" i="8"/>
  <c r="F38" i="8"/>
  <c r="D38" i="8"/>
  <c r="H37" i="8"/>
  <c r="F37" i="8"/>
  <c r="D37" i="8"/>
  <c r="H36" i="8"/>
  <c r="F36" i="8"/>
  <c r="D36" i="8"/>
  <c r="H34" i="8"/>
  <c r="F34" i="8"/>
  <c r="D34" i="8"/>
  <c r="H33" i="8"/>
  <c r="F33" i="8"/>
  <c r="D33" i="8"/>
  <c r="H32" i="8"/>
  <c r="F32" i="8"/>
  <c r="D32" i="8"/>
  <c r="H30" i="8"/>
  <c r="G30" i="8"/>
  <c r="F30" i="8"/>
  <c r="E30" i="8"/>
  <c r="C30" i="8"/>
  <c r="B30" i="8"/>
  <c r="D30" i="8" s="1"/>
  <c r="H29" i="8"/>
  <c r="F29" i="8"/>
  <c r="D29" i="8"/>
  <c r="H28" i="8"/>
  <c r="F28" i="8"/>
  <c r="D28" i="8"/>
  <c r="H27" i="8"/>
  <c r="F27" i="8"/>
  <c r="D27" i="8"/>
  <c r="H26" i="8"/>
  <c r="G26" i="8"/>
  <c r="F26" i="8"/>
  <c r="E26" i="8"/>
  <c r="C26" i="8"/>
  <c r="B26" i="8"/>
  <c r="D26" i="8" s="1"/>
  <c r="H25" i="8"/>
  <c r="F25" i="8"/>
  <c r="D25" i="8"/>
  <c r="H24" i="8"/>
  <c r="F24" i="8"/>
  <c r="D24" i="8"/>
  <c r="H22" i="8"/>
  <c r="F22" i="8"/>
  <c r="D22" i="8"/>
  <c r="H21" i="8"/>
  <c r="F21" i="8"/>
  <c r="D21" i="8"/>
  <c r="G20" i="8"/>
  <c r="H20" i="8" s="1"/>
  <c r="E20" i="8"/>
  <c r="F20" i="8" s="1"/>
  <c r="C20" i="8"/>
  <c r="D20" i="8" s="1"/>
  <c r="B20" i="8"/>
  <c r="H19" i="8"/>
  <c r="F19" i="8"/>
  <c r="D19" i="8"/>
  <c r="G18" i="8"/>
  <c r="H18" i="8" s="1"/>
  <c r="E18" i="8"/>
  <c r="F18" i="8" s="1"/>
  <c r="C18" i="8"/>
  <c r="D18" i="8" s="1"/>
  <c r="B18" i="8"/>
  <c r="H17" i="8"/>
  <c r="F17" i="8"/>
  <c r="D17" i="8"/>
  <c r="H16" i="8"/>
  <c r="F16" i="8"/>
  <c r="D16" i="8"/>
  <c r="H15" i="8"/>
  <c r="F15" i="8"/>
  <c r="D15" i="8"/>
  <c r="H14" i="8"/>
  <c r="F14" i="8"/>
  <c r="D14" i="8"/>
  <c r="H13" i="8"/>
  <c r="F13" i="8"/>
  <c r="D13" i="8"/>
  <c r="H12" i="8"/>
  <c r="F12" i="8"/>
  <c r="D12" i="8"/>
  <c r="H11" i="8"/>
  <c r="G11" i="8"/>
  <c r="G64" i="8" s="1"/>
  <c r="E11" i="8"/>
  <c r="F11" i="8" s="1"/>
  <c r="D11" i="8"/>
  <c r="C11" i="8"/>
  <c r="C64" i="8" s="1"/>
  <c r="B11" i="8"/>
  <c r="B9" i="8" s="1"/>
  <c r="B62" i="8" s="1"/>
  <c r="G9" i="8"/>
  <c r="C9" i="8"/>
  <c r="K37" i="10" l="1"/>
  <c r="G70" i="10"/>
  <c r="L66" i="10"/>
  <c r="K66" i="10"/>
  <c r="D64" i="8"/>
  <c r="C62" i="8"/>
  <c r="D62" i="8" s="1"/>
  <c r="G62" i="8"/>
  <c r="E66" i="8"/>
  <c r="C51" i="8"/>
  <c r="D51" i="8" s="1"/>
  <c r="G51" i="8"/>
  <c r="H51" i="8" s="1"/>
  <c r="E64" i="8"/>
  <c r="B65" i="8"/>
  <c r="C66" i="8"/>
  <c r="G66" i="8"/>
  <c r="E9" i="8"/>
  <c r="E51" i="8"/>
  <c r="F51" i="8" s="1"/>
  <c r="K70" i="10" l="1"/>
  <c r="K7" i="10" s="1"/>
  <c r="L70" i="10"/>
  <c r="L7" i="10" s="1"/>
  <c r="G7" i="10"/>
  <c r="F9" i="8"/>
  <c r="E62" i="8"/>
  <c r="F62" i="8" s="1"/>
  <c r="H62" i="8"/>
  <c r="C65" i="8"/>
  <c r="E67" i="8"/>
  <c r="F66" i="8"/>
  <c r="G65" i="8"/>
  <c r="E65" i="8"/>
  <c r="F64" i="8"/>
  <c r="G67" i="8"/>
  <c r="H66" i="8"/>
  <c r="D66" i="8"/>
  <c r="C67" i="8"/>
  <c r="H64" i="8"/>
  <c r="H9" i="8"/>
  <c r="G13" i="6" l="1"/>
  <c r="G8" i="6"/>
  <c r="D9" i="6"/>
  <c r="D8" i="6"/>
  <c r="S120" i="6"/>
  <c r="P120" i="6"/>
  <c r="J120" i="6"/>
  <c r="M120" i="6" s="1"/>
  <c r="E120" i="6"/>
  <c r="D120" i="6"/>
  <c r="H120" i="6" s="1"/>
  <c r="C120" i="6"/>
  <c r="Q119" i="6"/>
  <c r="Q116" i="6" s="1"/>
  <c r="P119" i="6"/>
  <c r="O119" i="6"/>
  <c r="K119" i="6"/>
  <c r="J119" i="6"/>
  <c r="M119" i="6" s="1"/>
  <c r="I119" i="6"/>
  <c r="N119" i="6" s="1"/>
  <c r="E119" i="6"/>
  <c r="D119" i="6" s="1"/>
  <c r="C119" i="6"/>
  <c r="Q118" i="6"/>
  <c r="P118" i="6"/>
  <c r="T118" i="6" s="1"/>
  <c r="O118" i="6"/>
  <c r="K118" i="6"/>
  <c r="J118" i="6" s="1"/>
  <c r="I118" i="6"/>
  <c r="F118" i="6"/>
  <c r="F116" i="6" s="1"/>
  <c r="E118" i="6"/>
  <c r="C118" i="6"/>
  <c r="S117" i="6"/>
  <c r="Q117" i="6"/>
  <c r="P117" i="6"/>
  <c r="O117" i="6"/>
  <c r="K117" i="6"/>
  <c r="I117" i="6"/>
  <c r="E117" i="6"/>
  <c r="C117" i="6"/>
  <c r="R116" i="6"/>
  <c r="P116" i="6" s="1"/>
  <c r="L116" i="6"/>
  <c r="C116" i="6"/>
  <c r="Q115" i="6"/>
  <c r="P115" i="6"/>
  <c r="O115" i="6"/>
  <c r="K115" i="6"/>
  <c r="J115" i="6"/>
  <c r="M115" i="6" s="1"/>
  <c r="I115" i="6"/>
  <c r="E115" i="6"/>
  <c r="D115" i="6" s="1"/>
  <c r="C115" i="6"/>
  <c r="Q114" i="6"/>
  <c r="P114" i="6"/>
  <c r="O114" i="6"/>
  <c r="S114" i="6" s="1"/>
  <c r="K114" i="6"/>
  <c r="J114" i="6" s="1"/>
  <c r="I114" i="6"/>
  <c r="E114" i="6"/>
  <c r="D114" i="6"/>
  <c r="G114" i="6" s="1"/>
  <c r="C114" i="6"/>
  <c r="Q113" i="6"/>
  <c r="P113" i="6" s="1"/>
  <c r="O113" i="6"/>
  <c r="K113" i="6"/>
  <c r="J113" i="6"/>
  <c r="M113" i="6" s="1"/>
  <c r="I113" i="6"/>
  <c r="N113" i="6" s="1"/>
  <c r="F113" i="6"/>
  <c r="E113" i="6"/>
  <c r="D113" i="6" s="1"/>
  <c r="H113" i="6" s="1"/>
  <c r="C113" i="6"/>
  <c r="R112" i="6"/>
  <c r="Q112" i="6"/>
  <c r="P112" i="6"/>
  <c r="O112" i="6"/>
  <c r="T112" i="6" s="1"/>
  <c r="L112" i="6"/>
  <c r="K112" i="6"/>
  <c r="I112" i="6"/>
  <c r="F112" i="6"/>
  <c r="E112" i="6"/>
  <c r="D112" i="6"/>
  <c r="C112" i="6"/>
  <c r="H112" i="6" s="1"/>
  <c r="R111" i="6"/>
  <c r="Q111" i="6"/>
  <c r="P111" i="6"/>
  <c r="O111" i="6"/>
  <c r="L111" i="6"/>
  <c r="K111" i="6"/>
  <c r="I111" i="6"/>
  <c r="E111" i="6"/>
  <c r="C111" i="6"/>
  <c r="R110" i="6"/>
  <c r="I110" i="6"/>
  <c r="T109" i="6"/>
  <c r="R109" i="6"/>
  <c r="Q109" i="6"/>
  <c r="P109" i="6"/>
  <c r="O109" i="6"/>
  <c r="S109" i="6" s="1"/>
  <c r="M109" i="6"/>
  <c r="L109" i="6"/>
  <c r="K109" i="6"/>
  <c r="J109" i="6" s="1"/>
  <c r="I109" i="6"/>
  <c r="H109" i="6"/>
  <c r="F109" i="6"/>
  <c r="E109" i="6"/>
  <c r="D109" i="6"/>
  <c r="C109" i="6"/>
  <c r="G109" i="6" s="1"/>
  <c r="S108" i="6"/>
  <c r="R108" i="6"/>
  <c r="Q108" i="6"/>
  <c r="P108" i="6" s="1"/>
  <c r="O108" i="6"/>
  <c r="N108" i="6"/>
  <c r="L108" i="6"/>
  <c r="K108" i="6"/>
  <c r="J108" i="6" s="1"/>
  <c r="I108" i="6"/>
  <c r="M108" i="6" s="1"/>
  <c r="F108" i="6"/>
  <c r="E108" i="6"/>
  <c r="C108" i="6"/>
  <c r="T107" i="6"/>
  <c r="R107" i="6"/>
  <c r="Q107" i="6"/>
  <c r="P107" i="6"/>
  <c r="O107" i="6"/>
  <c r="O106" i="6" s="1"/>
  <c r="L107" i="6"/>
  <c r="K107" i="6"/>
  <c r="I107" i="6"/>
  <c r="F107" i="6"/>
  <c r="E107" i="6"/>
  <c r="E106" i="6" s="1"/>
  <c r="D107" i="6"/>
  <c r="H107" i="6" s="1"/>
  <c r="C107" i="6"/>
  <c r="R106" i="6"/>
  <c r="Q106" i="6"/>
  <c r="P106" i="6" s="1"/>
  <c r="S106" i="6" s="1"/>
  <c r="F106" i="6"/>
  <c r="C106" i="6"/>
  <c r="Q105" i="6"/>
  <c r="P105" i="6"/>
  <c r="O105" i="6"/>
  <c r="K105" i="6"/>
  <c r="J105" i="6"/>
  <c r="I105" i="6"/>
  <c r="E105" i="6"/>
  <c r="D105" i="6"/>
  <c r="G105" i="6" s="1"/>
  <c r="C105" i="6"/>
  <c r="H105" i="6" s="1"/>
  <c r="R104" i="6"/>
  <c r="P104" i="6" s="1"/>
  <c r="T104" i="6" s="1"/>
  <c r="Q104" i="6"/>
  <c r="O104" i="6"/>
  <c r="L104" i="6"/>
  <c r="K104" i="6"/>
  <c r="I104" i="6"/>
  <c r="F104" i="6"/>
  <c r="E104" i="6"/>
  <c r="D104" i="6"/>
  <c r="H104" i="6" s="1"/>
  <c r="C104" i="6"/>
  <c r="G104" i="6" s="1"/>
  <c r="Q103" i="6"/>
  <c r="P103" i="6" s="1"/>
  <c r="O103" i="6"/>
  <c r="K103" i="6"/>
  <c r="K101" i="6" s="1"/>
  <c r="I103" i="6"/>
  <c r="E103" i="6"/>
  <c r="C103" i="6"/>
  <c r="R102" i="6"/>
  <c r="Q102" i="6"/>
  <c r="P102" i="6" s="1"/>
  <c r="O102" i="6"/>
  <c r="L102" i="6"/>
  <c r="L101" i="6" s="1"/>
  <c r="K102" i="6"/>
  <c r="I102" i="6"/>
  <c r="G102" i="6"/>
  <c r="F102" i="6"/>
  <c r="E102" i="6"/>
  <c r="D102" i="6" s="1"/>
  <c r="C102" i="6"/>
  <c r="R101" i="6"/>
  <c r="Q101" i="6"/>
  <c r="F101" i="6"/>
  <c r="T100" i="6"/>
  <c r="Q100" i="6"/>
  <c r="P100" i="6"/>
  <c r="O100" i="6"/>
  <c r="S100" i="6" s="1"/>
  <c r="K100" i="6"/>
  <c r="J100" i="6" s="1"/>
  <c r="I100" i="6"/>
  <c r="G100" i="6"/>
  <c r="E100" i="6"/>
  <c r="C100" i="6"/>
  <c r="H100" i="6" s="1"/>
  <c r="T99" i="6"/>
  <c r="S99" i="6"/>
  <c r="Q99" i="6"/>
  <c r="P99" i="6" s="1"/>
  <c r="O99" i="6"/>
  <c r="L99" i="6"/>
  <c r="K99" i="6"/>
  <c r="J99" i="6"/>
  <c r="N99" i="6" s="1"/>
  <c r="I99" i="6"/>
  <c r="M99" i="6" s="1"/>
  <c r="F99" i="6"/>
  <c r="E99" i="6"/>
  <c r="D99" i="6" s="1"/>
  <c r="C99" i="6"/>
  <c r="R98" i="6"/>
  <c r="Q98" i="6"/>
  <c r="P98" i="6" s="1"/>
  <c r="O98" i="6"/>
  <c r="T98" i="6" s="1"/>
  <c r="L98" i="6"/>
  <c r="K98" i="6"/>
  <c r="I98" i="6"/>
  <c r="F98" i="6"/>
  <c r="E98" i="6"/>
  <c r="D98" i="6"/>
  <c r="H98" i="6" s="1"/>
  <c r="C98" i="6"/>
  <c r="Q97" i="6"/>
  <c r="P97" i="6"/>
  <c r="S97" i="6" s="1"/>
  <c r="O97" i="6"/>
  <c r="T97" i="6" s="1"/>
  <c r="K97" i="6"/>
  <c r="J97" i="6" s="1"/>
  <c r="I97" i="6"/>
  <c r="E97" i="6"/>
  <c r="D97" i="6"/>
  <c r="G97" i="6" s="1"/>
  <c r="C97" i="6"/>
  <c r="Q96" i="6"/>
  <c r="P96" i="6"/>
  <c r="T96" i="6" s="1"/>
  <c r="O96" i="6"/>
  <c r="K96" i="6"/>
  <c r="J96" i="6"/>
  <c r="M96" i="6" s="1"/>
  <c r="I96" i="6"/>
  <c r="E96" i="6"/>
  <c r="D96" i="6" s="1"/>
  <c r="C96" i="6"/>
  <c r="Q95" i="6"/>
  <c r="P95" i="6"/>
  <c r="O95" i="6"/>
  <c r="K95" i="6"/>
  <c r="J95" i="6" s="1"/>
  <c r="I95" i="6"/>
  <c r="G95" i="6"/>
  <c r="E95" i="6"/>
  <c r="D95" i="6" s="1"/>
  <c r="C95" i="6"/>
  <c r="H95" i="6" s="1"/>
  <c r="T94" i="6"/>
  <c r="S94" i="6"/>
  <c r="Q94" i="6"/>
  <c r="P94" i="6" s="1"/>
  <c r="O94" i="6"/>
  <c r="M94" i="6"/>
  <c r="K94" i="6"/>
  <c r="J94" i="6"/>
  <c r="I94" i="6"/>
  <c r="N94" i="6" s="1"/>
  <c r="H94" i="6"/>
  <c r="E94" i="6"/>
  <c r="D94" i="6"/>
  <c r="C94" i="6"/>
  <c r="G94" i="6" s="1"/>
  <c r="S93" i="6"/>
  <c r="Q93" i="6"/>
  <c r="P93" i="6"/>
  <c r="O93" i="6"/>
  <c r="T93" i="6" s="1"/>
  <c r="N93" i="6"/>
  <c r="K93" i="6"/>
  <c r="J93" i="6" s="1"/>
  <c r="I93" i="6"/>
  <c r="M93" i="6" s="1"/>
  <c r="H93" i="6"/>
  <c r="E93" i="6"/>
  <c r="D93" i="6"/>
  <c r="C93" i="6"/>
  <c r="G93" i="6" s="1"/>
  <c r="Q92" i="6"/>
  <c r="P92" i="6"/>
  <c r="O92" i="6"/>
  <c r="K92" i="6"/>
  <c r="J92" i="6"/>
  <c r="I92" i="6"/>
  <c r="N92" i="6" s="1"/>
  <c r="E92" i="6"/>
  <c r="D92" i="6" s="1"/>
  <c r="C92" i="6"/>
  <c r="R91" i="6"/>
  <c r="Q91" i="6"/>
  <c r="L91" i="6"/>
  <c r="I91" i="6"/>
  <c r="F91" i="6"/>
  <c r="C91" i="6"/>
  <c r="Q90" i="6"/>
  <c r="P90" i="6"/>
  <c r="S90" i="6" s="1"/>
  <c r="O90" i="6"/>
  <c r="K90" i="6"/>
  <c r="J90" i="6" s="1"/>
  <c r="I90" i="6"/>
  <c r="G90" i="6"/>
  <c r="E90" i="6"/>
  <c r="D90" i="6"/>
  <c r="C90" i="6"/>
  <c r="H90" i="6" s="1"/>
  <c r="P89" i="6"/>
  <c r="S89" i="6" s="1"/>
  <c r="M89" i="6"/>
  <c r="J89" i="6"/>
  <c r="D89" i="6"/>
  <c r="H89" i="6" s="1"/>
  <c r="R88" i="6"/>
  <c r="Q88" i="6"/>
  <c r="O88" i="6"/>
  <c r="L88" i="6"/>
  <c r="K88" i="6"/>
  <c r="J88" i="6"/>
  <c r="J87" i="6" s="1"/>
  <c r="I88" i="6"/>
  <c r="F88" i="6"/>
  <c r="E88" i="6"/>
  <c r="E87" i="6" s="1"/>
  <c r="D88" i="6"/>
  <c r="C88" i="6"/>
  <c r="R87" i="6"/>
  <c r="O87" i="6"/>
  <c r="L87" i="6"/>
  <c r="K87" i="6"/>
  <c r="F87" i="6"/>
  <c r="C87" i="6"/>
  <c r="R86" i="6"/>
  <c r="Q86" i="6"/>
  <c r="P86" i="6"/>
  <c r="T86" i="6" s="1"/>
  <c r="O86" i="6"/>
  <c r="L86" i="6"/>
  <c r="J86" i="6" s="1"/>
  <c r="N86" i="6" s="1"/>
  <c r="K86" i="6"/>
  <c r="I86" i="6"/>
  <c r="F86" i="6"/>
  <c r="E86" i="6"/>
  <c r="C86" i="6"/>
  <c r="S85" i="6"/>
  <c r="P85" i="6"/>
  <c r="O85" i="6"/>
  <c r="L85" i="6"/>
  <c r="J85" i="6"/>
  <c r="M85" i="6" s="1"/>
  <c r="I85" i="6"/>
  <c r="F85" i="6"/>
  <c r="D85" i="6" s="1"/>
  <c r="H85" i="6" s="1"/>
  <c r="C85" i="6"/>
  <c r="S84" i="6"/>
  <c r="Q84" i="6"/>
  <c r="P84" i="6"/>
  <c r="O84" i="6"/>
  <c r="T84" i="6" s="1"/>
  <c r="K84" i="6"/>
  <c r="J84" i="6" s="1"/>
  <c r="N84" i="6" s="1"/>
  <c r="I84" i="6"/>
  <c r="F84" i="6"/>
  <c r="F79" i="6" s="1"/>
  <c r="E84" i="6"/>
  <c r="C84" i="6"/>
  <c r="S83" i="6"/>
  <c r="Q83" i="6"/>
  <c r="P83" i="6"/>
  <c r="O83" i="6"/>
  <c r="T83" i="6" s="1"/>
  <c r="K83" i="6"/>
  <c r="J83" i="6" s="1"/>
  <c r="N83" i="6" s="1"/>
  <c r="I83" i="6"/>
  <c r="E83" i="6"/>
  <c r="D83" i="6" s="1"/>
  <c r="G83" i="6" s="1"/>
  <c r="C83" i="6"/>
  <c r="T82" i="6"/>
  <c r="S82" i="6"/>
  <c r="Q82" i="6"/>
  <c r="P82" i="6" s="1"/>
  <c r="O82" i="6"/>
  <c r="O79" i="6" s="1"/>
  <c r="M82" i="6"/>
  <c r="K82" i="6"/>
  <c r="J82" i="6"/>
  <c r="I82" i="6"/>
  <c r="N82" i="6" s="1"/>
  <c r="H82" i="6"/>
  <c r="E82" i="6"/>
  <c r="D82" i="6"/>
  <c r="C82" i="6"/>
  <c r="G82" i="6" s="1"/>
  <c r="S81" i="6"/>
  <c r="Q81" i="6"/>
  <c r="P81" i="6"/>
  <c r="O81" i="6"/>
  <c r="T81" i="6" s="1"/>
  <c r="K81" i="6"/>
  <c r="J81" i="6" s="1"/>
  <c r="I81" i="6"/>
  <c r="M81" i="6" s="1"/>
  <c r="E81" i="6"/>
  <c r="D81" i="6"/>
  <c r="C81" i="6"/>
  <c r="R80" i="6"/>
  <c r="Q80" i="6"/>
  <c r="Q79" i="6" s="1"/>
  <c r="P80" i="6"/>
  <c r="T80" i="6" s="1"/>
  <c r="O80" i="6"/>
  <c r="L80" i="6"/>
  <c r="J80" i="6" s="1"/>
  <c r="K80" i="6"/>
  <c r="I80" i="6"/>
  <c r="F80" i="6"/>
  <c r="E80" i="6"/>
  <c r="D80" i="6"/>
  <c r="H80" i="6" s="1"/>
  <c r="C80" i="6"/>
  <c r="R79" i="6"/>
  <c r="P79" i="6"/>
  <c r="L79" i="6"/>
  <c r="T78" i="6"/>
  <c r="R78" i="6"/>
  <c r="P78" i="6" s="1"/>
  <c r="Q78" i="6"/>
  <c r="O78" i="6"/>
  <c r="S78" i="6" s="1"/>
  <c r="N78" i="6"/>
  <c r="L78" i="6"/>
  <c r="K78" i="6"/>
  <c r="J78" i="6"/>
  <c r="I78" i="6"/>
  <c r="M78" i="6" s="1"/>
  <c r="F78" i="6"/>
  <c r="E78" i="6"/>
  <c r="D78" i="6" s="1"/>
  <c r="H78" i="6" s="1"/>
  <c r="C78" i="6"/>
  <c r="R77" i="6"/>
  <c r="Q77" i="6"/>
  <c r="P77" i="6"/>
  <c r="T77" i="6" s="1"/>
  <c r="O77" i="6"/>
  <c r="S77" i="6" s="1"/>
  <c r="L77" i="6"/>
  <c r="K77" i="6"/>
  <c r="K74" i="6" s="1"/>
  <c r="J77" i="6"/>
  <c r="N77" i="6" s="1"/>
  <c r="I77" i="6"/>
  <c r="F77" i="6"/>
  <c r="D77" i="6" s="1"/>
  <c r="G77" i="6" s="1"/>
  <c r="E77" i="6"/>
  <c r="C77" i="6"/>
  <c r="R76" i="6"/>
  <c r="Q76" i="6"/>
  <c r="P76" i="6"/>
  <c r="O76" i="6"/>
  <c r="S76" i="6" s="1"/>
  <c r="L76" i="6"/>
  <c r="K76" i="6"/>
  <c r="J76" i="6"/>
  <c r="I76" i="6"/>
  <c r="M76" i="6" s="1"/>
  <c r="F76" i="6"/>
  <c r="D76" i="6" s="1"/>
  <c r="E76" i="6"/>
  <c r="C76" i="6"/>
  <c r="R75" i="6"/>
  <c r="Q75" i="6"/>
  <c r="O75" i="6"/>
  <c r="N75" i="6"/>
  <c r="L75" i="6"/>
  <c r="L74" i="6" s="1"/>
  <c r="K75" i="6"/>
  <c r="J75" i="6"/>
  <c r="I75" i="6"/>
  <c r="I74" i="6" s="1"/>
  <c r="F75" i="6"/>
  <c r="F74" i="6" s="1"/>
  <c r="E75" i="6"/>
  <c r="C75" i="6"/>
  <c r="O74" i="6"/>
  <c r="C74" i="6"/>
  <c r="Q73" i="6"/>
  <c r="P73" i="6"/>
  <c r="O73" i="6"/>
  <c r="K73" i="6"/>
  <c r="J73" i="6"/>
  <c r="M73" i="6" s="1"/>
  <c r="I73" i="6"/>
  <c r="N73" i="6" s="1"/>
  <c r="E73" i="6"/>
  <c r="D73" i="6" s="1"/>
  <c r="C73" i="6"/>
  <c r="R72" i="6"/>
  <c r="Q72" i="6"/>
  <c r="P72" i="6" s="1"/>
  <c r="O72" i="6"/>
  <c r="T72" i="6" s="1"/>
  <c r="L72" i="6"/>
  <c r="K72" i="6"/>
  <c r="I72" i="6"/>
  <c r="F72" i="6"/>
  <c r="E72" i="6"/>
  <c r="D72" i="6"/>
  <c r="C72" i="6"/>
  <c r="H72" i="6" s="1"/>
  <c r="Q71" i="6"/>
  <c r="P71" i="6"/>
  <c r="S71" i="6" s="1"/>
  <c r="O71" i="6"/>
  <c r="K71" i="6"/>
  <c r="J71" i="6" s="1"/>
  <c r="I71" i="6"/>
  <c r="E71" i="6"/>
  <c r="D71" i="6"/>
  <c r="G71" i="6" s="1"/>
  <c r="C71" i="6"/>
  <c r="H71" i="6" s="1"/>
  <c r="P70" i="6"/>
  <c r="N70" i="6"/>
  <c r="M70" i="6"/>
  <c r="J70" i="6"/>
  <c r="H70" i="6"/>
  <c r="G70" i="6"/>
  <c r="D70" i="6"/>
  <c r="R69" i="6"/>
  <c r="R66" i="6" s="1"/>
  <c r="Q69" i="6"/>
  <c r="P69" i="6" s="1"/>
  <c r="S69" i="6" s="1"/>
  <c r="O69" i="6"/>
  <c r="L69" i="6"/>
  <c r="K69" i="6"/>
  <c r="J69" i="6"/>
  <c r="I69" i="6"/>
  <c r="N69" i="6" s="1"/>
  <c r="G69" i="6"/>
  <c r="F69" i="6"/>
  <c r="E69" i="6"/>
  <c r="D69" i="6" s="1"/>
  <c r="C69" i="6"/>
  <c r="H69" i="6" s="1"/>
  <c r="Q68" i="6"/>
  <c r="P68" i="6"/>
  <c r="T68" i="6" s="1"/>
  <c r="O68" i="6"/>
  <c r="K68" i="6"/>
  <c r="J68" i="6"/>
  <c r="I68" i="6"/>
  <c r="F68" i="6"/>
  <c r="E68" i="6"/>
  <c r="D68" i="6" s="1"/>
  <c r="C68" i="6"/>
  <c r="R67" i="6"/>
  <c r="Q67" i="6"/>
  <c r="P67" i="6" s="1"/>
  <c r="O67" i="6"/>
  <c r="T67" i="6" s="1"/>
  <c r="L67" i="6"/>
  <c r="L66" i="6" s="1"/>
  <c r="K67" i="6"/>
  <c r="I67" i="6"/>
  <c r="F67" i="6"/>
  <c r="E67" i="6"/>
  <c r="D67" i="6"/>
  <c r="C67" i="6"/>
  <c r="C66" i="6" s="1"/>
  <c r="O66" i="6"/>
  <c r="K66" i="6"/>
  <c r="F66" i="6"/>
  <c r="E66" i="6"/>
  <c r="D66" i="6" s="1"/>
  <c r="R65" i="6"/>
  <c r="Q65" i="6"/>
  <c r="P65" i="6"/>
  <c r="O65" i="6"/>
  <c r="T65" i="6" s="1"/>
  <c r="M65" i="6"/>
  <c r="L65" i="6"/>
  <c r="L62" i="6" s="1"/>
  <c r="K65" i="6"/>
  <c r="J65" i="6" s="1"/>
  <c r="I65" i="6"/>
  <c r="N65" i="6" s="1"/>
  <c r="H65" i="6"/>
  <c r="F65" i="6"/>
  <c r="E65" i="6"/>
  <c r="D65" i="6"/>
  <c r="C65" i="6"/>
  <c r="G65" i="6" s="1"/>
  <c r="R64" i="6"/>
  <c r="R62" i="6" s="1"/>
  <c r="Q64" i="6"/>
  <c r="P64" i="6" s="1"/>
  <c r="S64" i="6" s="1"/>
  <c r="O64" i="6"/>
  <c r="L64" i="6"/>
  <c r="K64" i="6"/>
  <c r="J64" i="6"/>
  <c r="I64" i="6"/>
  <c r="N64" i="6" s="1"/>
  <c r="G64" i="6"/>
  <c r="F64" i="6"/>
  <c r="D64" i="6"/>
  <c r="C64" i="6"/>
  <c r="H64" i="6" s="1"/>
  <c r="Q63" i="6"/>
  <c r="P63" i="6" s="1"/>
  <c r="O63" i="6"/>
  <c r="S63" i="6" s="1"/>
  <c r="N63" i="6"/>
  <c r="K63" i="6"/>
  <c r="J63" i="6"/>
  <c r="I63" i="6"/>
  <c r="E63" i="6"/>
  <c r="D63" i="6"/>
  <c r="C63" i="6"/>
  <c r="Q62" i="6"/>
  <c r="O62" i="6"/>
  <c r="K62" i="6"/>
  <c r="J62" i="6"/>
  <c r="F62" i="6"/>
  <c r="E62" i="6"/>
  <c r="D62" i="6" s="1"/>
  <c r="S61" i="6"/>
  <c r="Q61" i="6"/>
  <c r="P61" i="6"/>
  <c r="O61" i="6"/>
  <c r="T61" i="6" s="1"/>
  <c r="K61" i="6"/>
  <c r="J61" i="6" s="1"/>
  <c r="N61" i="6" s="1"/>
  <c r="I61" i="6"/>
  <c r="F61" i="6"/>
  <c r="E61" i="6"/>
  <c r="C61" i="6"/>
  <c r="Q60" i="6"/>
  <c r="P60" i="6"/>
  <c r="O60" i="6"/>
  <c r="S60" i="6" s="1"/>
  <c r="K60" i="6"/>
  <c r="J60" i="6"/>
  <c r="I60" i="6"/>
  <c r="M60" i="6" s="1"/>
  <c r="G60" i="6"/>
  <c r="E60" i="6"/>
  <c r="D60" i="6"/>
  <c r="C60" i="6"/>
  <c r="H60" i="6" s="1"/>
  <c r="Q59" i="6"/>
  <c r="P59" i="6" s="1"/>
  <c r="O59" i="6"/>
  <c r="N59" i="6"/>
  <c r="K59" i="6"/>
  <c r="J59" i="6"/>
  <c r="I59" i="6"/>
  <c r="M59" i="6" s="1"/>
  <c r="E59" i="6"/>
  <c r="E57" i="6" s="1"/>
  <c r="D59" i="6"/>
  <c r="C59" i="6"/>
  <c r="Q58" i="6"/>
  <c r="P58" i="6"/>
  <c r="O58" i="6"/>
  <c r="K58" i="6"/>
  <c r="I58" i="6"/>
  <c r="E58" i="6"/>
  <c r="D58" i="6"/>
  <c r="G58" i="6" s="1"/>
  <c r="C58" i="6"/>
  <c r="R57" i="6"/>
  <c r="Q57" i="6"/>
  <c r="L57" i="6"/>
  <c r="F57" i="6"/>
  <c r="T56" i="6"/>
  <c r="S56" i="6"/>
  <c r="Q56" i="6"/>
  <c r="P56" i="6" s="1"/>
  <c r="M56" i="6"/>
  <c r="K56" i="6"/>
  <c r="J56" i="6" s="1"/>
  <c r="N56" i="6" s="1"/>
  <c r="G56" i="6"/>
  <c r="S55" i="6"/>
  <c r="Q55" i="6"/>
  <c r="P55" i="6"/>
  <c r="O55" i="6"/>
  <c r="T55" i="6" s="1"/>
  <c r="K55" i="6"/>
  <c r="J55" i="6" s="1"/>
  <c r="N55" i="6" s="1"/>
  <c r="I55" i="6"/>
  <c r="E55" i="6"/>
  <c r="C55" i="6"/>
  <c r="T54" i="6"/>
  <c r="S54" i="6"/>
  <c r="Q54" i="6"/>
  <c r="P54" i="6" s="1"/>
  <c r="O54" i="6"/>
  <c r="M54" i="6"/>
  <c r="K54" i="6"/>
  <c r="J54" i="6"/>
  <c r="I54" i="6"/>
  <c r="I52" i="6" s="1"/>
  <c r="H54" i="6"/>
  <c r="D54" i="6"/>
  <c r="C54" i="6"/>
  <c r="G54" i="6" s="1"/>
  <c r="Q53" i="6"/>
  <c r="O53" i="6"/>
  <c r="K53" i="6"/>
  <c r="I53" i="6"/>
  <c r="H53" i="6"/>
  <c r="G53" i="6"/>
  <c r="D53" i="6"/>
  <c r="C53" i="6"/>
  <c r="R52" i="6"/>
  <c r="O52" i="6"/>
  <c r="L52" i="6"/>
  <c r="F52" i="6"/>
  <c r="C52" i="6"/>
  <c r="Q51" i="6"/>
  <c r="P51" i="6"/>
  <c r="O51" i="6"/>
  <c r="K51" i="6"/>
  <c r="J51" i="6"/>
  <c r="M51" i="6" s="1"/>
  <c r="I51" i="6"/>
  <c r="N51" i="6" s="1"/>
  <c r="E51" i="6"/>
  <c r="D51" i="6" s="1"/>
  <c r="C51" i="6"/>
  <c r="R50" i="6"/>
  <c r="Q50" i="6"/>
  <c r="P50" i="6" s="1"/>
  <c r="P46" i="6" s="1"/>
  <c r="O50" i="6"/>
  <c r="T50" i="6" s="1"/>
  <c r="L50" i="6"/>
  <c r="K50" i="6"/>
  <c r="I50" i="6"/>
  <c r="F50" i="6"/>
  <c r="E50" i="6"/>
  <c r="D50" i="6"/>
  <c r="C50" i="6"/>
  <c r="H50" i="6" s="1"/>
  <c r="R49" i="6"/>
  <c r="Q49" i="6"/>
  <c r="P49" i="6" s="1"/>
  <c r="O49" i="6"/>
  <c r="L49" i="6"/>
  <c r="K49" i="6"/>
  <c r="J49" i="6" s="1"/>
  <c r="I49" i="6"/>
  <c r="N49" i="6" s="1"/>
  <c r="F49" i="6"/>
  <c r="F46" i="6" s="1"/>
  <c r="E49" i="6"/>
  <c r="C49" i="6"/>
  <c r="S48" i="6"/>
  <c r="Q48" i="6"/>
  <c r="P48" i="6"/>
  <c r="O48" i="6"/>
  <c r="T48" i="6" s="1"/>
  <c r="N48" i="6"/>
  <c r="K48" i="6"/>
  <c r="J48" i="6"/>
  <c r="I48" i="6"/>
  <c r="G48" i="6"/>
  <c r="E48" i="6"/>
  <c r="D48" i="6"/>
  <c r="C48" i="6"/>
  <c r="H48" i="6" s="1"/>
  <c r="T47" i="6"/>
  <c r="R47" i="6"/>
  <c r="Q47" i="6"/>
  <c r="P47" i="6"/>
  <c r="O47" i="6"/>
  <c r="L47" i="6"/>
  <c r="K47" i="6"/>
  <c r="I47" i="6"/>
  <c r="F47" i="6"/>
  <c r="E47" i="6"/>
  <c r="D47" i="6"/>
  <c r="C47" i="6"/>
  <c r="C46" i="6" s="1"/>
  <c r="R46" i="6"/>
  <c r="L46" i="6"/>
  <c r="Q45" i="6"/>
  <c r="P45" i="6" s="1"/>
  <c r="T45" i="6" s="1"/>
  <c r="O45" i="6"/>
  <c r="M45" i="6"/>
  <c r="K45" i="6"/>
  <c r="J45" i="6"/>
  <c r="I45" i="6"/>
  <c r="N45" i="6" s="1"/>
  <c r="E45" i="6"/>
  <c r="D45" i="6" s="1"/>
  <c r="H45" i="6" s="1"/>
  <c r="C45" i="6"/>
  <c r="Q44" i="6"/>
  <c r="P44" i="6" s="1"/>
  <c r="T44" i="6" s="1"/>
  <c r="K44" i="6"/>
  <c r="K41" i="6" s="1"/>
  <c r="J44" i="6"/>
  <c r="D44" i="6"/>
  <c r="G44" i="6" s="1"/>
  <c r="R43" i="6"/>
  <c r="Q43" i="6"/>
  <c r="P43" i="6"/>
  <c r="O43" i="6"/>
  <c r="T43" i="6" s="1"/>
  <c r="L43" i="6"/>
  <c r="L41" i="6" s="1"/>
  <c r="K43" i="6"/>
  <c r="I43" i="6"/>
  <c r="F43" i="6"/>
  <c r="E43" i="6"/>
  <c r="D43" i="6"/>
  <c r="C43" i="6"/>
  <c r="C41" i="6" s="1"/>
  <c r="R42" i="6"/>
  <c r="R41" i="6" s="1"/>
  <c r="Q42" i="6"/>
  <c r="O42" i="6"/>
  <c r="L42" i="6"/>
  <c r="K42" i="6"/>
  <c r="J42" i="6"/>
  <c r="I42" i="6"/>
  <c r="I41" i="6" s="1"/>
  <c r="F42" i="6"/>
  <c r="F41" i="6" s="1"/>
  <c r="E42" i="6"/>
  <c r="C42" i="6"/>
  <c r="O41" i="6"/>
  <c r="R40" i="6"/>
  <c r="Q40" i="6"/>
  <c r="P40" i="6" s="1"/>
  <c r="O40" i="6"/>
  <c r="L40" i="6"/>
  <c r="K40" i="6"/>
  <c r="J40" i="6"/>
  <c r="I40" i="6"/>
  <c r="N40" i="6" s="1"/>
  <c r="G40" i="6"/>
  <c r="F40" i="6"/>
  <c r="E40" i="6"/>
  <c r="D40" i="6" s="1"/>
  <c r="C40" i="6"/>
  <c r="H40" i="6" s="1"/>
  <c r="Q39" i="6"/>
  <c r="P39" i="6"/>
  <c r="O39" i="6"/>
  <c r="S39" i="6" s="1"/>
  <c r="K39" i="6"/>
  <c r="K36" i="6" s="1"/>
  <c r="J39" i="6"/>
  <c r="I39" i="6"/>
  <c r="M39" i="6" s="1"/>
  <c r="E39" i="6"/>
  <c r="D39" i="6"/>
  <c r="G39" i="6" s="1"/>
  <c r="C39" i="6"/>
  <c r="H39" i="6" s="1"/>
  <c r="R38" i="6"/>
  <c r="P38" i="6" s="1"/>
  <c r="Q38" i="6"/>
  <c r="O38" i="6"/>
  <c r="T38" i="6" s="1"/>
  <c r="L38" i="6"/>
  <c r="J38" i="6" s="1"/>
  <c r="N38" i="6" s="1"/>
  <c r="K38" i="6"/>
  <c r="I38" i="6"/>
  <c r="F38" i="6"/>
  <c r="E38" i="6"/>
  <c r="D38" i="6"/>
  <c r="H38" i="6" s="1"/>
  <c r="C38" i="6"/>
  <c r="G38" i="6" s="1"/>
  <c r="R37" i="6"/>
  <c r="Q37" i="6"/>
  <c r="Q36" i="6" s="1"/>
  <c r="O37" i="6"/>
  <c r="L37" i="6"/>
  <c r="K37" i="6"/>
  <c r="J37" i="6"/>
  <c r="J36" i="6" s="1"/>
  <c r="I37" i="6"/>
  <c r="I36" i="6" s="1"/>
  <c r="F37" i="6"/>
  <c r="F36" i="6" s="1"/>
  <c r="E37" i="6"/>
  <c r="E36" i="6" s="1"/>
  <c r="D36" i="6" s="1"/>
  <c r="G36" i="6" s="1"/>
  <c r="D37" i="6"/>
  <c r="H37" i="6" s="1"/>
  <c r="C37" i="6"/>
  <c r="R36" i="6"/>
  <c r="L36" i="6"/>
  <c r="C36" i="6"/>
  <c r="T35" i="6"/>
  <c r="R35" i="6"/>
  <c r="Q35" i="6"/>
  <c r="P35" i="6"/>
  <c r="O35" i="6"/>
  <c r="S35" i="6" s="1"/>
  <c r="L35" i="6"/>
  <c r="J35" i="6" s="1"/>
  <c r="K35" i="6"/>
  <c r="I35" i="6"/>
  <c r="F35" i="6"/>
  <c r="D35" i="6" s="1"/>
  <c r="H35" i="6" s="1"/>
  <c r="E35" i="6"/>
  <c r="C35" i="6"/>
  <c r="T34" i="6"/>
  <c r="Q34" i="6"/>
  <c r="P34" i="6" s="1"/>
  <c r="O34" i="6"/>
  <c r="S34" i="6" s="1"/>
  <c r="K34" i="6"/>
  <c r="J34" i="6"/>
  <c r="I34" i="6"/>
  <c r="M34" i="6" s="1"/>
  <c r="E34" i="6"/>
  <c r="D34" i="6"/>
  <c r="C34" i="6"/>
  <c r="G34" i="6" s="1"/>
  <c r="Q33" i="6"/>
  <c r="P33" i="6"/>
  <c r="S33" i="6" s="1"/>
  <c r="O33" i="6"/>
  <c r="T33" i="6" s="1"/>
  <c r="K33" i="6"/>
  <c r="J33" i="6" s="1"/>
  <c r="I33" i="6"/>
  <c r="N33" i="6" s="1"/>
  <c r="E33" i="6"/>
  <c r="D33" i="6"/>
  <c r="G33" i="6" s="1"/>
  <c r="C33" i="6"/>
  <c r="H33" i="6" s="1"/>
  <c r="Q32" i="6"/>
  <c r="P32" i="6"/>
  <c r="T32" i="6" s="1"/>
  <c r="O32" i="6"/>
  <c r="K32" i="6"/>
  <c r="J32" i="6"/>
  <c r="M32" i="6" s="1"/>
  <c r="I32" i="6"/>
  <c r="E32" i="6"/>
  <c r="D32" i="6" s="1"/>
  <c r="H32" i="6" s="1"/>
  <c r="C32" i="6"/>
  <c r="R31" i="6"/>
  <c r="Q31" i="6"/>
  <c r="P31" i="6"/>
  <c r="O31" i="6"/>
  <c r="T31" i="6" s="1"/>
  <c r="M31" i="6"/>
  <c r="L31" i="6"/>
  <c r="K31" i="6"/>
  <c r="J31" i="6" s="1"/>
  <c r="I31" i="6"/>
  <c r="N31" i="6" s="1"/>
  <c r="E31" i="6"/>
  <c r="D31" i="6"/>
  <c r="C31" i="6"/>
  <c r="G31" i="6" s="1"/>
  <c r="Q30" i="6"/>
  <c r="P30" i="6"/>
  <c r="O30" i="6"/>
  <c r="S30" i="6" s="1"/>
  <c r="K30" i="6"/>
  <c r="J30" i="6"/>
  <c r="M30" i="6" s="1"/>
  <c r="I30" i="6"/>
  <c r="N30" i="6" s="1"/>
  <c r="E30" i="6"/>
  <c r="D30" i="6" s="1"/>
  <c r="C30" i="6"/>
  <c r="H30" i="6" s="1"/>
  <c r="Q29" i="6"/>
  <c r="P29" i="6"/>
  <c r="S29" i="6" s="1"/>
  <c r="O29" i="6"/>
  <c r="T29" i="6" s="1"/>
  <c r="K29" i="6"/>
  <c r="K26" i="6" s="1"/>
  <c r="J29" i="6"/>
  <c r="N29" i="6" s="1"/>
  <c r="I29" i="6"/>
  <c r="E29" i="6"/>
  <c r="D29" i="6"/>
  <c r="G29" i="6" s="1"/>
  <c r="C29" i="6"/>
  <c r="R28" i="6"/>
  <c r="P28" i="6" s="1"/>
  <c r="Q28" i="6"/>
  <c r="O28" i="6"/>
  <c r="T28" i="6" s="1"/>
  <c r="N28" i="6"/>
  <c r="L28" i="6"/>
  <c r="K28" i="6"/>
  <c r="J28" i="6"/>
  <c r="I28" i="6"/>
  <c r="M28" i="6" s="1"/>
  <c r="F28" i="6"/>
  <c r="D28" i="6" s="1"/>
  <c r="E28" i="6"/>
  <c r="C28" i="6"/>
  <c r="H28" i="6" s="1"/>
  <c r="R27" i="6"/>
  <c r="R26" i="6" s="1"/>
  <c r="Q27" i="6"/>
  <c r="O27" i="6"/>
  <c r="L27" i="6"/>
  <c r="L26" i="6" s="1"/>
  <c r="K27" i="6"/>
  <c r="J27" i="6"/>
  <c r="J26" i="6" s="1"/>
  <c r="I27" i="6"/>
  <c r="F27" i="6"/>
  <c r="F26" i="6" s="1"/>
  <c r="E27" i="6"/>
  <c r="E26" i="6" s="1"/>
  <c r="C27" i="6"/>
  <c r="C26" i="6"/>
  <c r="R25" i="6"/>
  <c r="Q25" i="6"/>
  <c r="P25" i="6"/>
  <c r="T25" i="6" s="1"/>
  <c r="O25" i="6"/>
  <c r="L25" i="6"/>
  <c r="J25" i="6" s="1"/>
  <c r="K25" i="6"/>
  <c r="I25" i="6"/>
  <c r="H25" i="6"/>
  <c r="F25" i="6"/>
  <c r="E25" i="6"/>
  <c r="D25" i="6"/>
  <c r="C25" i="6"/>
  <c r="G25" i="6" s="1"/>
  <c r="Q24" i="6"/>
  <c r="P24" i="6" s="1"/>
  <c r="O24" i="6"/>
  <c r="T24" i="6" s="1"/>
  <c r="K24" i="6"/>
  <c r="J24" i="6"/>
  <c r="M24" i="6" s="1"/>
  <c r="I24" i="6"/>
  <c r="N24" i="6" s="1"/>
  <c r="E24" i="6"/>
  <c r="D24" i="6"/>
  <c r="H24" i="6" s="1"/>
  <c r="C24" i="6"/>
  <c r="Q23" i="6"/>
  <c r="P23" i="6"/>
  <c r="S23" i="6" s="1"/>
  <c r="O23" i="6"/>
  <c r="K23" i="6"/>
  <c r="J23" i="6" s="1"/>
  <c r="N23" i="6" s="1"/>
  <c r="I23" i="6"/>
  <c r="G23" i="6"/>
  <c r="E23" i="6"/>
  <c r="D23" i="6"/>
  <c r="C23" i="6"/>
  <c r="H23" i="6" s="1"/>
  <c r="R22" i="6"/>
  <c r="P22" i="6" s="1"/>
  <c r="T22" i="6" s="1"/>
  <c r="Q22" i="6"/>
  <c r="O22" i="6"/>
  <c r="L22" i="6"/>
  <c r="K22" i="6"/>
  <c r="J22" i="6"/>
  <c r="N22" i="6" s="1"/>
  <c r="I22" i="6"/>
  <c r="M22" i="6" s="1"/>
  <c r="F22" i="6"/>
  <c r="E22" i="6"/>
  <c r="D22" i="6" s="1"/>
  <c r="R21" i="6"/>
  <c r="Q21" i="6"/>
  <c r="P21" i="6" s="1"/>
  <c r="S21" i="6" s="1"/>
  <c r="O21" i="6"/>
  <c r="M21" i="6"/>
  <c r="K21" i="6"/>
  <c r="J21" i="6"/>
  <c r="I21" i="6"/>
  <c r="N21" i="6" s="1"/>
  <c r="F21" i="6"/>
  <c r="D21" i="6" s="1"/>
  <c r="E21" i="6"/>
  <c r="R20" i="6"/>
  <c r="R18" i="6" s="1"/>
  <c r="Q20" i="6"/>
  <c r="O20" i="6"/>
  <c r="L20" i="6"/>
  <c r="K20" i="6"/>
  <c r="J20" i="6"/>
  <c r="I20" i="6"/>
  <c r="N20" i="6" s="1"/>
  <c r="F20" i="6"/>
  <c r="E20" i="6"/>
  <c r="D20" i="6" s="1"/>
  <c r="C20" i="6"/>
  <c r="R19" i="6"/>
  <c r="Q19" i="6"/>
  <c r="P19" i="6" s="1"/>
  <c r="O19" i="6"/>
  <c r="L19" i="6"/>
  <c r="L18" i="6" s="1"/>
  <c r="K19" i="6"/>
  <c r="I19" i="6"/>
  <c r="G19" i="6"/>
  <c r="F19" i="6"/>
  <c r="E19" i="6"/>
  <c r="D19" i="6"/>
  <c r="H19" i="6" s="1"/>
  <c r="I18" i="6"/>
  <c r="R17" i="6"/>
  <c r="P17" i="6" s="1"/>
  <c r="Q17" i="6"/>
  <c r="M17" i="6"/>
  <c r="L17" i="6"/>
  <c r="K17" i="6"/>
  <c r="J17" i="6"/>
  <c r="N17" i="6" s="1"/>
  <c r="F17" i="6"/>
  <c r="E17" i="6"/>
  <c r="D17" i="6"/>
  <c r="C17" i="6"/>
  <c r="H17" i="6" s="1"/>
  <c r="S16" i="6"/>
  <c r="R16" i="6"/>
  <c r="Q16" i="6"/>
  <c r="P16" i="6" s="1"/>
  <c r="T16" i="6" s="1"/>
  <c r="L16" i="6"/>
  <c r="K16" i="6"/>
  <c r="F16" i="6"/>
  <c r="E16" i="6"/>
  <c r="D16" i="6" s="1"/>
  <c r="H16" i="6" s="1"/>
  <c r="C16" i="6"/>
  <c r="S15" i="6"/>
  <c r="R15" i="6"/>
  <c r="Q15" i="6"/>
  <c r="P15" i="6"/>
  <c r="T15" i="6" s="1"/>
  <c r="L15" i="6"/>
  <c r="J15" i="6" s="1"/>
  <c r="K15" i="6"/>
  <c r="F15" i="6"/>
  <c r="E15" i="6"/>
  <c r="D15" i="6" s="1"/>
  <c r="C15" i="6"/>
  <c r="S14" i="6"/>
  <c r="R14" i="6"/>
  <c r="Q14" i="6"/>
  <c r="P14" i="6"/>
  <c r="T14" i="6" s="1"/>
  <c r="L14" i="6"/>
  <c r="K14" i="6"/>
  <c r="J14" i="6"/>
  <c r="M14" i="6" s="1"/>
  <c r="F14" i="6"/>
  <c r="E14" i="6"/>
  <c r="D14" i="6"/>
  <c r="C14" i="6"/>
  <c r="H14" i="6" s="1"/>
  <c r="Q13" i="6"/>
  <c r="P13" i="6"/>
  <c r="T13" i="6" s="1"/>
  <c r="L13" i="6"/>
  <c r="K13" i="6"/>
  <c r="J13" i="6" s="1"/>
  <c r="N13" i="6" s="1"/>
  <c r="F13" i="6"/>
  <c r="E13" i="6"/>
  <c r="D13" i="6"/>
  <c r="H13" i="6" s="1"/>
  <c r="C13" i="6"/>
  <c r="Q12" i="6"/>
  <c r="P12" i="6"/>
  <c r="S12" i="6" s="1"/>
  <c r="K12" i="6"/>
  <c r="J12" i="6"/>
  <c r="M12" i="6" s="1"/>
  <c r="H12" i="6"/>
  <c r="E12" i="6"/>
  <c r="D12" i="6"/>
  <c r="C12" i="6"/>
  <c r="T11" i="6"/>
  <c r="Q11" i="6"/>
  <c r="P11" i="6"/>
  <c r="S11" i="6" s="1"/>
  <c r="K11" i="6"/>
  <c r="J11" i="6" s="1"/>
  <c r="F11" i="6"/>
  <c r="E11" i="6"/>
  <c r="D11" i="6" s="1"/>
  <c r="C11" i="6"/>
  <c r="H11" i="6" s="1"/>
  <c r="R10" i="6"/>
  <c r="Q10" i="6"/>
  <c r="L10" i="6"/>
  <c r="L8" i="6" s="1"/>
  <c r="K10" i="6"/>
  <c r="F10" i="6"/>
  <c r="D10" i="6" s="1"/>
  <c r="E10" i="6"/>
  <c r="C10" i="6"/>
  <c r="H10" i="6" s="1"/>
  <c r="T9" i="6"/>
  <c r="R9" i="6"/>
  <c r="Q9" i="6"/>
  <c r="Q8" i="6" s="1"/>
  <c r="P9" i="6"/>
  <c r="S9" i="6" s="1"/>
  <c r="M9" i="6"/>
  <c r="L9" i="6"/>
  <c r="K9" i="6"/>
  <c r="J9" i="6" s="1"/>
  <c r="F9" i="6"/>
  <c r="F8" i="6" s="1"/>
  <c r="E9" i="6"/>
  <c r="C9" i="6"/>
  <c r="O8" i="6"/>
  <c r="I8" i="6"/>
  <c r="C8" i="6"/>
  <c r="T17" i="6" l="1"/>
  <c r="S17" i="6"/>
  <c r="G26" i="6"/>
  <c r="M15" i="6"/>
  <c r="N15" i="6"/>
  <c r="N25" i="6"/>
  <c r="G41" i="6"/>
  <c r="M11" i="6"/>
  <c r="N11" i="6"/>
  <c r="G21" i="6"/>
  <c r="H21" i="6"/>
  <c r="G22" i="6"/>
  <c r="H22" i="6"/>
  <c r="D26" i="6"/>
  <c r="N35" i="6"/>
  <c r="H36" i="6"/>
  <c r="F121" i="6"/>
  <c r="N14" i="6"/>
  <c r="H20" i="6"/>
  <c r="C18" i="6"/>
  <c r="M20" i="6"/>
  <c r="H26" i="6"/>
  <c r="N27" i="6"/>
  <c r="H31" i="6"/>
  <c r="N34" i="6"/>
  <c r="M36" i="6"/>
  <c r="M37" i="6"/>
  <c r="T39" i="6"/>
  <c r="N42" i="6"/>
  <c r="G43" i="6"/>
  <c r="N44" i="6"/>
  <c r="M44" i="6"/>
  <c r="K46" i="6"/>
  <c r="J47" i="6"/>
  <c r="S51" i="6"/>
  <c r="T51" i="6"/>
  <c r="S58" i="6"/>
  <c r="P57" i="6"/>
  <c r="D57" i="6"/>
  <c r="T60" i="6"/>
  <c r="T62" i="6"/>
  <c r="S62" i="6"/>
  <c r="M64" i="6"/>
  <c r="H66" i="6"/>
  <c r="G66" i="6"/>
  <c r="G67" i="6"/>
  <c r="M68" i="6"/>
  <c r="N68" i="6"/>
  <c r="S73" i="6"/>
  <c r="T73" i="6"/>
  <c r="E74" i="6"/>
  <c r="D74" i="6" s="1"/>
  <c r="H74" i="6" s="1"/>
  <c r="D75" i="6"/>
  <c r="H75" i="6" s="1"/>
  <c r="I79" i="6"/>
  <c r="N80" i="6"/>
  <c r="G81" i="6"/>
  <c r="C79" i="6"/>
  <c r="T79" i="6"/>
  <c r="S79" i="6"/>
  <c r="D87" i="6"/>
  <c r="H87" i="6" s="1"/>
  <c r="H88" i="6"/>
  <c r="N88" i="6"/>
  <c r="N90" i="6"/>
  <c r="M90" i="6"/>
  <c r="S95" i="6"/>
  <c r="T95" i="6"/>
  <c r="O91" i="6"/>
  <c r="G96" i="6"/>
  <c r="H96" i="6"/>
  <c r="N98" i="6"/>
  <c r="H99" i="6"/>
  <c r="G99" i="6"/>
  <c r="M100" i="6"/>
  <c r="N100" i="6"/>
  <c r="H103" i="6"/>
  <c r="G115" i="6"/>
  <c r="H115" i="6"/>
  <c r="H116" i="6"/>
  <c r="E18" i="6"/>
  <c r="S22" i="6"/>
  <c r="M23" i="6"/>
  <c r="M25" i="6"/>
  <c r="O26" i="6"/>
  <c r="S28" i="6"/>
  <c r="S31" i="6"/>
  <c r="G32" i="6"/>
  <c r="G35" i="6"/>
  <c r="N36" i="6"/>
  <c r="N37" i="6"/>
  <c r="M38" i="6"/>
  <c r="M40" i="6"/>
  <c r="D42" i="6"/>
  <c r="H42" i="6" s="1"/>
  <c r="E41" i="6"/>
  <c r="D41" i="6" s="1"/>
  <c r="H41" i="6" s="1"/>
  <c r="H43" i="6"/>
  <c r="S43" i="6"/>
  <c r="S45" i="6"/>
  <c r="G47" i="6"/>
  <c r="E52" i="6"/>
  <c r="D52" i="6" s="1"/>
  <c r="H52" i="6" s="1"/>
  <c r="D55" i="6"/>
  <c r="G55" i="6" s="1"/>
  <c r="I57" i="6"/>
  <c r="O57" i="6"/>
  <c r="S59" i="6"/>
  <c r="M63" i="6"/>
  <c r="I62" i="6"/>
  <c r="S65" i="6"/>
  <c r="H67" i="6"/>
  <c r="H68" i="6"/>
  <c r="G68" i="6"/>
  <c r="S70" i="6"/>
  <c r="T70" i="6"/>
  <c r="N71" i="6"/>
  <c r="M71" i="6"/>
  <c r="R74" i="6"/>
  <c r="P75" i="6"/>
  <c r="D91" i="6"/>
  <c r="H91" i="6" s="1"/>
  <c r="T102" i="6"/>
  <c r="S102" i="6"/>
  <c r="O101" i="6"/>
  <c r="D103" i="6"/>
  <c r="G103" i="6" s="1"/>
  <c r="E101" i="6"/>
  <c r="D101" i="6" s="1"/>
  <c r="K110" i="6"/>
  <c r="J112" i="6"/>
  <c r="N112" i="6" s="1"/>
  <c r="T113" i="6"/>
  <c r="S113" i="6"/>
  <c r="S119" i="6"/>
  <c r="T119" i="6"/>
  <c r="E8" i="6"/>
  <c r="K8" i="6"/>
  <c r="P8" i="6"/>
  <c r="N9" i="6"/>
  <c r="J10" i="6"/>
  <c r="T12" i="6"/>
  <c r="S13" i="6"/>
  <c r="H15" i="6"/>
  <c r="F18" i="6"/>
  <c r="Q18" i="6"/>
  <c r="Q121" i="6" s="1"/>
  <c r="O18" i="6"/>
  <c r="S19" i="6"/>
  <c r="T20" i="6"/>
  <c r="S24" i="6"/>
  <c r="P27" i="6"/>
  <c r="G28" i="6"/>
  <c r="G30" i="6"/>
  <c r="M33" i="6"/>
  <c r="M35" i="6"/>
  <c r="O36" i="6"/>
  <c r="S38" i="6"/>
  <c r="P42" i="6"/>
  <c r="P41" i="6" s="1"/>
  <c r="S41" i="6" s="1"/>
  <c r="Q41" i="6"/>
  <c r="E46" i="6"/>
  <c r="D46" i="6" s="1"/>
  <c r="G46" i="6" s="1"/>
  <c r="H47" i="6"/>
  <c r="G50" i="6"/>
  <c r="Q52" i="6"/>
  <c r="P53" i="6"/>
  <c r="J58" i="6"/>
  <c r="J57" i="6" s="1"/>
  <c r="K57" i="6"/>
  <c r="G59" i="6"/>
  <c r="H59" i="6"/>
  <c r="G63" i="6"/>
  <c r="H63" i="6"/>
  <c r="C62" i="6"/>
  <c r="T66" i="6"/>
  <c r="S66" i="6"/>
  <c r="G72" i="6"/>
  <c r="J74" i="6"/>
  <c r="N74" i="6" s="1"/>
  <c r="N81" i="6"/>
  <c r="G85" i="6"/>
  <c r="Q87" i="6"/>
  <c r="P88" i="6"/>
  <c r="E91" i="6"/>
  <c r="P91" i="6"/>
  <c r="S105" i="6"/>
  <c r="T105" i="6"/>
  <c r="M107" i="6"/>
  <c r="I106" i="6"/>
  <c r="O110" i="6"/>
  <c r="K116" i="6"/>
  <c r="J116" i="6" s="1"/>
  <c r="J117" i="6"/>
  <c r="N117" i="6" s="1"/>
  <c r="R8" i="6"/>
  <c r="P10" i="6"/>
  <c r="N12" i="6"/>
  <c r="M13" i="6"/>
  <c r="J16" i="6"/>
  <c r="M16" i="6" s="1"/>
  <c r="J19" i="6"/>
  <c r="K18" i="6"/>
  <c r="T19" i="6"/>
  <c r="G20" i="6"/>
  <c r="P20" i="6"/>
  <c r="S20" i="6" s="1"/>
  <c r="T21" i="6"/>
  <c r="T23" i="6"/>
  <c r="G24" i="6"/>
  <c r="S25" i="6"/>
  <c r="D27" i="6"/>
  <c r="H27" i="6" s="1"/>
  <c r="I26" i="6"/>
  <c r="M27" i="6"/>
  <c r="Q26" i="6"/>
  <c r="H29" i="6"/>
  <c r="M29" i="6"/>
  <c r="T30" i="6"/>
  <c r="N32" i="6"/>
  <c r="S32" i="6"/>
  <c r="H34" i="6"/>
  <c r="G37" i="6"/>
  <c r="P37" i="6"/>
  <c r="N39" i="6"/>
  <c r="T40" i="6"/>
  <c r="S40" i="6"/>
  <c r="M42" i="6"/>
  <c r="J43" i="6"/>
  <c r="M43" i="6" s="1"/>
  <c r="S44" i="6"/>
  <c r="Q46" i="6"/>
  <c r="M48" i="6"/>
  <c r="I46" i="6"/>
  <c r="T49" i="6"/>
  <c r="S49" i="6"/>
  <c r="H51" i="6"/>
  <c r="G51" i="6"/>
  <c r="G52" i="6"/>
  <c r="J53" i="6"/>
  <c r="K52" i="6"/>
  <c r="N54" i="6"/>
  <c r="T58" i="6"/>
  <c r="T59" i="6"/>
  <c r="N60" i="6"/>
  <c r="T63" i="6"/>
  <c r="Q66" i="6"/>
  <c r="P66" i="6"/>
  <c r="S68" i="6"/>
  <c r="M69" i="6"/>
  <c r="T71" i="6"/>
  <c r="H73" i="6"/>
  <c r="G73" i="6"/>
  <c r="G74" i="6"/>
  <c r="S75" i="6"/>
  <c r="H76" i="6"/>
  <c r="H77" i="6"/>
  <c r="K79" i="6"/>
  <c r="J79" i="6" s="1"/>
  <c r="G80" i="6"/>
  <c r="M80" i="6"/>
  <c r="H81" i="6"/>
  <c r="I87" i="6"/>
  <c r="M88" i="6"/>
  <c r="G98" i="6"/>
  <c r="S98" i="6"/>
  <c r="J103" i="6"/>
  <c r="M103" i="6" s="1"/>
  <c r="M105" i="6"/>
  <c r="N105" i="6"/>
  <c r="J107" i="6"/>
  <c r="N107" i="6" s="1"/>
  <c r="K106" i="6"/>
  <c r="G112" i="6"/>
  <c r="T114" i="6"/>
  <c r="E116" i="6"/>
  <c r="D116" i="6" s="1"/>
  <c r="G116" i="6" s="1"/>
  <c r="D117" i="6"/>
  <c r="G117" i="6" s="1"/>
  <c r="M118" i="6"/>
  <c r="N118" i="6"/>
  <c r="S42" i="6"/>
  <c r="G45" i="6"/>
  <c r="H49" i="6"/>
  <c r="M49" i="6"/>
  <c r="S50" i="6"/>
  <c r="N53" i="6"/>
  <c r="H55" i="6"/>
  <c r="M55" i="6"/>
  <c r="H61" i="6"/>
  <c r="M61" i="6"/>
  <c r="P62" i="6"/>
  <c r="S67" i="6"/>
  <c r="S72" i="6"/>
  <c r="G75" i="6"/>
  <c r="G76" i="6"/>
  <c r="G78" i="6"/>
  <c r="E79" i="6"/>
  <c r="D79" i="6" s="1"/>
  <c r="H83" i="6"/>
  <c r="M83" i="6"/>
  <c r="M86" i="6"/>
  <c r="G91" i="6"/>
  <c r="J91" i="6"/>
  <c r="M91" i="6" s="1"/>
  <c r="M92" i="6"/>
  <c r="M95" i="6"/>
  <c r="N95" i="6"/>
  <c r="C101" i="6"/>
  <c r="H102" i="6"/>
  <c r="I101" i="6"/>
  <c r="M102" i="6"/>
  <c r="P101" i="6"/>
  <c r="S103" i="6"/>
  <c r="T103" i="6"/>
  <c r="D106" i="6"/>
  <c r="G106" i="6" s="1"/>
  <c r="P110" i="6"/>
  <c r="T111" i="6"/>
  <c r="S112" i="6"/>
  <c r="S115" i="6"/>
  <c r="T115" i="6"/>
  <c r="O46" i="6"/>
  <c r="S47" i="6"/>
  <c r="D49" i="6"/>
  <c r="G49" i="6" s="1"/>
  <c r="J50" i="6"/>
  <c r="M50" i="6" s="1"/>
  <c r="C57" i="6"/>
  <c r="H58" i="6"/>
  <c r="D61" i="6"/>
  <c r="G61" i="6" s="1"/>
  <c r="T64" i="6"/>
  <c r="I66" i="6"/>
  <c r="J67" i="6"/>
  <c r="T69" i="6"/>
  <c r="J72" i="6"/>
  <c r="M72" i="6" s="1"/>
  <c r="M74" i="6"/>
  <c r="M75" i="6"/>
  <c r="Q74" i="6"/>
  <c r="M77" i="6"/>
  <c r="S80" i="6"/>
  <c r="H84" i="6"/>
  <c r="M84" i="6"/>
  <c r="D86" i="6"/>
  <c r="H86" i="6" s="1"/>
  <c r="S86" i="6"/>
  <c r="G88" i="6"/>
  <c r="G89" i="6"/>
  <c r="T89" i="6"/>
  <c r="T90" i="6"/>
  <c r="H92" i="6"/>
  <c r="G92" i="6"/>
  <c r="K91" i="6"/>
  <c r="H97" i="6"/>
  <c r="N97" i="6"/>
  <c r="M97" i="6"/>
  <c r="J104" i="6"/>
  <c r="N104" i="6" s="1"/>
  <c r="T106" i="6"/>
  <c r="S107" i="6"/>
  <c r="C110" i="6"/>
  <c r="D111" i="6"/>
  <c r="E110" i="6"/>
  <c r="L110" i="6"/>
  <c r="J111" i="6"/>
  <c r="Q110" i="6"/>
  <c r="G113" i="6"/>
  <c r="M114" i="6"/>
  <c r="N114" i="6"/>
  <c r="N115" i="6"/>
  <c r="D118" i="6"/>
  <c r="H118" i="6" s="1"/>
  <c r="S118" i="6"/>
  <c r="O116" i="6"/>
  <c r="T116" i="6" s="1"/>
  <c r="G119" i="6"/>
  <c r="H119" i="6"/>
  <c r="G120" i="6"/>
  <c r="D84" i="6"/>
  <c r="G84" i="6" s="1"/>
  <c r="N85" i="6"/>
  <c r="S88" i="6"/>
  <c r="S92" i="6"/>
  <c r="T92" i="6"/>
  <c r="M104" i="6"/>
  <c r="S104" i="6"/>
  <c r="G107" i="6"/>
  <c r="D108" i="6"/>
  <c r="G108" i="6" s="1"/>
  <c r="T108" i="6"/>
  <c r="S111" i="6"/>
  <c r="F110" i="6"/>
  <c r="H114" i="6"/>
  <c r="T117" i="6"/>
  <c r="N96" i="6"/>
  <c r="S96" i="6"/>
  <c r="J98" i="6"/>
  <c r="M98" i="6" s="1"/>
  <c r="J102" i="6"/>
  <c r="L106" i="6"/>
  <c r="L121" i="6" s="1"/>
  <c r="N109" i="6"/>
  <c r="M112" i="6"/>
  <c r="H117" i="6"/>
  <c r="I116" i="6"/>
  <c r="M67" i="6" l="1"/>
  <c r="M66" i="6" s="1"/>
  <c r="J66" i="6"/>
  <c r="H101" i="6"/>
  <c r="G101" i="6"/>
  <c r="J106" i="6"/>
  <c r="N106" i="6" s="1"/>
  <c r="J52" i="6"/>
  <c r="M53" i="6"/>
  <c r="S8" i="6"/>
  <c r="H106" i="6"/>
  <c r="P74" i="6"/>
  <c r="T75" i="6"/>
  <c r="M58" i="6"/>
  <c r="O121" i="6"/>
  <c r="T91" i="6"/>
  <c r="S91" i="6"/>
  <c r="N91" i="6"/>
  <c r="N47" i="6"/>
  <c r="J46" i="6"/>
  <c r="M46" i="6" s="1"/>
  <c r="G18" i="6"/>
  <c r="T41" i="6"/>
  <c r="J101" i="6"/>
  <c r="N101" i="6" s="1"/>
  <c r="G118" i="6"/>
  <c r="N103" i="6"/>
  <c r="D110" i="6"/>
  <c r="G110" i="6" s="1"/>
  <c r="H111" i="6"/>
  <c r="N66" i="6"/>
  <c r="G57" i="6"/>
  <c r="H57" i="6"/>
  <c r="S46" i="6"/>
  <c r="T46" i="6"/>
  <c r="N67" i="6"/>
  <c r="M47" i="6"/>
  <c r="G42" i="6"/>
  <c r="M87" i="6"/>
  <c r="N87" i="6"/>
  <c r="P36" i="6"/>
  <c r="T36" i="6" s="1"/>
  <c r="T37" i="6"/>
  <c r="M19" i="6"/>
  <c r="J18" i="6"/>
  <c r="T10" i="6"/>
  <c r="S10" i="6"/>
  <c r="P52" i="6"/>
  <c r="T53" i="6"/>
  <c r="P26" i="6"/>
  <c r="T26" i="6" s="1"/>
  <c r="T27" i="6"/>
  <c r="N10" i="6"/>
  <c r="M10" i="6"/>
  <c r="K121" i="6"/>
  <c r="N58" i="6"/>
  <c r="H46" i="6"/>
  <c r="S27" i="6"/>
  <c r="M79" i="6"/>
  <c r="N79" i="6"/>
  <c r="P18" i="6"/>
  <c r="M116" i="6"/>
  <c r="N116" i="6"/>
  <c r="S110" i="6"/>
  <c r="J110" i="6"/>
  <c r="M111" i="6"/>
  <c r="H110" i="6"/>
  <c r="N102" i="6"/>
  <c r="N50" i="6"/>
  <c r="N46" i="6"/>
  <c r="R121" i="6"/>
  <c r="T110" i="6"/>
  <c r="T88" i="6"/>
  <c r="P87" i="6"/>
  <c r="H62" i="6"/>
  <c r="G62" i="6"/>
  <c r="N43" i="6"/>
  <c r="G27" i="6"/>
  <c r="S18" i="6"/>
  <c r="T18" i="6"/>
  <c r="J8" i="6"/>
  <c r="E121" i="6"/>
  <c r="S57" i="6"/>
  <c r="T57" i="6"/>
  <c r="T42" i="6"/>
  <c r="D18" i="6"/>
  <c r="H18" i="6" s="1"/>
  <c r="I121" i="6"/>
  <c r="G87" i="6"/>
  <c r="H79" i="6"/>
  <c r="G79" i="6"/>
  <c r="J41" i="6"/>
  <c r="C121" i="6"/>
  <c r="M117" i="6"/>
  <c r="H108" i="6"/>
  <c r="N111" i="6"/>
  <c r="S116" i="6"/>
  <c r="G111" i="6"/>
  <c r="G86" i="6"/>
  <c r="N72" i="6"/>
  <c r="S53" i="6"/>
  <c r="M26" i="6"/>
  <c r="N26" i="6"/>
  <c r="H9" i="6"/>
  <c r="M106" i="6"/>
  <c r="S37" i="6"/>
  <c r="N19" i="6"/>
  <c r="T101" i="6"/>
  <c r="S101" i="6"/>
  <c r="N62" i="6"/>
  <c r="M62" i="6"/>
  <c r="N57" i="6"/>
  <c r="M57" i="6"/>
  <c r="T8" i="6"/>
  <c r="N41" i="6" l="1"/>
  <c r="M41" i="6"/>
  <c r="J121" i="6"/>
  <c r="N121" i="6" s="1"/>
  <c r="M8" i="6"/>
  <c r="N8" i="6"/>
  <c r="P121" i="6"/>
  <c r="N52" i="6"/>
  <c r="M52" i="6"/>
  <c r="M18" i="6"/>
  <c r="N18" i="6"/>
  <c r="T74" i="6"/>
  <c r="S74" i="6"/>
  <c r="S36" i="6"/>
  <c r="S121" i="6" s="1"/>
  <c r="S26" i="6"/>
  <c r="M110" i="6"/>
  <c r="N110" i="6"/>
  <c r="T52" i="6"/>
  <c r="S52" i="6"/>
  <c r="M101" i="6"/>
  <c r="T121" i="6"/>
  <c r="D121" i="6"/>
  <c r="H121" i="6" s="1"/>
  <c r="H8" i="6"/>
  <c r="S87" i="6"/>
  <c r="T87" i="6"/>
  <c r="M121" i="6" l="1"/>
  <c r="V39" i="4" l="1"/>
  <c r="U39" i="4"/>
  <c r="V38" i="4"/>
  <c r="T38" i="4"/>
  <c r="P38" i="4"/>
  <c r="P37" i="4" s="1"/>
  <c r="L38" i="4"/>
  <c r="H38" i="4"/>
  <c r="H37" i="4" s="1"/>
  <c r="D38" i="4"/>
  <c r="W37" i="4"/>
  <c r="V37" i="4"/>
  <c r="U37" i="4"/>
  <c r="T37" i="4"/>
  <c r="S37" i="4"/>
  <c r="R37" i="4"/>
  <c r="Q37" i="4"/>
  <c r="O37" i="4"/>
  <c r="N37" i="4"/>
  <c r="M37" i="4"/>
  <c r="L37" i="4"/>
  <c r="K37" i="4"/>
  <c r="J37" i="4"/>
  <c r="I37" i="4"/>
  <c r="G37" i="4"/>
  <c r="D37" i="4" s="1"/>
  <c r="F37" i="4"/>
  <c r="E37" i="4"/>
  <c r="T36" i="4"/>
  <c r="P36" i="4"/>
  <c r="L36" i="4"/>
  <c r="H36" i="4"/>
  <c r="D36" i="4"/>
  <c r="W35" i="4"/>
  <c r="V35" i="4"/>
  <c r="U35" i="4"/>
  <c r="T35" i="4"/>
  <c r="S35" i="4"/>
  <c r="R35" i="4"/>
  <c r="Q35" i="4"/>
  <c r="P35" i="4"/>
  <c r="O35" i="4"/>
  <c r="N35" i="4"/>
  <c r="M35" i="4"/>
  <c r="L35" i="4"/>
  <c r="K35" i="4"/>
  <c r="J35" i="4"/>
  <c r="I35" i="4"/>
  <c r="H35" i="4"/>
  <c r="G35" i="4"/>
  <c r="F35" i="4"/>
  <c r="E35" i="4"/>
  <c r="D35" i="4"/>
  <c r="T34" i="4"/>
  <c r="P34" i="4"/>
  <c r="P33" i="4" s="1"/>
  <c r="L34" i="4"/>
  <c r="L33" i="4" s="1"/>
  <c r="H34" i="4"/>
  <c r="H33" i="4" s="1"/>
  <c r="D34" i="4"/>
  <c r="W33" i="4"/>
  <c r="V33" i="4"/>
  <c r="U33" i="4"/>
  <c r="T33" i="4"/>
  <c r="S33" i="4"/>
  <c r="R33" i="4"/>
  <c r="Q33" i="4"/>
  <c r="Q39" i="4" s="1"/>
  <c r="O33" i="4"/>
  <c r="N33" i="4"/>
  <c r="M33" i="4"/>
  <c r="M39" i="4" s="1"/>
  <c r="K33" i="4"/>
  <c r="J33" i="4"/>
  <c r="I33" i="4"/>
  <c r="I39" i="4" s="1"/>
  <c r="G33" i="4"/>
  <c r="F33" i="4"/>
  <c r="E33" i="4"/>
  <c r="D33" i="4" s="1"/>
  <c r="T32" i="4"/>
  <c r="P32" i="4"/>
  <c r="P31" i="4" s="1"/>
  <c r="L32" i="4"/>
  <c r="L31" i="4" s="1"/>
  <c r="H32" i="4"/>
  <c r="D32" i="4"/>
  <c r="W31" i="4"/>
  <c r="V31" i="4"/>
  <c r="U31" i="4"/>
  <c r="T31" i="4"/>
  <c r="S31" i="4"/>
  <c r="R31" i="4"/>
  <c r="Q31" i="4"/>
  <c r="O31" i="4"/>
  <c r="N31" i="4"/>
  <c r="M31" i="4"/>
  <c r="K31" i="4"/>
  <c r="J31" i="4"/>
  <c r="I31" i="4"/>
  <c r="H31" i="4"/>
  <c r="G31" i="4"/>
  <c r="F31" i="4"/>
  <c r="D31" i="4" s="1"/>
  <c r="E31" i="4"/>
  <c r="T30" i="4"/>
  <c r="P30" i="4"/>
  <c r="P28" i="4" s="1"/>
  <c r="L30" i="4"/>
  <c r="H30" i="4"/>
  <c r="D30" i="4"/>
  <c r="T29" i="4"/>
  <c r="T28" i="4" s="1"/>
  <c r="P29" i="4"/>
  <c r="L29" i="4"/>
  <c r="H29" i="4"/>
  <c r="W28" i="4"/>
  <c r="V28" i="4"/>
  <c r="U28" i="4"/>
  <c r="S28" i="4"/>
  <c r="R28" i="4"/>
  <c r="Q28" i="4"/>
  <c r="O28" i="4"/>
  <c r="N28" i="4"/>
  <c r="M28" i="4"/>
  <c r="L28" i="4"/>
  <c r="K28" i="4"/>
  <c r="J28" i="4"/>
  <c r="I28" i="4"/>
  <c r="H28" i="4"/>
  <c r="G28" i="4"/>
  <c r="D28" i="4" s="1"/>
  <c r="F28" i="4"/>
  <c r="E28" i="4"/>
  <c r="T27" i="4"/>
  <c r="P27" i="4"/>
  <c r="L27" i="4"/>
  <c r="H27" i="4"/>
  <c r="D27" i="4"/>
  <c r="W26" i="4"/>
  <c r="V26" i="4"/>
  <c r="U26" i="4"/>
  <c r="T26" i="4"/>
  <c r="S26" i="4"/>
  <c r="R26" i="4"/>
  <c r="Q26" i="4"/>
  <c r="P26" i="4"/>
  <c r="O26" i="4"/>
  <c r="N26" i="4"/>
  <c r="M26" i="4"/>
  <c r="L26" i="4"/>
  <c r="K26" i="4"/>
  <c r="J26" i="4"/>
  <c r="I26" i="4"/>
  <c r="H26" i="4"/>
  <c r="G26" i="4"/>
  <c r="F26" i="4"/>
  <c r="E26" i="4"/>
  <c r="D26" i="4"/>
  <c r="T25" i="4"/>
  <c r="P25" i="4"/>
  <c r="L25" i="4"/>
  <c r="H25" i="4"/>
  <c r="D25" i="4"/>
  <c r="T24" i="4"/>
  <c r="P24" i="4"/>
  <c r="L24" i="4"/>
  <c r="H24" i="4"/>
  <c r="D24" i="4"/>
  <c r="T23" i="4"/>
  <c r="P23" i="4"/>
  <c r="L23" i="4"/>
  <c r="H23" i="4"/>
  <c r="D23" i="4"/>
  <c r="T22" i="4"/>
  <c r="T19" i="4" s="1"/>
  <c r="P22" i="4"/>
  <c r="L22" i="4"/>
  <c r="H22" i="4"/>
  <c r="D22" i="4"/>
  <c r="T21" i="4"/>
  <c r="P21" i="4"/>
  <c r="L21" i="4"/>
  <c r="H21" i="4"/>
  <c r="H19" i="4" s="1"/>
  <c r="D21" i="4"/>
  <c r="T20" i="4"/>
  <c r="P20" i="4"/>
  <c r="P19" i="4" s="1"/>
  <c r="L20" i="4"/>
  <c r="L19" i="4" s="1"/>
  <c r="H20" i="4"/>
  <c r="D20" i="4"/>
  <c r="W19" i="4"/>
  <c r="V19" i="4"/>
  <c r="U19" i="4"/>
  <c r="S19" i="4"/>
  <c r="R19" i="4"/>
  <c r="Q19" i="4"/>
  <c r="O19" i="4"/>
  <c r="N19" i="4"/>
  <c r="M19" i="4"/>
  <c r="K19" i="4"/>
  <c r="J19" i="4"/>
  <c r="I19" i="4"/>
  <c r="G19" i="4"/>
  <c r="F19" i="4"/>
  <c r="D19" i="4" s="1"/>
  <c r="E19" i="4"/>
  <c r="T18" i="4"/>
  <c r="P18" i="4"/>
  <c r="P17" i="4" s="1"/>
  <c r="L18" i="4"/>
  <c r="H18" i="4"/>
  <c r="D18" i="4"/>
  <c r="W17" i="4"/>
  <c r="V17" i="4"/>
  <c r="U17" i="4"/>
  <c r="T17" i="4"/>
  <c r="S17" i="4"/>
  <c r="R17" i="4"/>
  <c r="Q17" i="4"/>
  <c r="O17" i="4"/>
  <c r="N17" i="4"/>
  <c r="M17" i="4"/>
  <c r="L17" i="4"/>
  <c r="K17" i="4"/>
  <c r="J17" i="4"/>
  <c r="I17" i="4"/>
  <c r="H17" i="4"/>
  <c r="G17" i="4"/>
  <c r="D17" i="4" s="1"/>
  <c r="F17" i="4"/>
  <c r="E17" i="4"/>
  <c r="T16" i="4"/>
  <c r="P16" i="4"/>
  <c r="L16" i="4"/>
  <c r="H16" i="4"/>
  <c r="D16" i="4"/>
  <c r="T15" i="4"/>
  <c r="P15" i="4"/>
  <c r="L15" i="4"/>
  <c r="H15" i="4"/>
  <c r="D15" i="4"/>
  <c r="T14" i="4"/>
  <c r="P14" i="4"/>
  <c r="L14" i="4"/>
  <c r="H14" i="4"/>
  <c r="D14" i="4"/>
  <c r="T13" i="4"/>
  <c r="P13" i="4"/>
  <c r="L13" i="4"/>
  <c r="H13" i="4"/>
  <c r="D13" i="4"/>
  <c r="T12" i="4"/>
  <c r="T9" i="4" s="1"/>
  <c r="T39" i="4" s="1"/>
  <c r="P12" i="4"/>
  <c r="L12" i="4"/>
  <c r="H12" i="4"/>
  <c r="D12" i="4"/>
  <c r="T11" i="4"/>
  <c r="P11" i="4"/>
  <c r="L11" i="4"/>
  <c r="H11" i="4"/>
  <c r="D11" i="4"/>
  <c r="T10" i="4"/>
  <c r="P10" i="4"/>
  <c r="P9" i="4" s="1"/>
  <c r="L10" i="4"/>
  <c r="L9" i="4" s="1"/>
  <c r="L39" i="4" s="1"/>
  <c r="H10" i="4"/>
  <c r="D10" i="4"/>
  <c r="W9" i="4"/>
  <c r="W39" i="4" s="1"/>
  <c r="V9" i="4"/>
  <c r="U9" i="4"/>
  <c r="S9" i="4"/>
  <c r="S39" i="4" s="1"/>
  <c r="R9" i="4"/>
  <c r="R39" i="4" s="1"/>
  <c r="Q9" i="4"/>
  <c r="O9" i="4"/>
  <c r="O39" i="4" s="1"/>
  <c r="N9" i="4"/>
  <c r="N39" i="4" s="1"/>
  <c r="M9" i="4"/>
  <c r="K9" i="4"/>
  <c r="K39" i="4" s="1"/>
  <c r="J9" i="4"/>
  <c r="J39" i="4" s="1"/>
  <c r="I9" i="4"/>
  <c r="G9" i="4"/>
  <c r="G39" i="4" s="1"/>
  <c r="F9" i="4"/>
  <c r="D9" i="4" s="1"/>
  <c r="D39" i="4" s="1"/>
  <c r="E9" i="4"/>
  <c r="D90" i="5"/>
  <c r="E92" i="5"/>
  <c r="E90" i="5"/>
  <c r="B10" i="5"/>
  <c r="J87" i="5"/>
  <c r="I87" i="5"/>
  <c r="I86" i="5"/>
  <c r="G86" i="5"/>
  <c r="E86" i="5"/>
  <c r="I85" i="5"/>
  <c r="G85" i="5"/>
  <c r="E85" i="5"/>
  <c r="I84" i="5"/>
  <c r="G84" i="5"/>
  <c r="E84" i="5"/>
  <c r="H83" i="5"/>
  <c r="F83" i="5"/>
  <c r="D83" i="5"/>
  <c r="C83" i="5"/>
  <c r="B83" i="5"/>
  <c r="I82" i="5"/>
  <c r="G82" i="5"/>
  <c r="E82" i="5"/>
  <c r="H81" i="5"/>
  <c r="F81" i="5"/>
  <c r="G81" i="5" s="1"/>
  <c r="D81" i="5"/>
  <c r="C81" i="5"/>
  <c r="B81" i="5"/>
  <c r="I79" i="5"/>
  <c r="G79" i="5"/>
  <c r="E79" i="5"/>
  <c r="H78" i="5"/>
  <c r="F78" i="5"/>
  <c r="D78" i="5"/>
  <c r="C78" i="5"/>
  <c r="B78" i="5"/>
  <c r="I77" i="5"/>
  <c r="G77" i="5"/>
  <c r="E77" i="5"/>
  <c r="I76" i="5"/>
  <c r="G76" i="5"/>
  <c r="E76" i="5"/>
  <c r="I75" i="5"/>
  <c r="G75" i="5"/>
  <c r="E75" i="5"/>
  <c r="H73" i="5"/>
  <c r="F73" i="5"/>
  <c r="G73" i="5" s="1"/>
  <c r="D73" i="5"/>
  <c r="C73" i="5"/>
  <c r="B73" i="5"/>
  <c r="I72" i="5"/>
  <c r="G72" i="5"/>
  <c r="E72" i="5"/>
  <c r="I71" i="5"/>
  <c r="G71" i="5"/>
  <c r="E71" i="5"/>
  <c r="I70" i="5"/>
  <c r="G70" i="5"/>
  <c r="E70" i="5"/>
  <c r="I69" i="5"/>
  <c r="G69" i="5"/>
  <c r="E69" i="5"/>
  <c r="I68" i="5"/>
  <c r="G68" i="5"/>
  <c r="E68" i="5"/>
  <c r="H67" i="5"/>
  <c r="F67" i="5"/>
  <c r="D67" i="5"/>
  <c r="C67" i="5"/>
  <c r="B67" i="5"/>
  <c r="I66" i="5"/>
  <c r="G66" i="5"/>
  <c r="E66" i="5"/>
  <c r="I65" i="5"/>
  <c r="G65" i="5"/>
  <c r="E65" i="5"/>
  <c r="I64" i="5"/>
  <c r="G64" i="5"/>
  <c r="E64" i="5"/>
  <c r="I63" i="5"/>
  <c r="G63" i="5"/>
  <c r="E63" i="5"/>
  <c r="I62" i="5"/>
  <c r="G62" i="5"/>
  <c r="E62" i="5"/>
  <c r="I61" i="5"/>
  <c r="G61" i="5"/>
  <c r="E61" i="5"/>
  <c r="I60" i="5"/>
  <c r="G60" i="5"/>
  <c r="E60" i="5"/>
  <c r="H59" i="5"/>
  <c r="F59" i="5"/>
  <c r="G59" i="5" s="1"/>
  <c r="D59" i="5"/>
  <c r="C59" i="5"/>
  <c r="E59" i="5" s="1"/>
  <c r="B59" i="5"/>
  <c r="I58" i="5"/>
  <c r="G58" i="5"/>
  <c r="E58" i="5"/>
  <c r="I57" i="5"/>
  <c r="G57" i="5"/>
  <c r="E57" i="5"/>
  <c r="H56" i="5"/>
  <c r="F56" i="5"/>
  <c r="D56" i="5"/>
  <c r="C56" i="5"/>
  <c r="B56" i="5"/>
  <c r="I55" i="5"/>
  <c r="G55" i="5"/>
  <c r="E55" i="5"/>
  <c r="I54" i="5"/>
  <c r="G54" i="5"/>
  <c r="E54" i="5"/>
  <c r="I53" i="5"/>
  <c r="G53" i="5"/>
  <c r="E53" i="5"/>
  <c r="B52" i="5"/>
  <c r="B46" i="5" s="1"/>
  <c r="I51" i="5"/>
  <c r="G51" i="5"/>
  <c r="E51" i="5"/>
  <c r="I50" i="5"/>
  <c r="G50" i="5"/>
  <c r="E50" i="5"/>
  <c r="I49" i="5"/>
  <c r="G49" i="5"/>
  <c r="E49" i="5"/>
  <c r="I48" i="5"/>
  <c r="G48" i="5"/>
  <c r="E48" i="5"/>
  <c r="I47" i="5"/>
  <c r="G47" i="5"/>
  <c r="E47" i="5"/>
  <c r="H46" i="5"/>
  <c r="F46" i="5"/>
  <c r="D46" i="5"/>
  <c r="C46" i="5"/>
  <c r="I45" i="5"/>
  <c r="E45" i="5"/>
  <c r="B44" i="5"/>
  <c r="B41" i="5" s="1"/>
  <c r="I43" i="5"/>
  <c r="G43" i="5"/>
  <c r="E43" i="5"/>
  <c r="H41" i="5"/>
  <c r="F41" i="5"/>
  <c r="G41" i="5" s="1"/>
  <c r="D41" i="5"/>
  <c r="J41" i="5" s="1"/>
  <c r="K41" i="5" s="1"/>
  <c r="C41" i="5"/>
  <c r="I40" i="5"/>
  <c r="G40" i="5"/>
  <c r="E40" i="5"/>
  <c r="I39" i="5"/>
  <c r="G39" i="5"/>
  <c r="E39" i="5"/>
  <c r="I38" i="5"/>
  <c r="G38" i="5"/>
  <c r="E38" i="5"/>
  <c r="I37" i="5"/>
  <c r="G37" i="5"/>
  <c r="E37" i="5"/>
  <c r="J36" i="5"/>
  <c r="K36" i="5" s="1"/>
  <c r="H36" i="5"/>
  <c r="F36" i="5"/>
  <c r="I36" i="5" s="1"/>
  <c r="D36" i="5"/>
  <c r="C36" i="5"/>
  <c r="B36" i="5"/>
  <c r="I35" i="5"/>
  <c r="G35" i="5"/>
  <c r="E35" i="5"/>
  <c r="I34" i="5"/>
  <c r="G34" i="5"/>
  <c r="E34" i="5"/>
  <c r="I33" i="5"/>
  <c r="G33" i="5"/>
  <c r="E33" i="5"/>
  <c r="I32" i="5"/>
  <c r="G32" i="5"/>
  <c r="E32" i="5"/>
  <c r="I31" i="5"/>
  <c r="G31" i="5"/>
  <c r="E31" i="5"/>
  <c r="I30" i="5"/>
  <c r="G30" i="5"/>
  <c r="E30" i="5"/>
  <c r="I29" i="5"/>
  <c r="G29" i="5"/>
  <c r="E29" i="5"/>
  <c r="I28" i="5"/>
  <c r="G28" i="5"/>
  <c r="E28" i="5"/>
  <c r="E27" i="5"/>
  <c r="I26" i="5"/>
  <c r="G26" i="5"/>
  <c r="E26" i="5"/>
  <c r="I25" i="5"/>
  <c r="G25" i="5"/>
  <c r="E25" i="5"/>
  <c r="B25" i="5"/>
  <c r="H24" i="5"/>
  <c r="H92" i="5" s="1"/>
  <c r="F24" i="5"/>
  <c r="D24" i="5"/>
  <c r="E24" i="5" s="1"/>
  <c r="C24" i="5"/>
  <c r="B24" i="5"/>
  <c r="I23" i="5"/>
  <c r="G23" i="5"/>
  <c r="E23" i="5"/>
  <c r="B23" i="5"/>
  <c r="I22" i="5"/>
  <c r="G22" i="5"/>
  <c r="E22" i="5"/>
  <c r="B22" i="5"/>
  <c r="H21" i="5"/>
  <c r="F21" i="5"/>
  <c r="D21" i="5"/>
  <c r="G21" i="5" s="1"/>
  <c r="C21" i="5"/>
  <c r="I20" i="5"/>
  <c r="G20" i="5"/>
  <c r="E20" i="5"/>
  <c r="B20" i="5"/>
  <c r="B19" i="5" s="1"/>
  <c r="H19" i="5"/>
  <c r="F19" i="5"/>
  <c r="D19" i="5"/>
  <c r="C19" i="5"/>
  <c r="I18" i="5"/>
  <c r="G18" i="5"/>
  <c r="E18" i="5"/>
  <c r="B18" i="5"/>
  <c r="I17" i="5"/>
  <c r="G17" i="5"/>
  <c r="E17" i="5"/>
  <c r="I16" i="5"/>
  <c r="G16" i="5"/>
  <c r="E16" i="5"/>
  <c r="I15" i="5"/>
  <c r="G15" i="5"/>
  <c r="E15" i="5"/>
  <c r="I14" i="5"/>
  <c r="G14" i="5"/>
  <c r="E14" i="5"/>
  <c r="I13" i="5"/>
  <c r="G13" i="5"/>
  <c r="E13" i="5"/>
  <c r="B13" i="5"/>
  <c r="I12" i="5"/>
  <c r="G12" i="5"/>
  <c r="E12" i="5"/>
  <c r="B12" i="5"/>
  <c r="I11" i="5"/>
  <c r="G11" i="5"/>
  <c r="E11" i="5"/>
  <c r="B11" i="5"/>
  <c r="I10" i="5"/>
  <c r="G10" i="5"/>
  <c r="E10" i="5"/>
  <c r="H9" i="5"/>
  <c r="F9" i="5"/>
  <c r="G9" i="5" s="1"/>
  <c r="D9" i="5"/>
  <c r="C9" i="5"/>
  <c r="C88" i="5" s="1"/>
  <c r="J9" i="9"/>
  <c r="H9" i="9"/>
  <c r="H9" i="4" l="1"/>
  <c r="H39" i="4" s="1"/>
  <c r="P39" i="4"/>
  <c r="E39" i="4"/>
  <c r="F39" i="4"/>
  <c r="B21" i="5"/>
  <c r="I41" i="5"/>
  <c r="B90" i="5"/>
  <c r="G19" i="5"/>
  <c r="C92" i="5"/>
  <c r="B92" i="5"/>
  <c r="E56" i="5"/>
  <c r="I73" i="5"/>
  <c r="E78" i="5"/>
  <c r="E83" i="5"/>
  <c r="E19" i="5"/>
  <c r="I21" i="5"/>
  <c r="G24" i="5"/>
  <c r="C90" i="5"/>
  <c r="C91" i="5" s="1"/>
  <c r="G56" i="5"/>
  <c r="B9" i="5"/>
  <c r="B88" i="5" s="1"/>
  <c r="B93" i="5" s="1"/>
  <c r="J83" i="5"/>
  <c r="K83" i="5" s="1"/>
  <c r="E67" i="5"/>
  <c r="J73" i="5"/>
  <c r="K73" i="5" s="1"/>
  <c r="J78" i="5"/>
  <c r="K78" i="5" s="1"/>
  <c r="I81" i="5"/>
  <c r="J21" i="5"/>
  <c r="K21" i="5" s="1"/>
  <c r="I24" i="5"/>
  <c r="G46" i="5"/>
  <c r="I56" i="5"/>
  <c r="G67" i="5"/>
  <c r="G83" i="5"/>
  <c r="I19" i="5"/>
  <c r="E36" i="5"/>
  <c r="J59" i="5"/>
  <c r="K59" i="5" s="1"/>
  <c r="I59" i="5"/>
  <c r="I67" i="5"/>
  <c r="E73" i="5"/>
  <c r="G78" i="5"/>
  <c r="E81" i="5"/>
  <c r="C93" i="5"/>
  <c r="J19" i="5"/>
  <c r="K19" i="5" s="1"/>
  <c r="E41" i="5"/>
  <c r="J56" i="5"/>
  <c r="K56" i="5" s="1"/>
  <c r="D88" i="5"/>
  <c r="J9" i="5"/>
  <c r="E21" i="5"/>
  <c r="G36" i="5"/>
  <c r="H90" i="5"/>
  <c r="K67" i="5"/>
  <c r="L67" i="5" s="1"/>
  <c r="F92" i="5"/>
  <c r="H88" i="5"/>
  <c r="J24" i="5"/>
  <c r="K24" i="5" s="1"/>
  <c r="I46" i="5"/>
  <c r="F88" i="5"/>
  <c r="F90" i="5"/>
  <c r="E9" i="5"/>
  <c r="I9" i="5"/>
  <c r="D92" i="5"/>
  <c r="E46" i="5"/>
  <c r="J46" i="5"/>
  <c r="K46" i="5" s="1"/>
  <c r="I78" i="5"/>
  <c r="I83" i="5"/>
  <c r="J81" i="5"/>
  <c r="K81" i="5" s="1"/>
  <c r="I40" i="9"/>
  <c r="G40" i="9"/>
  <c r="E40" i="9"/>
  <c r="D40" i="9"/>
  <c r="C40" i="9"/>
  <c r="J38" i="9"/>
  <c r="H38" i="9"/>
  <c r="F38" i="9"/>
  <c r="J37" i="9"/>
  <c r="H37" i="9"/>
  <c r="F37" i="9"/>
  <c r="J36" i="9"/>
  <c r="H36" i="9"/>
  <c r="F36" i="9"/>
  <c r="J35" i="9"/>
  <c r="H35" i="9"/>
  <c r="F35" i="9"/>
  <c r="J34" i="9"/>
  <c r="H34" i="9"/>
  <c r="F34" i="9"/>
  <c r="J33" i="9"/>
  <c r="H33" i="9"/>
  <c r="F33" i="9"/>
  <c r="J32" i="9"/>
  <c r="H32" i="9"/>
  <c r="F32" i="9"/>
  <c r="J31" i="9"/>
  <c r="H31" i="9"/>
  <c r="F31" i="9"/>
  <c r="J30" i="9"/>
  <c r="H30" i="9"/>
  <c r="F30" i="9"/>
  <c r="J29" i="9"/>
  <c r="H29" i="9"/>
  <c r="F29" i="9"/>
  <c r="J28" i="9"/>
  <c r="H28" i="9"/>
  <c r="F28" i="9"/>
  <c r="J27" i="9"/>
  <c r="H27" i="9"/>
  <c r="F27" i="9"/>
  <c r="J26" i="9"/>
  <c r="H26" i="9"/>
  <c r="F26" i="9"/>
  <c r="J25" i="9"/>
  <c r="H25" i="9"/>
  <c r="F25" i="9"/>
  <c r="J24" i="9"/>
  <c r="H24" i="9"/>
  <c r="F24" i="9"/>
  <c r="J23" i="9"/>
  <c r="H23" i="9"/>
  <c r="F23" i="9"/>
  <c r="J22" i="9"/>
  <c r="H22" i="9"/>
  <c r="F22" i="9"/>
  <c r="J21" i="9"/>
  <c r="H21" i="9"/>
  <c r="F21" i="9"/>
  <c r="J20" i="9"/>
  <c r="H20" i="9"/>
  <c r="F20" i="9"/>
  <c r="J19" i="9"/>
  <c r="H19" i="9"/>
  <c r="F19" i="9"/>
  <c r="J18" i="9"/>
  <c r="H18" i="9"/>
  <c r="F18" i="9"/>
  <c r="J17" i="9"/>
  <c r="H17" i="9"/>
  <c r="F17" i="9"/>
  <c r="J16" i="9"/>
  <c r="H16" i="9"/>
  <c r="F16" i="9"/>
  <c r="J15" i="9"/>
  <c r="H15" i="9"/>
  <c r="F15" i="9"/>
  <c r="J14" i="9"/>
  <c r="H14" i="9"/>
  <c r="F14" i="9"/>
  <c r="J13" i="9"/>
  <c r="H13" i="9"/>
  <c r="F13" i="9"/>
  <c r="J12" i="9"/>
  <c r="H12" i="9"/>
  <c r="F12" i="9"/>
  <c r="J11" i="9"/>
  <c r="H11" i="9"/>
  <c r="F11" i="9"/>
  <c r="J10" i="9"/>
  <c r="H10" i="9"/>
  <c r="F10" i="9"/>
  <c r="F9" i="9"/>
  <c r="G88" i="5" l="1"/>
  <c r="F91" i="5"/>
  <c r="G90" i="5"/>
  <c r="I88" i="5"/>
  <c r="B91" i="5"/>
  <c r="D93" i="5"/>
  <c r="G92" i="5"/>
  <c r="F93" i="5"/>
  <c r="I90" i="5"/>
  <c r="H91" i="5"/>
  <c r="E88" i="5"/>
  <c r="I92" i="5"/>
  <c r="D91" i="5"/>
  <c r="J88" i="5"/>
  <c r="K9" i="5"/>
  <c r="K88" i="5" s="1"/>
  <c r="H93" i="5"/>
  <c r="H40" i="9"/>
  <c r="F40" i="9"/>
  <c r="J40" i="9"/>
  <c r="C30" i="7"/>
  <c r="F9" i="7"/>
  <c r="I30" i="7"/>
  <c r="H30" i="7"/>
  <c r="E30" i="7"/>
  <c r="G30" i="7" s="1"/>
  <c r="D30" i="7"/>
  <c r="G29" i="7"/>
  <c r="F29" i="7"/>
  <c r="O26" i="7"/>
  <c r="N26" i="7"/>
  <c r="M26" i="7"/>
  <c r="K26" i="7"/>
  <c r="J26" i="7"/>
  <c r="I26" i="7"/>
  <c r="I31" i="7" s="1"/>
  <c r="H26" i="7"/>
  <c r="H31" i="7" s="1"/>
  <c r="G26" i="7"/>
  <c r="F26" i="7"/>
  <c r="E26" i="7"/>
  <c r="D26" i="7"/>
  <c r="C26" i="7"/>
  <c r="B26" i="7"/>
  <c r="B30" i="7" s="1"/>
  <c r="P25" i="7"/>
  <c r="G25" i="7"/>
  <c r="F25" i="7"/>
  <c r="P24" i="7"/>
  <c r="G24" i="7"/>
  <c r="F24" i="7"/>
  <c r="P23" i="7"/>
  <c r="G23" i="7"/>
  <c r="F23" i="7"/>
  <c r="P22" i="7"/>
  <c r="G22" i="7"/>
  <c r="F22" i="7"/>
  <c r="P21" i="7"/>
  <c r="G21" i="7"/>
  <c r="F21" i="7"/>
  <c r="P20" i="7"/>
  <c r="G20" i="7"/>
  <c r="F20" i="7"/>
  <c r="L19" i="7"/>
  <c r="L26" i="7" s="1"/>
  <c r="P26" i="7" s="1"/>
  <c r="K19" i="7"/>
  <c r="G19" i="7"/>
  <c r="F19" i="7"/>
  <c r="P18" i="7"/>
  <c r="F18" i="7"/>
  <c r="P17" i="7"/>
  <c r="G17" i="7"/>
  <c r="F17" i="7"/>
  <c r="P16" i="7"/>
  <c r="G16" i="7"/>
  <c r="F16" i="7"/>
  <c r="P15" i="7"/>
  <c r="K15" i="7"/>
  <c r="G15" i="7"/>
  <c r="F15" i="7"/>
  <c r="P14" i="7"/>
  <c r="G14" i="7"/>
  <c r="F14" i="7"/>
  <c r="P13" i="7"/>
  <c r="G13" i="7"/>
  <c r="F13" i="7"/>
  <c r="P12" i="7"/>
  <c r="G12" i="7"/>
  <c r="F12" i="7"/>
  <c r="P11" i="7"/>
  <c r="G11" i="7"/>
  <c r="F11" i="7"/>
  <c r="P10" i="7"/>
  <c r="G10" i="7"/>
  <c r="F10" i="7"/>
  <c r="P9" i="7"/>
  <c r="G9" i="7"/>
  <c r="J89" i="5" l="1"/>
  <c r="J90" i="5" s="1"/>
  <c r="J91" i="5"/>
  <c r="J92" i="5" s="1"/>
  <c r="P19" i="7"/>
  <c r="F30" i="7"/>
  <c r="I40" i="1"/>
  <c r="Q46" i="1" l="1"/>
  <c r="P46" i="1"/>
  <c r="O46" i="1"/>
  <c r="L46" i="1"/>
  <c r="K46" i="1"/>
  <c r="J46" i="1"/>
  <c r="C46" i="1"/>
  <c r="L45" i="1"/>
  <c r="K45" i="1"/>
  <c r="J45" i="1"/>
  <c r="Q41" i="1"/>
  <c r="P41" i="1"/>
  <c r="O41" i="1"/>
  <c r="L41" i="1"/>
  <c r="K41" i="1"/>
  <c r="J41" i="1"/>
  <c r="G41" i="1"/>
  <c r="F41" i="1"/>
  <c r="D41" i="1"/>
  <c r="C41" i="1"/>
  <c r="Q40" i="1"/>
  <c r="P40" i="1"/>
  <c r="O40" i="1"/>
  <c r="O42" i="1" s="1"/>
  <c r="N40" i="1"/>
  <c r="M40" i="1"/>
  <c r="L40" i="1"/>
  <c r="L42" i="1" s="1"/>
  <c r="K40" i="1"/>
  <c r="K42" i="1" s="1"/>
  <c r="J40" i="1"/>
  <c r="J42" i="1" s="1"/>
  <c r="H40" i="1"/>
  <c r="G40" i="1"/>
  <c r="G42" i="1" s="1"/>
  <c r="F40" i="1"/>
  <c r="F42" i="1" s="1"/>
  <c r="E40" i="1"/>
  <c r="D40" i="1"/>
  <c r="C40" i="1"/>
  <c r="B40" i="1"/>
  <c r="Q36" i="1"/>
  <c r="P36" i="1"/>
  <c r="O36" i="1"/>
  <c r="N36" i="1"/>
  <c r="M36" i="1"/>
  <c r="L36" i="1"/>
  <c r="K36" i="1"/>
  <c r="J36" i="1"/>
  <c r="I36" i="1"/>
  <c r="H36" i="1"/>
  <c r="C36" i="1"/>
  <c r="B36" i="1"/>
  <c r="Q33" i="1"/>
  <c r="P33" i="1"/>
  <c r="O33" i="1"/>
  <c r="N33" i="1"/>
  <c r="M33" i="1"/>
  <c r="L33" i="1"/>
  <c r="K33" i="1"/>
  <c r="J33" i="1"/>
  <c r="I33" i="1"/>
  <c r="H33" i="1"/>
  <c r="G33" i="1"/>
  <c r="F33" i="1"/>
  <c r="E33" i="1"/>
  <c r="D33" i="1"/>
  <c r="C33" i="1"/>
  <c r="B33" i="1"/>
  <c r="Q32" i="1"/>
  <c r="Q34" i="1" s="1"/>
  <c r="P32" i="1"/>
  <c r="P34" i="1" s="1"/>
  <c r="O32" i="1"/>
  <c r="O34" i="1" s="1"/>
  <c r="N32" i="1"/>
  <c r="N34" i="1" s="1"/>
  <c r="M32" i="1"/>
  <c r="M34" i="1" s="1"/>
  <c r="L32" i="1"/>
  <c r="L34" i="1" s="1"/>
  <c r="K32" i="1"/>
  <c r="K34" i="1" s="1"/>
  <c r="J32" i="1"/>
  <c r="J34" i="1" s="1"/>
  <c r="I32" i="1"/>
  <c r="I34" i="1" s="1"/>
  <c r="H32" i="1"/>
  <c r="H34" i="1" s="1"/>
  <c r="G32" i="1"/>
  <c r="G34" i="1" s="1"/>
  <c r="F32" i="1"/>
  <c r="F34" i="1" s="1"/>
  <c r="E32" i="1"/>
  <c r="E34" i="1" s="1"/>
  <c r="D32" i="1"/>
  <c r="D34" i="1" s="1"/>
  <c r="C32" i="1"/>
  <c r="C34" i="1" s="1"/>
  <c r="B32" i="1"/>
  <c r="B34" i="1" s="1"/>
  <c r="P42" i="1" l="1"/>
  <c r="Q42" i="1"/>
  <c r="D42" i="1"/>
  <c r="C42" i="1"/>
</calcChain>
</file>

<file path=xl/comments1.xml><?xml version="1.0" encoding="utf-8"?>
<comments xmlns="http://schemas.openxmlformats.org/spreadsheetml/2006/main">
  <authors>
    <author>Ирина Пономарёва</author>
    <author>Сметанина Людмила Витальевна</author>
  </authors>
  <commentList>
    <comment ref="K41" authorId="0" shapeId="0">
      <text>
        <r>
          <rPr>
            <b/>
            <sz val="9"/>
            <color indexed="81"/>
            <rFont val="Tahoma"/>
            <family val="2"/>
            <charset val="204"/>
          </rPr>
          <t>Ирина Пономарёва:</t>
        </r>
        <r>
          <rPr>
            <sz val="9"/>
            <color indexed="81"/>
            <rFont val="Tahoma"/>
            <family val="2"/>
            <charset val="204"/>
          </rPr>
          <t xml:space="preserve">
изменились данные по РФ (прислал Бачериков 22.10.13 в 15ч30мин</t>
        </r>
      </text>
    </comment>
    <comment ref="L41" authorId="0" shapeId="0">
      <text>
        <r>
          <rPr>
            <b/>
            <sz val="9"/>
            <color indexed="81"/>
            <rFont val="Tahoma"/>
            <family val="2"/>
            <charset val="204"/>
          </rPr>
          <t>Ирина Пономарёва:</t>
        </r>
        <r>
          <rPr>
            <sz val="9"/>
            <color indexed="81"/>
            <rFont val="Tahoma"/>
            <family val="2"/>
            <charset val="204"/>
          </rPr>
          <t xml:space="preserve">
изменились данные по РФ (прислал Бачериков 22.10.13 в 15ч30мин</t>
        </r>
      </text>
    </comment>
    <comment ref="P41" authorId="0" shapeId="0">
      <text>
        <r>
          <rPr>
            <b/>
            <sz val="9"/>
            <color indexed="81"/>
            <rFont val="Tahoma"/>
            <family val="2"/>
            <charset val="204"/>
          </rPr>
          <t>Ирина Пономарёва:</t>
        </r>
        <r>
          <rPr>
            <sz val="9"/>
            <color indexed="81"/>
            <rFont val="Tahoma"/>
            <family val="2"/>
            <charset val="204"/>
          </rPr>
          <t xml:space="preserve">
изменились данные по РФ (прислал Бачериков 22.10.13 в 15ч30мин</t>
        </r>
      </text>
    </comment>
    <comment ref="Q41" authorId="0" shapeId="0">
      <text>
        <r>
          <rPr>
            <b/>
            <sz val="9"/>
            <color indexed="81"/>
            <rFont val="Tahoma"/>
            <family val="2"/>
            <charset val="204"/>
          </rPr>
          <t>Ирина Пономарёва:</t>
        </r>
        <r>
          <rPr>
            <sz val="9"/>
            <color indexed="81"/>
            <rFont val="Tahoma"/>
            <family val="2"/>
            <charset val="204"/>
          </rPr>
          <t xml:space="preserve">
изменились данные по РФ (прислал Бачериков 22.10.13 в 15ч30мин</t>
        </r>
      </text>
    </comment>
    <comment ref="C46" authorId="1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расчет суммы с учетом индексов
</t>
        </r>
      </text>
    </comment>
    <comment ref="J46" authorId="1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расчет суммы с учетом индексов
</t>
        </r>
      </text>
    </comment>
    <comment ref="O46" authorId="1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расчет суммы с учетом индексов
</t>
        </r>
      </text>
    </comment>
  </commentList>
</comments>
</file>

<file path=xl/sharedStrings.xml><?xml version="1.0" encoding="utf-8"?>
<sst xmlns="http://schemas.openxmlformats.org/spreadsheetml/2006/main" count="834" uniqueCount="676">
  <si>
    <t>Наименование</t>
  </si>
  <si>
    <t>Архангельская область</t>
  </si>
  <si>
    <t>Российская Федерация</t>
  </si>
  <si>
    <t>Индекс потребительских цен (декабрь к декабрю) (в %)</t>
  </si>
  <si>
    <t>Инвестиции в основной капитал  (в % к предыдущему году)</t>
  </si>
  <si>
    <t>Оборот розничной торговли  (в % к предыдущему году)</t>
  </si>
  <si>
    <t>Реальные располагаемые доходы населения (в % к предыдущему году)</t>
  </si>
  <si>
    <t>Общая численность  населения (среднегодовая), тыс.чел.</t>
  </si>
  <si>
    <t>Численность населения  с денежными доходами ниже прожиточного минимума к общей численности населения (в %)</t>
  </si>
  <si>
    <t>ВВП (ВРП) на душу населения (тыс.руб.)</t>
  </si>
  <si>
    <t>Отношение ВРП на душу населения по Архангельской области к ВВП на душу населения</t>
  </si>
  <si>
    <t>Инфляция (ИПЦ) дек./дек. предыдущего года</t>
  </si>
  <si>
    <t>млн.руб.</t>
  </si>
  <si>
    <t>%</t>
  </si>
  <si>
    <t>отчет 2014 год</t>
  </si>
  <si>
    <t>оценка 2015 года</t>
  </si>
  <si>
    <t>прогноз 2016 год</t>
  </si>
  <si>
    <t>А</t>
  </si>
  <si>
    <t>ВРП и ВВП (млрд.руб.)</t>
  </si>
  <si>
    <t>Темпы роста ВРП Архангельской области и ВВП Российской Федерации (в % к предыдущему году)</t>
  </si>
  <si>
    <t>Отношение среднемесячной заработной платы по Архангельской области к среднемесячной заработной плате по Российской Федерации</t>
  </si>
  <si>
    <t>прогноз 2019 год</t>
  </si>
  <si>
    <t>Раздел</t>
  </si>
  <si>
    <t>Под-раз-дел</t>
  </si>
  <si>
    <t>Всего</t>
  </si>
  <si>
    <t>в т.ч.</t>
  </si>
  <si>
    <t>выплаты персона-лу</t>
  </si>
  <si>
    <t>закупки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</si>
  <si>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</si>
  <si>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</si>
  <si>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</si>
  <si>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</si>
  <si>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</si>
  <si>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</si>
  <si>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проведения выборов и референдумов</t>
  </si>
  <si>
    <t>Другие общегосударственные вопросы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</si>
  <si>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</si>
  <si>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</si>
  <si>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экономика</t>
  </si>
  <si>
    <t>Общеэкономические вопросы</t>
  </si>
  <si>
    <t>Топливно-энергетический комплекс</t>
  </si>
  <si>
    <t>Сельское хозяйство и рыболовство</t>
  </si>
  <si>
    <t>Транспорт</t>
  </si>
  <si>
    <t>Связь и информатика</t>
  </si>
  <si>
    <t>Другие вопросы в области национальной экономики</t>
  </si>
  <si>
    <t>Жилищно-коммунальное хозяйство</t>
  </si>
  <si>
    <t>Другие вопросы в области жилищно-коммунального хозяйства</t>
  </si>
  <si>
    <t>Образование</t>
  </si>
  <si>
    <t>Другие вопросы в области образования</t>
  </si>
  <si>
    <t>Культура, кинематография</t>
  </si>
  <si>
    <t>Другие вопросы в области культуры, кинематографии</t>
  </si>
  <si>
    <t>Здравоохранение</t>
  </si>
  <si>
    <t>Другие вопросы в области здравоохранения</t>
  </si>
  <si>
    <t>Средства массовой информации</t>
  </si>
  <si>
    <t>Другие вопросы в области средств массовой информации</t>
  </si>
  <si>
    <t>ИТОГО</t>
  </si>
  <si>
    <t>прочие расходы</t>
  </si>
  <si>
    <t>Проект бюджета</t>
  </si>
  <si>
    <t>Физическая культура и спорт</t>
  </si>
  <si>
    <t>Условно утвержденные расходы</t>
  </si>
  <si>
    <t>Итого</t>
  </si>
  <si>
    <t>Из общей суммы расходов:</t>
  </si>
  <si>
    <t>- расходы на социальную сферу</t>
  </si>
  <si>
    <t>удельный вес в общей сумме расходов, %</t>
  </si>
  <si>
    <t>- расходы на национальную экономику и ЖКХ</t>
  </si>
  <si>
    <t>Целевая статья</t>
  </si>
  <si>
    <t>сумма</t>
  </si>
  <si>
    <t>3=1-2</t>
  </si>
  <si>
    <t>4=1/2*100</t>
  </si>
  <si>
    <t>7=5-6</t>
  </si>
  <si>
    <t>8=5/6*100-100</t>
  </si>
  <si>
    <t>11=9-10</t>
  </si>
  <si>
    <t>12=9/10*100-100</t>
  </si>
  <si>
    <t>01 0 00 00000</t>
  </si>
  <si>
    <t>Подпрограмма "Профилактика заболеваний и формирование здорового образа жизни. Развитие первичной медико-санитарной помощи"</t>
  </si>
  <si>
    <t>01 1 00 00000</t>
  </si>
  <si>
    <t>Подпрограмма "Совершенствование оказания специализированной, включая высокотехнологичную, медицинской помощи, скорой, в том числе скорой специализированной, медицинской помощи, медицинской эвакуации"</t>
  </si>
  <si>
    <t>01 2 00 00000</t>
  </si>
  <si>
    <t>Подпрограмма "Охрана здоровья матери и ребенка"</t>
  </si>
  <si>
    <t>01 4 00 00000</t>
  </si>
  <si>
    <t>Подпрограмма "Развитие медицинской реабилитации и санаторно-курортного лечения, в том числе детей"</t>
  </si>
  <si>
    <t>01 5 00 00000</t>
  </si>
  <si>
    <t>Подпрограмма "Оказание паллиативной помощи, в том числе детям"</t>
  </si>
  <si>
    <t>01 6 00 00000</t>
  </si>
  <si>
    <t>Подпрограмма "Кадровое обеспечение системы здравоохранения"</t>
  </si>
  <si>
    <t>01 7 00 00000</t>
  </si>
  <si>
    <t>Подпрограмма "Совершенствование системы лекарственного обеспечения, в том числе в амбулаторных условиях"</t>
  </si>
  <si>
    <t>01 8 00 00000</t>
  </si>
  <si>
    <t>Подпрограмма "Совершенствование системы территориального планирования Архангельской области"</t>
  </si>
  <si>
    <t>01 Б 00 00000</t>
  </si>
  <si>
    <t>02 0 00 00000</t>
  </si>
  <si>
    <t>Подпрограмма "Развитие дошкольного, общего и дополнительного образования детей"</t>
  </si>
  <si>
    <t>02 1 00 00000</t>
  </si>
  <si>
    <t>Подпрограмма "Содержание, обучение, воспитание и социальное обеспечение детей-сирот и детей, оставшихся без попечения родителей, лиц из числа детей-сирот и детей, оставшихся без попечения родителей, детей с ограниченными возможностями здоровья"</t>
  </si>
  <si>
    <t>02 2 00 00000</t>
  </si>
  <si>
    <t>Подпрограмма "Развитие среднего профессионального образования"</t>
  </si>
  <si>
    <t>02 3 00 00000</t>
  </si>
  <si>
    <t>Подпрограмма "Совершенствование системы предоставления услуг в сфере образования"</t>
  </si>
  <si>
    <t>02 4 00 00000</t>
  </si>
  <si>
    <t>Подпрограмма "Развитие научного потенциала Архангельской области"</t>
  </si>
  <si>
    <t>02 5 00 00000</t>
  </si>
  <si>
    <t>Подпрограмма "Наследие М.В. Ломоносова в социально-экономическом и социокультурном развитии Архангельской области"</t>
  </si>
  <si>
    <t>02 6 00 00000</t>
  </si>
  <si>
    <t>Подпрограмма "Строительство и капитальный ремонт объектов инфраструктуры системы образования в Архангельской области"</t>
  </si>
  <si>
    <t>02 7 00 00000</t>
  </si>
  <si>
    <t>03 0 00 00000</t>
  </si>
  <si>
    <t>Подпрограмма "Организация работы по социальному обслуживанию граждан и социальной защите населения в Архангельской области"</t>
  </si>
  <si>
    <t>03 1 00 00000</t>
  </si>
  <si>
    <t>Подпрограмма "Меры социальной поддержки отдельным категориям граждан, проживающим на территории Архангельской области"</t>
  </si>
  <si>
    <t>03 2 00 00000</t>
  </si>
  <si>
    <t>Подпрограмма "Развитие системы отдыха и оздоровления детей"</t>
  </si>
  <si>
    <t>03 4 00 00000</t>
  </si>
  <si>
    <t>Подпрограмма "Семья и дети в Архангельской области"</t>
  </si>
  <si>
    <t>03 5 00 00000</t>
  </si>
  <si>
    <t>Подпрограмма "Повышение качества жизни граждан пожилого возраста и инвалидов в Архангельской области"</t>
  </si>
  <si>
    <t>03 6 00 00000</t>
  </si>
  <si>
    <t>Подпрограмма "Приоритетные социально значимые мероприятия в сфере социальной политики Архангельской области"</t>
  </si>
  <si>
    <t>03 7 00 00000</t>
  </si>
  <si>
    <t>Подпрограмма "Доступная среда"</t>
  </si>
  <si>
    <t>03 8 00 00000</t>
  </si>
  <si>
    <t>Подпрограмма "Право быть равным"</t>
  </si>
  <si>
    <t>03 9 00 00000</t>
  </si>
  <si>
    <t>04 0 00 00000</t>
  </si>
  <si>
    <t>05 0 00 00000</t>
  </si>
  <si>
    <t>05 1 00 00000</t>
  </si>
  <si>
    <t>Подпрограмма "Развитие рыбохозяйственного комплекса Архангельской области"</t>
  </si>
  <si>
    <t>05 2 00 00000</t>
  </si>
  <si>
    <t>Подпрограмма "Создание условий для реализации государственной программы"</t>
  </si>
  <si>
    <t>05 3 00 00000</t>
  </si>
  <si>
    <t>Подпрограмма "Развитие мелиорации земель сельскохозяйственного назначения Архангельской области"</t>
  </si>
  <si>
    <t>05 4 00 00000</t>
  </si>
  <si>
    <t>06 0 00 00000</t>
  </si>
  <si>
    <t>Подпрограмма "Создание условий для обеспечения доступным и комфортным жильем жителей Архангельской области"</t>
  </si>
  <si>
    <t>06 1 00 00000</t>
  </si>
  <si>
    <t>Подпрограмма "Обеспечение жильем молодых семей"</t>
  </si>
  <si>
    <t>06 2 00 00000</t>
  </si>
  <si>
    <t>06 4 00 00000</t>
  </si>
  <si>
    <t>07 0 00 00000</t>
  </si>
  <si>
    <t>07 1 00 00000</t>
  </si>
  <si>
    <t>07 2 00 00000</t>
  </si>
  <si>
    <t>07 6 00 00000</t>
  </si>
  <si>
    <t>08 0 00 00000</t>
  </si>
  <si>
    <t>Подпрограмма "Профилактика незаконного потребления наркотических средств и психотропных веществ, реабилитация и ресоциализация потребителей наркотических средств и психотропных веществ"</t>
  </si>
  <si>
    <t>08 1 00 00000</t>
  </si>
  <si>
    <t>Подпрограмма "Профилактика преступлений и иных правонарушений в Архангельской области"</t>
  </si>
  <si>
    <t>08 2 00 00000</t>
  </si>
  <si>
    <t>Подпрограмма "Профилактика экстремизма и терроризма в Архангельской области"</t>
  </si>
  <si>
    <t>09 0 00 00000</t>
  </si>
  <si>
    <t>Подпрограмма "Пожарная безопасность в Архангельской области"</t>
  </si>
  <si>
    <t>09 1 00 00000</t>
  </si>
  <si>
    <t>Подпрограмма "Снижение рисков и смягчение последствий чрезвычайных ситуаций межмуниципального и регионального характера, а также обеспечение безопасности людей на водных объектах в Архангельской области"</t>
  </si>
  <si>
    <t>09 2 00 00000</t>
  </si>
  <si>
    <t>Подпрограмма "Обеспечение реализации государственной программы в Архангельской области"</t>
  </si>
  <si>
    <t>09 3 00 00000</t>
  </si>
  <si>
    <t>Подпрограмма "Построение (развитие), внедрение и эксплуатация аппаратно-программного комплекса "Безопасный город" в Архангельской области"</t>
  </si>
  <si>
    <t>09 4 00 00000</t>
  </si>
  <si>
    <t>10 0 00 00000</t>
  </si>
  <si>
    <t>Подпрограмма "Охрана окружающей среды и обеспечение экологической безопасности Архангельской области"</t>
  </si>
  <si>
    <t>10 1 00 00000</t>
  </si>
  <si>
    <t>Подпрограмма "Воспроизводство и использование природных ресурсов"</t>
  </si>
  <si>
    <t>10 2 00 00000</t>
  </si>
  <si>
    <t>Подпрограмма "Развитие водохозяйственного комплекса Архангельской области"</t>
  </si>
  <si>
    <t>10 3 00 00000</t>
  </si>
  <si>
    <t>11 0 00 00000</t>
  </si>
  <si>
    <t>11 1 00 00000</t>
  </si>
  <si>
    <t>11 2 00 00000</t>
  </si>
  <si>
    <t>11 3 00 00000</t>
  </si>
  <si>
    <t>Подпрограмма "Развитие внутреннего и въездного туризма в Архангельской области (2014 – 2020 годы)"</t>
  </si>
  <si>
    <t>11 5 00 00000</t>
  </si>
  <si>
    <t>Подпрограмма "Развитие субъектов малого и среднего предпринимательства в Архангельской области"</t>
  </si>
  <si>
    <t>Подпрограмма "Совершенствование организации государственных закупок в Архангельской области"</t>
  </si>
  <si>
    <t>Подпрограмма "Проведение сбалансированной политики в области государственного регулирования тарифов на территории Архангельской области"</t>
  </si>
  <si>
    <t>14 0 00 00000</t>
  </si>
  <si>
    <t>15 0 00 00000</t>
  </si>
  <si>
    <t>Подпрограмма "Обеспечение использования лесов"</t>
  </si>
  <si>
    <t>15 1 00 00000</t>
  </si>
  <si>
    <t>Подпрограмма "Воспроизводство лесов"</t>
  </si>
  <si>
    <t>15 2 00 00000</t>
  </si>
  <si>
    <t>Подпрограмма "Охрана и защита лесов"</t>
  </si>
  <si>
    <t>15 3 00 00000</t>
  </si>
  <si>
    <t>15 4 00 00000</t>
  </si>
  <si>
    <t>17 0 00 00000</t>
  </si>
  <si>
    <t>Подпрограмма "Энергосбережение и повышение энергетической эффективности в Архангельской области"</t>
  </si>
  <si>
    <t>17 1 00 00000</t>
  </si>
  <si>
    <t>Подпрограмма "Формирование и реализация региональной политики в сфере энергетики и жилищно-коммунального хозяйства Архангельской области"</t>
  </si>
  <si>
    <t>17 3 00 00000</t>
  </si>
  <si>
    <t>19 0 00 00000</t>
  </si>
  <si>
    <t>Подпрограмма "Проведение сбалансированной государственной тарифной политики на транспорте"</t>
  </si>
  <si>
    <t>19 1 00 00000</t>
  </si>
  <si>
    <t>Подпрограмма "Развитие общественного пассажирского транспорта и транспортной инфраструктуры Архангельской области"</t>
  </si>
  <si>
    <t>19 2 00 00000</t>
  </si>
  <si>
    <t>Подпрограмма "Развитие и совершенствование сети автомобильных дорог общего пользования регионального значения"</t>
  </si>
  <si>
    <t>19 3 00 00000</t>
  </si>
  <si>
    <t>Подпрограмма "Улучшение эксплуатационного состояния автомобильных дорог общего пользования регионального значения за счет ремонта, капитального ремонта и содержания"</t>
  </si>
  <si>
    <t>19 4 00 00000</t>
  </si>
  <si>
    <t>Подпрограмма "Создание условий для реализации государственной программы и осуществления иных расходов"</t>
  </si>
  <si>
    <t>19 5 00 00000</t>
  </si>
  <si>
    <t>Подпрограмма "Повышение безопасности дорожного движения в Архангельской области"</t>
  </si>
  <si>
    <t>19 6 00 00000</t>
  </si>
  <si>
    <t>20 0 00 00000</t>
  </si>
  <si>
    <t>21 0 00 00000</t>
  </si>
  <si>
    <t>22 0 00 00000</t>
  </si>
  <si>
    <t>Подпрограмма "Организация и обеспечение бюджетного процесса и развитие информационных систем управления финансами в Архангельской области"</t>
  </si>
  <si>
    <t>22 1 00 00000</t>
  </si>
  <si>
    <t>Подпрограмма "Управление государственным долгом Архангельской области"</t>
  </si>
  <si>
    <t>22 2 00 00000</t>
  </si>
  <si>
    <t>Подпрограмма "Поддержание устойчивого исполнения бюджетов муниципальных образований Архангельской области"</t>
  </si>
  <si>
    <t>22 3 00 00000</t>
  </si>
  <si>
    <t>Подпрограмма "Осуществление внутреннего государственного финансового контроля и контроля в сфере закупок товаров, работ, услуг"</t>
  </si>
  <si>
    <t>22 4 00 00000</t>
  </si>
  <si>
    <t>Количество бюджетных и автономных учреждений (ед.)</t>
  </si>
  <si>
    <t>Министерство строительства и архитектуры АО</t>
  </si>
  <si>
    <t>Министерство природных ресурсов и лесопромышленного комплекса АО</t>
  </si>
  <si>
    <t>Министерство здравоохранения АО</t>
  </si>
  <si>
    <t>Инспекция по охране объектов культурного наследия АО</t>
  </si>
  <si>
    <t>Министерство культуры АО</t>
  </si>
  <si>
    <t>Министерство связи и информационных технологий АО</t>
  </si>
  <si>
    <t>Министерство образования и науки АО</t>
  </si>
  <si>
    <t>Министерство агропромышленного комплекса и торговли АО</t>
  </si>
  <si>
    <t>Министерство экономического развития АО</t>
  </si>
  <si>
    <t>Министерство труда, занятости и социального развития АО</t>
  </si>
  <si>
    <t>Агентство государственной противопожарной службы и гражданской защиты АО</t>
  </si>
  <si>
    <t>Администрация Губернатора и Правительства АО</t>
  </si>
  <si>
    <t>Контрактное агентство АО</t>
  </si>
  <si>
    <t>Инспекция по ветеринарному надзору АО</t>
  </si>
  <si>
    <t>млн.рублей</t>
  </si>
  <si>
    <t>отчет 2016 год</t>
  </si>
  <si>
    <t>прогноз 2020 год</t>
  </si>
  <si>
    <t>104,5-105,5</t>
  </si>
  <si>
    <t>104-105</t>
  </si>
  <si>
    <t>2020 год</t>
  </si>
  <si>
    <t>4=3/2*100</t>
  </si>
  <si>
    <t>6=5/3*100</t>
  </si>
  <si>
    <t>8=7/5*100</t>
  </si>
  <si>
    <t>Проект на 2020</t>
  </si>
  <si>
    <t>Профессиональная подготовка, переподготовка и повышение квалификации</t>
  </si>
  <si>
    <t>Другие вопросы в области физической культуры и спорта</t>
  </si>
  <si>
    <t>Б</t>
  </si>
  <si>
    <t>В</t>
  </si>
  <si>
    <t>Утверждено по программе на 2020 год (за счет средств областного бюджета)</t>
  </si>
  <si>
    <t>Недостаток (-), излишек (+) ассигнований на финансовое обеспечение мероприятий программ в 2020 году согласно Законопроекту</t>
  </si>
  <si>
    <t>Подпрограмма "Развитие информатизации в здравоохранении"</t>
  </si>
  <si>
    <t>Подпрограмма "Газификация Архангельской области"</t>
  </si>
  <si>
    <t>Проект на 2020 год</t>
  </si>
  <si>
    <t>Доходы государственных бюджетных и автономных учреждениях за счет субсидии на государственное задание (в тыс.руб.)</t>
  </si>
  <si>
    <t>Наименование главного распорядителя средств областного бюджета</t>
  </si>
  <si>
    <t>Утверждено по программе на 2020 год (за счет средств федерального бюджета)</t>
  </si>
  <si>
    <t>а</t>
  </si>
  <si>
    <t>б</t>
  </si>
  <si>
    <t>в</t>
  </si>
  <si>
    <t>г</t>
  </si>
  <si>
    <t>д</t>
  </si>
  <si>
    <t>е</t>
  </si>
  <si>
    <t>Наименование раздела / подраздела</t>
  </si>
  <si>
    <t>2021 год</t>
  </si>
  <si>
    <t>% к показателям 2020 года</t>
  </si>
  <si>
    <t>НАЛОГОВЫЕ И НЕНАЛОГОВЫЕ ДОХОДЫ</t>
  </si>
  <si>
    <t>НАЛОГИ НА ПРИБЫЛЬ, ДОХОДЫ</t>
  </si>
  <si>
    <t>Прибыль прибыльных организаций (Архангельская область без НАО), млн.руб.</t>
  </si>
  <si>
    <t>Прибыль прибыльных организаций (НАО), млн.руб.</t>
  </si>
  <si>
    <t>Налог на прибыль организаций</t>
  </si>
  <si>
    <t>Фонд начисленной  заработной платы всех работников (Архангельская область без НАО), млн. руб.</t>
  </si>
  <si>
    <t>Фонд начисленной  заработной платы всех работников (НАО), млн. руб.</t>
  </si>
  <si>
    <t>Налог на доходы физических лиц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</si>
  <si>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</si>
  <si>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</si>
  <si>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НАЛОГИ НА СОВОКУПНЫЙ ДОХОД</t>
  </si>
  <si>
    <t>Налог, взимаемый в связи с применением упрощенной системы налогообложения</t>
  </si>
  <si>
    <t>НАЛОГИ НА ИМУЩЕСТВО</t>
  </si>
  <si>
    <t>Налог на имущество организаций</t>
  </si>
  <si>
    <t>Транспортный налог</t>
  </si>
  <si>
    <t>НАЛОГИ, СБОРЫ И РЕГУЛЯРНЫЕ ПЛАТЕЖИ ЗА ПОЛЬЗОВАНИЕ ПРИРОДНЫМИ РЕСУРСАМИ</t>
  </si>
  <si>
    <t>Налог на добычу полезных ископаемых</t>
  </si>
  <si>
    <t>Регулярные платежи за добычу полезных ископаемых (роялти) при выполнении соглашений о разделе продукции</t>
  </si>
  <si>
    <t>Сборы за пользование объектами животного мира и за пользование объектами водных биологических ресурсов</t>
  </si>
  <si>
    <t>ГОСУДАРСТВЕННАЯ ПОШЛИНА</t>
  </si>
  <si>
    <t>Государственная пошлина за совершение действий, связанных с приобретением гражданства Российской Федерации или выходом из гражданства Российской Федерации, а также с въездом в Российскую Федерацию или выездом из Российской Федерации (при обращении через многофункциональные центры)</t>
  </si>
  <si>
    <t>Государственная пошлина за государственную регистрацию, а также за совершение прочих юридически значимых действий</t>
  </si>
  <si>
    <t>ДОХОДЫ ОТ ИСПОЛЬЗОВАНИЯ ИМУЩЕСТВА, НАХОДЯЩЕГОСЯ В ГОСУДАРСТВЕННОЙ И МУНИЦИПАЛЬНОЙ СОБСТВЕННОСТИ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</si>
  <si>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</si>
  <si>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</si>
  <si>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Платежи от государственных и муниципальных унитарных предприятий</t>
  </si>
  <si>
    <t>ПЛАТЕЖИ ПРИ ПОЛЬЗОВАНИИ ПРИРОДНЫМИ РЕСУРСАМИ</t>
  </si>
  <si>
    <t>Плата за негативное воздействие на окружающую среду</t>
  </si>
  <si>
    <t>Платежи при пользовании недрами</t>
  </si>
  <si>
    <t>Плата за использование лесов</t>
  </si>
  <si>
    <t>ДОХОДЫ ОТ ОКАЗАНИЯ ПЛАТНЫХ УСЛУГ (РАБОТ) И КОМПЕНСАЦИИ ЗАТРАТ ГОСУДАРСТВА</t>
  </si>
  <si>
    <t>Доходы от оказания платных услуг (работ)</t>
  </si>
  <si>
    <t>Доходы от компенсации затрат государства</t>
  </si>
  <si>
    <t>ДОХОДЫ ОТ ПРОДАЖИ МАТЕРИАЛЬНЫХ И НЕМАТЕРИАЛЬНЫХ АКТИВОВ</t>
  </si>
  <si>
    <t>АДМИНИСТРАТИВНЫЕ ПЛАТЕЖИ И СБОРЫ</t>
  </si>
  <si>
    <t>ШТРАФЫ, САНКЦИИ, ВОЗМЕЩЕНИЕ УЩЕРБА</t>
  </si>
  <si>
    <t>01. ОБЩЕГОСУДАРСТВЕННЫЕ ВОПРОСЫ</t>
  </si>
  <si>
    <t>0102. Функционирование высшего должностного лица субъекта Российской Федерации и муниципального образования</t>
  </si>
  <si>
    <t>0103.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</si>
  <si>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0104.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</si>
  <si>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0105. Судебная система</t>
  </si>
  <si>
    <t>0106. Обеспечение деятельности финансовых, налоговых и таможенных органов и органов финансового (финансово-бюджетного) надзора</t>
  </si>
  <si>
    <t>0107. Обеспечение проведения выборов и референдумов</t>
  </si>
  <si>
    <t>0111. Резервные фонды</t>
  </si>
  <si>
    <t>0112. Прикладные научные исследования в области общегосударственных вопросов</t>
  </si>
  <si>
    <t>0113. Другие общегосударственные вопросы</t>
  </si>
  <si>
    <t>0203. Мобилизационная и вневойсковая подготовка</t>
  </si>
  <si>
    <t>02. НАЦИОНАЛЬНАЯ ОБОРОНА</t>
  </si>
  <si>
    <t>03. НАЦИОНАЛЬНАЯ БЕЗОПАСНОСТЬ И ПРАВООХРАНИТЕЛЬНАЯ ДЕЯТЕЛЬНОСТЬ</t>
  </si>
  <si>
    <t>0309. Защита населения и территории от чрезвычайных ситуаций природного и техногенного характера, гражданская оборона</t>
  </si>
  <si>
    <t>0310. Обеспечение пожарной безопасности</t>
  </si>
  <si>
    <t>04. НАЦИОНАЛЬНАЯ ЭКОНОМИКА</t>
  </si>
  <si>
    <t>0401. Общеэкономические вопросы</t>
  </si>
  <si>
    <t>0402. Топливно-энергетический комплекс</t>
  </si>
  <si>
    <t>0405. Сельское хозяйство и рыболовство</t>
  </si>
  <si>
    <t>0406. Водное хозяйство</t>
  </si>
  <si>
    <t>0407. Лесное хозяйство</t>
  </si>
  <si>
    <t>0408. Транспорт</t>
  </si>
  <si>
    <t>0409. Дорожное хозяйство (дорожные фонды)</t>
  </si>
  <si>
    <t>0410. Связь и информатика</t>
  </si>
  <si>
    <t>0411. Прикладные научные исследования в области национальной экономики</t>
  </si>
  <si>
    <t>0412. Другие вопросы в области национальной экономики</t>
  </si>
  <si>
    <t>05. ЖИЛИЩНО-КОММУНАЛЬНОЕ ХОЗЯЙСТВО</t>
  </si>
  <si>
    <t>0501. Жилищное хозяйство</t>
  </si>
  <si>
    <t>0502. Коммунальное хозяйство</t>
  </si>
  <si>
    <t>0503. Благоустройство</t>
  </si>
  <si>
    <t>0505. Другие вопросы в области жилищно-коммунального хозяйства</t>
  </si>
  <si>
    <t>06. ОХРАНА ОКРУЖАЮЩЕЙ СРЕДЫ</t>
  </si>
  <si>
    <t>0603. охрана объектов растительного и животного мира и среды их обитания</t>
  </si>
  <si>
    <t>0604. Прикладные научные исследования в области охраны окружающей среды</t>
  </si>
  <si>
    <t>0605. Другие вопросы в области охраны окружающей среды</t>
  </si>
  <si>
    <t>07. ОБРАЗОВАНИЕ</t>
  </si>
  <si>
    <t>0701. Дошкольное образование</t>
  </si>
  <si>
    <t>0702. Общее образование</t>
  </si>
  <si>
    <t>0703. Дополнительное образование детей</t>
  </si>
  <si>
    <t>0704. Среднее профессиональное образование</t>
  </si>
  <si>
    <t>0705. Профессиональная подготовка, переподготовка и повышение квалификации</t>
  </si>
  <si>
    <t>0707. Молодежная политика</t>
  </si>
  <si>
    <t>0708. Прикладные научные исследования в области образования</t>
  </si>
  <si>
    <t>0709. Другие вопросы в области образования</t>
  </si>
  <si>
    <t>08. КУЛЬТУРА, КИНЕМАГОРАФИЯ</t>
  </si>
  <si>
    <t>0801. Культура</t>
  </si>
  <si>
    <t>0804. Другие вопросы в области культуры, кинематографии</t>
  </si>
  <si>
    <t>09. ЗДРАВООХРАНЕНИЕ</t>
  </si>
  <si>
    <t>0901. Стационарная медицинская помощь</t>
  </si>
  <si>
    <t>0902. Амбулаторная помощь</t>
  </si>
  <si>
    <t>0903. Медицинская помощь в дневных стационарах всех типов</t>
  </si>
  <si>
    <t>0904. Скорая медицинская помощь</t>
  </si>
  <si>
    <t>0905. Санаторно-оздоровительная помощь</t>
  </si>
  <si>
    <t>0906. Заготовка, переработка, хранение и обеспечение безопасности донорской крови и ее компонентов</t>
  </si>
  <si>
    <t>0909. Другие вопросы в области здравоохранения</t>
  </si>
  <si>
    <t>10. СОЦИАЛЬНАЯ ПОЛИТИКА</t>
  </si>
  <si>
    <t>1001. Пенсионное обеспечение</t>
  </si>
  <si>
    <t>1002. Социальное обслуживание населения</t>
  </si>
  <si>
    <t>1003. Социальное обеспечение населения</t>
  </si>
  <si>
    <t>1004. Охрана семьи и детства</t>
  </si>
  <si>
    <t>1006. Другие вопросы в области социальной политики</t>
  </si>
  <si>
    <t>11. ФИЗИЧЕСКАЯ КУЛЬТУРА И СПОРТ</t>
  </si>
  <si>
    <t>1102. Массовый спорт</t>
  </si>
  <si>
    <t>1103. Спорт высших достижений</t>
  </si>
  <si>
    <t>1105. Другие вопросы в области физической культуры и спорта</t>
  </si>
  <si>
    <t>12. СРЕДСТВА МАССОВОЙ ИНФОРМАЦИИ</t>
  </si>
  <si>
    <t>1202. Периодическая печать и издательства</t>
  </si>
  <si>
    <t>1204. Другие вопросы в области средств массовой информации</t>
  </si>
  <si>
    <t>13. ОБСЛУЖИВАНИЕ ГОСУДАРСТВЕННОГО И МУНЦИПАЛЬНОГО ДОЛГА</t>
  </si>
  <si>
    <t>1301. Обслуживание государственного внутреннего и муниципального долга</t>
  </si>
  <si>
    <t>14. МЕБЮДЖЕТНЫЕ ТРАНСФЕРТЫ ОБЩЕГО ХАРАКТЕРА БЮДЖЕТАМ БЮДЖЕТНОЙ СИСТЕМЫ РОССИЙСКОЙ ФЕДЕРАЦИИ</t>
  </si>
  <si>
    <t>1401. Дотации на выравнивание бюджетной обеспеченности субъектов Российской Федерации и муниципальных образований</t>
  </si>
  <si>
    <t>1402. Иные дотации</t>
  </si>
  <si>
    <t>1403. Прочие межбюджетные трансферты общего характера</t>
  </si>
  <si>
    <t>Итого налоговые доходы</t>
  </si>
  <si>
    <t>Итого неналоговые доходы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</si>
  <si>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</si>
  <si>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</si>
  <si>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</t>
  </si>
  <si>
    <t>Субсидии</t>
  </si>
  <si>
    <t>Субвенции</t>
  </si>
  <si>
    <t>Иные межбюджетные трансферты</t>
  </si>
  <si>
    <t>БЕЗВОЗМЕЗДНЫЕ ПОСТУПЛЕНИЯ ОТ ГОСУДАРСТВЕННЫХ (МУНИЦИПАЛЬНЫХ) ОРГАНИЗАЦИЙ</t>
  </si>
  <si>
    <t>БЕЗВОЗМЕЗДНЫЕ ПОСТУПЛЕНИЯ ОТ НЕГОСУДАРСТВЕННЫХ ОРГАНИЗАЦИЙ</t>
  </si>
  <si>
    <t>ДОХОДЫ ОТ ВОЗВРАТА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</si>
  <si>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</t>
  </si>
  <si>
    <t>ВСЕГО ДОХОДОВ</t>
  </si>
  <si>
    <t>Удельный вес в общей сумме доходов, %</t>
  </si>
  <si>
    <t>из нее:</t>
  </si>
  <si>
    <t>из них:</t>
  </si>
  <si>
    <t>ПРОЧИЕ БЕЗВОЗМЕЗДНЫЕ ПОСТУПЛЕНИЯ</t>
  </si>
  <si>
    <t>Министерство строительства и архитектуры Архангельской области</t>
  </si>
  <si>
    <t>Министерство топливно-энергетического комплекса и жилищно-коммунального хозяйства Архангельской области</t>
  </si>
  <si>
    <t>Министерство природных ресурсов и лесопромышленного комплекса Архангельской области</t>
  </si>
  <si>
    <t>Министерство здравоохранения Архангельской области</t>
  </si>
  <si>
    <t>Инспекция по охране объектов культурного наследия Архангельской области</t>
  </si>
  <si>
    <t>Министерство культуры Архангельской области</t>
  </si>
  <si>
    <t>Министерство связи и информационных технологий Архангельской области</t>
  </si>
  <si>
    <t>Министерство образования и науки Архангельской области</t>
  </si>
  <si>
    <t>Министерство агропромышленного комплекса и торговли Архангельской области</t>
  </si>
  <si>
    <t>Министерство финансов Архангельской области</t>
  </si>
  <si>
    <t>Министерство транспорта Архангельской области</t>
  </si>
  <si>
    <t>Министерство экономического развития Архангельской области</t>
  </si>
  <si>
    <t>Министерство труда, занятости и социального развития Архангельской области</t>
  </si>
  <si>
    <t>Министерство имущественных отношений Архангельской области</t>
  </si>
  <si>
    <t>Агентство государственной противопожарной службы и гражданской защиты Архангельской области</t>
  </si>
  <si>
    <t>Агентство по спорту Архангельской области</t>
  </si>
  <si>
    <t>Уполномоченный по правам человека в Архангельской области</t>
  </si>
  <si>
    <t>Контрольно-счетная палата Архангельской области</t>
  </si>
  <si>
    <t>Агентство по тарифам и ценам Архангельской области</t>
  </si>
  <si>
    <t>Избирательная комиссия Архангельской области</t>
  </si>
  <si>
    <t>Архангельское областное собрание депутатов</t>
  </si>
  <si>
    <t>Агентство по развитию Соловецкого архипелага Архангельской области</t>
  </si>
  <si>
    <t>Агентство записи актов гражданского состояния Архангельской области</t>
  </si>
  <si>
    <t>Государственная жилищная инспекция Архангельской области</t>
  </si>
  <si>
    <t>Агентство по организационному обеспечению деятельности мировых судей Архангельской области</t>
  </si>
  <si>
    <t>Контрольно-ревизионная инспекция Архангельской области</t>
  </si>
  <si>
    <t>Инспекция государственного строительного надзора Архангельской области</t>
  </si>
  <si>
    <t>Контрактное агентство Архангельской области</t>
  </si>
  <si>
    <t>Инспекция по ветеринарному надзору Архангельской области</t>
  </si>
  <si>
    <t>Агентство стратегических разработок Архангельской области</t>
  </si>
  <si>
    <t>Наименование ГРБС</t>
  </si>
  <si>
    <t>Код главы</t>
  </si>
  <si>
    <t>Проект на 2021</t>
  </si>
  <si>
    <t>Проект на 2021 год</t>
  </si>
  <si>
    <t>отчет 2017 год</t>
  </si>
  <si>
    <t>оценка 2018 год</t>
  </si>
  <si>
    <t>прогноз 2021 год</t>
  </si>
  <si>
    <t>Министерство транспорта АО</t>
  </si>
  <si>
    <t>Министерство имущественных отношений АО</t>
  </si>
  <si>
    <t>Агентство по спорту АО</t>
  </si>
  <si>
    <t>на 01.01.2018 (ф. 0503161)</t>
  </si>
  <si>
    <t>тыс.руб.</t>
  </si>
  <si>
    <t>4=3-2</t>
  </si>
  <si>
    <t>0404. Воспроизводство минерально-сырьевой базы</t>
  </si>
  <si>
    <t>-</t>
  </si>
  <si>
    <t>Недостаток (-), излишек (+) ассигнований на финансовое обеспечение мероприятий программ в 2021 году согласно Законопроекту</t>
  </si>
  <si>
    <t>Государственная программа Архангельской области "Развитие здравоохранения Архангельской области (2013 – 2024 годы)"</t>
  </si>
  <si>
    <t>Государственная программа Архангельской области "Развитие образования и науки Архангельской области (2013 – 2025 годы)"</t>
  </si>
  <si>
    <t>Государственная программа Архангельской области "Социальная поддержка граждан в Архангельской области (2013 – 2024 годы)"</t>
  </si>
  <si>
    <t>Государственная программа Архангельской области "Обеспечение качественным, доступным жильем и объектами инженерной инфраструктуры населения Архангельской области (2014 – 2024 годы)"</t>
  </si>
  <si>
    <t>Государственная программа Архангельской области "Содействие занятости населения Архангельской области, улучшение условий и охраны труда (2014 – 2024 годы)"</t>
  </si>
  <si>
    <t>Государственная программа Архангельской области "Охрана окружающей среды, воспроизводство и использование природных ресурсов Архангельской области (2014 – 2024 годы)"</t>
  </si>
  <si>
    <t>Государственная программа Архангельской области "Патриотическое воспитание, развитие физической культуры, спорта, туризма и повышение эффективности реализации молодежной политики в Архангельской области (2014 – 2024 годы)"</t>
  </si>
  <si>
    <t>Государственная программа Архангельской области "Формирование современной городской среды в Архангельской области (2018 – 2024 годы)"</t>
  </si>
  <si>
    <t>Государственная программа Архангельской области "Развитие лесного комплекса Архангельской области (2014 – 2024 годы)"</t>
  </si>
  <si>
    <t>Государственная программа Архангельской области "Развитие энергетики и жилищно-коммунального хозяйства Архангельской области (2014 – 2024 годы)"</t>
  </si>
  <si>
    <t>Государственная программа Архангельской области "Развитие транспортной системы Архангельской области (2014 – 2024 годы)"</t>
  </si>
  <si>
    <t>Государственная программа Архангельской области "Управление государственными финансами и государственным долгом Архангельской области (2014 – 2024 годы)"</t>
  </si>
  <si>
    <t>Приложение № 1</t>
  </si>
  <si>
    <t>Приложение 3.1</t>
  </si>
  <si>
    <t>Данные прогноза социально-экономического развития Архангельской области на 2019 год и плановый период до 2021 года (к проекту бюджета на 2019 год и плановый период до 2021 года)</t>
  </si>
  <si>
    <t>Данные прогноза социально-экономического развития Архангельской области на 2020 год и плановый период 2021 и 2022 годов (к проекту бюджета на 2020 год и плановый период до 2022 года)</t>
  </si>
  <si>
    <t>прогноз 2022 год</t>
  </si>
  <si>
    <t>Среднемесячная начисленная заработная плата на одного работника организаций, рублей</t>
  </si>
  <si>
    <t>Основные показатели социально-экономического развития Архангельской области и Российской Федерации на период 2018 - 2022 годов</t>
  </si>
  <si>
    <t>оценка 2019 года</t>
  </si>
  <si>
    <t>отчет 2018 года</t>
  </si>
  <si>
    <t>оценка 2018 года</t>
  </si>
  <si>
    <t>Изменения к плану на 2019 год, (+,-)</t>
  </si>
  <si>
    <t>Проект на 2022 год</t>
  </si>
  <si>
    <t>5=3/2*100</t>
  </si>
  <si>
    <t>Всего субсидии (ВР 610 и 620)</t>
  </si>
  <si>
    <t>Субсидии на иные цели и гранты</t>
  </si>
  <si>
    <t>Исполнено за 2017 год
(ф. 0503127)</t>
  </si>
  <si>
    <t>Исполнено за 2018 год
(ф. 0503127)</t>
  </si>
  <si>
    <t>Утверждено на 2019
(отчет на 01.10.2019 по ф. 0503127)</t>
  </si>
  <si>
    <t>на 01.01.2019 (ф. 0503161)</t>
  </si>
  <si>
    <t xml:space="preserve">на 01.10.2019 (ф. 0503161) </t>
  </si>
  <si>
    <t>Расходы главных распорядителей средств областного бюджета в 2018 - 2022 годах</t>
  </si>
  <si>
    <t xml:space="preserve">Отчет 2018 года </t>
  </si>
  <si>
    <t>Уточненная сводная бюджетная роспись на 2019 год по состоянию на 30.09.2019</t>
  </si>
  <si>
    <t>% к показателям уточненной бюджетной росписи на 2019 года</t>
  </si>
  <si>
    <t>2022 год</t>
  </si>
  <si>
    <t>% к показателям 2021 года</t>
  </si>
  <si>
    <t>Администрация Губернатора Архангельской области и Правительства Архангельской области</t>
  </si>
  <si>
    <t>Функциональная структура расходов областного бюджета в 2018 - 2022 годах</t>
  </si>
  <si>
    <t xml:space="preserve">   0602. Охрана окружающей среды</t>
  </si>
  <si>
    <t>0706. Высшее образование</t>
  </si>
  <si>
    <t xml:space="preserve">   1101. Физическая культура</t>
  </si>
  <si>
    <t>Расходы на содержание государственных органов и обеспечение их функций в 2018 - 2022 годах за счет средств областного бюджета</t>
  </si>
  <si>
    <t>Исполнено за 2018</t>
  </si>
  <si>
    <t xml:space="preserve">Проект на 2022                              </t>
  </si>
  <si>
    <t>Объем финансирования на 2020 год  согласно Законопроекту</t>
  </si>
  <si>
    <t>Утверждено по программе на 2020 год (за счет средств областного и федерального бюджета  и бюджета города Москвы)</t>
  </si>
  <si>
    <t>Утверждено по программе на 2021 год (за счет средств областного и федерального бюджета и  и бюджета города Москвы)</t>
  </si>
  <si>
    <t>Утверждено по программе на 2021год (за счет средств областного бюджета)</t>
  </si>
  <si>
    <t>Утверждено по программе на 2021 год (за счет средств федерального бюджета и бюджета города Москвы)</t>
  </si>
  <si>
    <t>Утверждено по программе на 2022 год (за счет средств областного и федерального бюджета)</t>
  </si>
  <si>
    <t>Утверждено по программе на 2022 год (за счет средств областного бюджета)</t>
  </si>
  <si>
    <t>Утверждено по программе на 2022год (за счет средств федерального бюджета)</t>
  </si>
  <si>
    <t>Недостаток (-), излишек (+) ассигнований на финансовое обеспечение мероприятий программ в 2022 году согласно Законопроекту</t>
  </si>
  <si>
    <t>Государственная программа Архангельской области "Культура Русского Севера (2013 – 2024 годы)"</t>
  </si>
  <si>
    <t>Государственная программа развития сельского хозяйства и регулирования рынков сельскохозяйственной продукции, сырья и продовольствия Архангельской области на 2013 – 2022 годы</t>
  </si>
  <si>
    <t>Подпрограмма "Развитие агропромышленного комплекса Архангельской области"</t>
  </si>
  <si>
    <t>Подпрограмма "Активная политика занятости и социальная поддержка безработных граждан "</t>
  </si>
  <si>
    <t>Подпрограмма "Улучшение условий и охраны труда в Архангельской области "</t>
  </si>
  <si>
    <t>Подпрограмма "Повышение мобильности трудовых ресурсов "</t>
  </si>
  <si>
    <t>07 5 00 00000</t>
  </si>
  <si>
    <t>Подпрограмма "Оказание содействия добровольному переселению в Архангельскую область соотечественников, проживающих за рубежом "</t>
  </si>
  <si>
    <t>Подпрограмма "Содействие занятости инвалидов, в том числе инвалидов молодого возраста при получении ими профессионального образования и последующем трудоустройстве, а также инвалидов, нуждающихся в сопровождаемом содействии их занятости"</t>
  </si>
  <si>
    <t>07 7 00 00000</t>
  </si>
  <si>
    <t>Государственная программа Архангельской области "Обеспечение общественного порядка, профилактика преступности, коррупции, терроризма, экстремизма и незаконного потребления наркотических средств и психотропных веществ в Архангельской области (2014 – 2022 годы)"</t>
  </si>
  <si>
    <t>08 4 00 00000</t>
  </si>
  <si>
    <t>Подпрограмма «Противодействие коррупции в Архангельской области»</t>
  </si>
  <si>
    <t>Государственная программа Архангельской области "Защита населения и территорий Архангельской области от чрезвычайных ситуаций, обеспечение пожарной безопасности и безопасности на водных объектах (2014 – 2022 годы)"</t>
  </si>
  <si>
    <t>Подпрограмма "Спорт Беломорья (2014 – 2024годы)"</t>
  </si>
  <si>
    <t>Подпрограмма "Молодежь Архангельской области (2014 – 2024 годы)"</t>
  </si>
  <si>
    <t>Подпрограмма "Гражданско-патриотическое воспитание граждан Российской Федерации и допризывная подготовка молодежи в Архангельской области (2014 – 2024 годы)"</t>
  </si>
  <si>
    <t>Государственная программа Архангельской области "Развитие торговли в Архангельской области (2014 – 2022 годы)"</t>
  </si>
  <si>
    <t>Подпрограмма "Обеспечение реализации государственной программы Архангельской области "Развитие лесного комплекса Архангельской области"</t>
  </si>
  <si>
    <t>Государственная программа Архангельской области "Совершенствование государственного управления и местного самоуправления, развитие институтов гражданского общества в Архангельской области (2020-2024 годы)"</t>
  </si>
  <si>
    <t>16 0 00 00000</t>
  </si>
  <si>
    <t>Развитие кадрового потенциала государственных и муниципальных органов власти Архангельской области</t>
  </si>
  <si>
    <t>16 1 00 00000</t>
  </si>
  <si>
    <t>Развитие системы информирования населения Архангельской области о деятельности органов государственной власти Архангельской области, поддержка и развитие печатных средств массовой информации</t>
  </si>
  <si>
    <t>16 2 00 00000</t>
  </si>
  <si>
    <t>Развитие территориального общественного самоуправления в Архангельской области</t>
  </si>
  <si>
    <t>16 3 00 00000</t>
  </si>
  <si>
    <t>Государственная поддержка социально ориентированных некоммерческих организаций</t>
  </si>
  <si>
    <t>16 4 00 00000</t>
  </si>
  <si>
    <t>Формирование общероссийской гражданской идентичности и этнокультурное развитие народов России, проживающих на территории Архангельской области</t>
  </si>
  <si>
    <t>16 5 00 00000</t>
  </si>
  <si>
    <t>Адресная поддержка муниципального образования "Ленский муниципальный район" Архангельской области</t>
  </si>
  <si>
    <t>16 6 00 00000</t>
  </si>
  <si>
    <t>Развитие отдельных направлений системы государственного управления Архангельской области</t>
  </si>
  <si>
    <t>16 7 00 00000</t>
  </si>
  <si>
    <t>Подпрограмма "Комплексное развитие объединенной дорожной сети Архангельской области и Архангельской агломерации"</t>
  </si>
  <si>
    <t>19 7 00 00000</t>
  </si>
  <si>
    <t>Государственная программа Архангельской области "Развитие инфраструктуры Соловецкого архипелага (2014 – 2022 годы)"</t>
  </si>
  <si>
    <t>Государственная программа Архангельской области "Развитие имущественно-земельных отношений Архангельской области (2014 – 2022 годы)"</t>
  </si>
  <si>
    <t>Государственная программа Архангельской области "Комплексное развитие сельских территорий Архангельской области (2020-2025 годы)"</t>
  </si>
  <si>
    <t>25 0 00 00000</t>
  </si>
  <si>
    <t>Подпрограмма "Создание условий для обеспечения доступным и комфортным жильем сельского населения"</t>
  </si>
  <si>
    <t>25 1 00 00000</t>
  </si>
  <si>
    <t>Подпрограмма "Развитие рынка труда (кадрового потенциала) на сельских территориях"</t>
  </si>
  <si>
    <t>25 2 00 00000</t>
  </si>
  <si>
    <t>Подпрограмма "Создание и развитие инфраструктуры на сельских территориях"</t>
  </si>
  <si>
    <t>25 3 00 00000</t>
  </si>
  <si>
    <t>Государственная программа Архангельской области "Экономическое развитие и инвестиционная деятельность в Архангельской области (2020-2024 годы)"</t>
  </si>
  <si>
    <t>26 0 00 00000</t>
  </si>
  <si>
    <t>Подпрограмма "Развитие промышленности и инвестиционной деятельности в Архангельской области"</t>
  </si>
  <si>
    <t>26 1 00 00000</t>
  </si>
  <si>
    <t>26 2 00 00000</t>
  </si>
  <si>
    <t>подпрограмма "Совершенствование системы управления экономическим развитием Архангельской области"</t>
  </si>
  <si>
    <t>26 3 00 00000</t>
  </si>
  <si>
    <t>26 4 00 00000</t>
  </si>
  <si>
    <t>26 5 00 00000</t>
  </si>
  <si>
    <t>Государственная программа "Цифровое развитие Архангельской области (2020 -2024 годы)"</t>
  </si>
  <si>
    <t>27 0 00 00000</t>
  </si>
  <si>
    <t>Подпрограмма "Развитие связи и навигационных технологий на территории Архангельской области"</t>
  </si>
  <si>
    <t>27 1 00 00000</t>
  </si>
  <si>
    <t>Подпрограмма "Совершенствование процессов оказания государственных и муниципальных услуг и контрольно-надзорной деятельности"</t>
  </si>
  <si>
    <t>27 2 00 00000</t>
  </si>
  <si>
    <t>Подпрограмма "Цифровые технологии в государственном управлении Архангельской области"</t>
  </si>
  <si>
    <t>27 3 00 00000</t>
  </si>
  <si>
    <t>Подпрограмма "Информационная безопасность исполнительных органов государственной власти Архангельской области"</t>
  </si>
  <si>
    <t>27 4 00 00000</t>
  </si>
  <si>
    <t>Объем финансирования на 2022 год согласно Законопроекту</t>
  </si>
  <si>
    <t>Объем финансирования на 2021 год согласно Законопроекту</t>
  </si>
  <si>
    <t>Сведения о финансовом обеспечении реализации государственных программ Архангельской области в 2020 - 2022 годах</t>
  </si>
  <si>
    <t>Подпрограмма "Развитие промышленности строительных материалов Архангельской области"</t>
  </si>
  <si>
    <t>Ожидаемое исполнение 2019 года</t>
  </si>
  <si>
    <t>% к показателям оценки 2019 года</t>
  </si>
  <si>
    <t>ПРОЧИЕ НЕНАЛОГОВЫЕ ДОХОДЫ</t>
  </si>
  <si>
    <t>Доходы областного бюджета в 2019 - 2022 годах</t>
  </si>
  <si>
    <t>Приложение № 2</t>
  </si>
  <si>
    <t>Приложение № 3</t>
  </si>
  <si>
    <t>Приложение № 4</t>
  </si>
  <si>
    <t>Приложение № 5</t>
  </si>
  <si>
    <t>Приложение № 6</t>
  </si>
  <si>
    <t>Приложение № 7</t>
  </si>
  <si>
    <t>Субсидии на финансовое обеспечение выполнения государственного задания на оказание государственных услуг (выполнение работ) за счет средств областного бюджета в 2017 - 2022 г.г.</t>
  </si>
  <si>
    <t>№</t>
  </si>
  <si>
    <t>Наименование проекта</t>
  </si>
  <si>
    <t>Наименование программы</t>
  </si>
  <si>
    <t>Предусмотрено паспортом проекта на 2020 год</t>
  </si>
  <si>
    <t>Утверждено проектом бюджета на 2020 год (тыс.руб.)</t>
  </si>
  <si>
    <t>Утверждено госпрограммой на 2020 год (тыс.руб.)</t>
  </si>
  <si>
    <t>Отклонение от госпрограммы (тыс. руб.)</t>
  </si>
  <si>
    <t xml:space="preserve">Отклонение от паспорта проекта (тыс.руб.) </t>
  </si>
  <si>
    <t>Примечание</t>
  </si>
  <si>
    <t>Средства федерального бюджета</t>
  </si>
  <si>
    <t>Средства областного бюджета</t>
  </si>
  <si>
    <t>Демография</t>
  </si>
  <si>
    <t>Финансовая поддержка семей при рождении детей</t>
  </si>
  <si>
    <t>Государственная программа Архангельской области «Социальная поддержка граждан в Архангельской области (2013 – 2024 годы)»</t>
  </si>
  <si>
    <t>Содействие занятости женщин - создание условий дошкольного образования для детей до 3 лет</t>
  </si>
  <si>
    <t>всего, в т.ч.</t>
  </si>
  <si>
    <t>Государственная программа Архангельской области «Содействие занятости населения Архангельской области, улучшение условий и охраны труда»</t>
  </si>
  <si>
    <t xml:space="preserve">Государственная программа Архангельской области "Развитие образования и науки Архангельской области"
</t>
  </si>
  <si>
    <t>Отклонение от госпрограммы - средства областного бюджета, предусмотренные на  строительство двух детских садов (Строительство детского сада на 220 мест в с. Карпогоры Пинежского района - 127,4 млн. руб.;строительство детского сада на 220 мест в округе Варавино-Фактория г. Архангельска -  158,3млн. руб.) в рамках Национального проекта.Расходы на строительство двух детских садов не детализированы по результатам реализации задач федерального проекта, и предусмотрены по целевой статье «02 7 00 70310» - Софинансирование капитальных вложений в объекты муниципальной собственности муниципальных образований Архангельской области.</t>
  </si>
  <si>
    <t>Разработка и реализация программы системной программы и повышения качества жизни граждан старшего поколения "Старшее поколение"</t>
  </si>
  <si>
    <t>Государственная программа Архангельской области "Развитие здравоохранения Архангельской области"</t>
  </si>
  <si>
    <t>Формирование системы мотивации граждан к здоровому образу жизни, включая здоровое питание и отказ от вредных привычек</t>
  </si>
  <si>
    <t>Спорт - норма жизни</t>
  </si>
  <si>
    <t>Государственная программа Архангельской области "Патриотическое воспитание, развитие физической культуры, спорта, туризма и повышение эффективности реализации молодежной политики в Архангельской области"</t>
  </si>
  <si>
    <t>Развитие системы оказания первичной медико-санитарной помощи</t>
  </si>
  <si>
    <t>Борьба с сердечно-сосудистыми заболеваниями</t>
  </si>
  <si>
    <t>Борьба с онкологическими заболеваниями</t>
  </si>
  <si>
    <t>Развитие детского здравоохранения</t>
  </si>
  <si>
    <t>Обеспечение медицинских организаций системы здравоохранения квалифицированными кадрами</t>
  </si>
  <si>
    <t>Создание единого цифрового контура в здравоохранении на основе ЕГИСЗ</t>
  </si>
  <si>
    <t>Развитие экспорта медицинских услуг</t>
  </si>
  <si>
    <t>Современная школа</t>
  </si>
  <si>
    <t>Развитие образования и науки Архангельской области (2013-2025 годы)</t>
  </si>
  <si>
    <t>Отклонение - средства областного бюджета, предусмотренные на строительство : 1.средней общеобразовательной школы на 250 учащихся с блоком временного проживания на 50 человек в с. Ровдино Шенкурского района - 55,4 млн. руб., 2.Строительство школы на 90 учащихся в с. Долгощелье Мезенского района  - 5,4 млн. руб., 3.Строительство школы на 860 мест в территориальном округе Варавино-Фактория г. Архангельска - 331,5 млн. руб. Расходы на строительство вышеперечисленных школ не детализированы по результатам реализации задач федерального проекта, и предусмотрены по целевой статье «02 7 00 70310» - Софинансирование капитальных вложений в объекты муниципальной собственности муниципальных образований Архангельской области.</t>
  </si>
  <si>
    <t>Успех каждого ребенка</t>
  </si>
  <si>
    <t>Поддержка семей, имеющих детей</t>
  </si>
  <si>
    <t>Оказание услуг психолого-педагогической, методической и консультативной помощи родителям (законным представителям) детей, а также гражданам, желающим принять на воспитание в свои семьи детей, оставшихся без попечения родителей, в рамках федерального проекта "Поддержка семей, имеющих детей" национального проекта "Образование"</t>
  </si>
  <si>
    <t>Цифровая образовательная среда</t>
  </si>
  <si>
    <t>Внедрение целевой модели цифровой образовательной среды в общеобразовательных организациях и профессиональных образовательных организациях в рамках федерального проекта "Цифровая образовательная среда" национального проекта "Образование"</t>
  </si>
  <si>
    <t>Учитель будущего</t>
  </si>
  <si>
    <t>Молодые профессионалы</t>
  </si>
  <si>
    <t>Создание в государственных профессиональных образовательных организациях Архангельской области мастерских, оснащенных современной материально-технической базой по одной из компетенций в рамках федерального проекта "Молодые профессионалы (Повышение конкурентоспособности профессионального образования)" национального проекта "Образование"</t>
  </si>
  <si>
    <t>Социальная активность</t>
  </si>
  <si>
    <t>"Патриотическое воспитание, развитие физической культуры, спорта, туризма и повышение эффективности реализации молодежной политики в Архангельской области (2014 - 2024 годы)", Государственная программа Архангельской области "Развитие образования и науки Архангельской области (2013 - 2025 годы)"</t>
  </si>
  <si>
    <t>Проведение Всероссийского конкурса лучшихрегиональных практик поддержки волонтерства "Регион добрых дел".Проведение мероприятия осуществляется на основании конкурсного отбора, проводимом на уровне Федерации. Результаты конкурсного отбора законопроектом не представлены.</t>
  </si>
  <si>
    <t>Жилье и городская среда</t>
  </si>
  <si>
    <t>Жилье</t>
  </si>
  <si>
    <t>ГП АО "Обеспечение  качественным, доступным жильем  и  объектами  инженерной ифраструктуры населения Архангельской области"</t>
  </si>
  <si>
    <t>В паспорте регионального проекта (стр.11), размещенного  в обменнике, данные о финансировании  в сумме 6 405,2 тыс. руб. на 2020 год отсутствуют, в графу "предусмотрено  паспортом проекта на 2020 год".</t>
  </si>
  <si>
    <t>Формирование комфортной городской среды</t>
  </si>
  <si>
    <t>"Формирование современной городской среды в Архангельской области (2018 - 2024 годы)"</t>
  </si>
  <si>
    <t>Обеспечение устойчивого сокращения непригодного для проживания жилищного фонда</t>
  </si>
  <si>
    <t>Адресная программа Архангельской области "Переселение граждан из аварийного жилищного фонда на 2019-2025"</t>
  </si>
  <si>
    <t>Впаспорте программы указаны средства за весь период действия программы.                 в региональном проекте и в Приложении №7 к программе  не указаны средства Фонда СРЖКХ (редакция программы от 30.07.2019).</t>
  </si>
  <si>
    <t>Экология</t>
  </si>
  <si>
    <t>Чистая страна</t>
  </si>
  <si>
    <t>Охрана окружающей среды, воспроизводство и использование природных ресурсов Архангельской области (2014 - 2024 годы)»</t>
  </si>
  <si>
    <t>Комплексная система обращения с отходами</t>
  </si>
  <si>
    <t>Чистая вода</t>
  </si>
  <si>
    <t>ГП АО "Развитие энергетики и жилищно-коммунального хозяйства Архангельской области (2014 - 2024 годы)"</t>
  </si>
  <si>
    <t xml:space="preserve">В паспорте проекта средства ОБ взяты по ГП в редакции от 17.09.2019 в сумме 4067,6 тыс. руб. Новая редакция ГП со средствами ОБ в 5805,5 тыс. руб. </t>
  </si>
  <si>
    <t>Сохранение лесов</t>
  </si>
  <si>
    <t xml:space="preserve">ГП АО «Развитие лесного комплекса Архангельской области (2014-2024 годы)» </t>
  </si>
  <si>
    <t>Безопасные и качественные автомобильные дороги</t>
  </si>
  <si>
    <t>Программа комплексного развития объединенной дорожной сети Архангельской области, Архангельской агломерации</t>
  </si>
  <si>
    <t xml:space="preserve"> "Развитие транспортной системы Архангельской области (2014-2024 годы)"</t>
  </si>
  <si>
    <t>Общесистемные меры развития дорожного хозяйства Архангельской области, Архангельской агломерации</t>
  </si>
  <si>
    <t>Безопасность дорожного движения</t>
  </si>
  <si>
    <t>"Развитие здравоохранения Архангельской области (2013 - 2024 годы)"</t>
  </si>
  <si>
    <t>"Обеспечение общественного порядка, профилактика преступности, коррупции, терроризма, экстремизма и незаконного потребления наркотических средств и психотропных веществ в Архангельской области (2014 - 2021 годы)"</t>
  </si>
  <si>
    <t>"Патриотическое воспитание, развитие физической культуры, спорта, туризма и повышение эффективности реализации молодежной политики в Архангельской области (2014 - 2024 годы)"</t>
  </si>
  <si>
    <t>Цифровая экономика</t>
  </si>
  <si>
    <t>Информационная инфраструктура</t>
  </si>
  <si>
    <t>Кадры для цифровой экономики</t>
  </si>
  <si>
    <t>Информационная безопасность</t>
  </si>
  <si>
    <t>Цифровые технологии</t>
  </si>
  <si>
    <t>Цифровое государственное управление</t>
  </si>
  <si>
    <t>Культура</t>
  </si>
  <si>
    <t>Культурная среда</t>
  </si>
  <si>
    <t>Отклонение в сумме 5000,00 тыс.руб.  связано с тем, что в паспорте проекта на переоснащение муниципальных библиотек по модельному стандарту предусмотрены средства областного бюджета в сумме 0,5 млн.руб., а законопроектом на мероприятие "Создание модельных муниципальных библиотек" предусмотрены средства федерального бюджета в сумме 5000,00 тыс.руб. и средства областного бюджета в сумме 500,0 тыс.руб. Кроме того, в паспорте проекта на мероприятие "Построены (реконструированы) и (или) капитально отремонтированы культурно-досуговые учреждения в сельской местности " предусмотрены только средства областного бюджета в сумме 24,42 млн. руб., а законопроектом на это мероприятие предусмотрены средства федерального бюджета в сумме 21980,6 тыс.руб. и средства областного бюджета в сумме 2442,3 тыс.руб.</t>
  </si>
  <si>
    <t>«Комплексное развитие сельских территорий»</t>
  </si>
  <si>
    <t>Творческие люди</t>
  </si>
  <si>
    <t>«Культура Русского Севера (2013 – 2024 годы)»</t>
  </si>
  <si>
    <t>Цифровая культура</t>
  </si>
  <si>
    <t>Отклонение в сумме 3600,00 тыс.руб.  связано с тем, что в паспорте проекта на создание виртуальных концертных залов предусмотрены только средства областного бюджета в сумме 0,1 млн.руб., а законопроектом на мероприятие "Создание виртуальных концертных залов" предусмотрены средства федерального бюджета в сумме 3500,0 тыс.руб. и средства областного бюджета в сумме 200,0 тыс.руб.</t>
  </si>
  <si>
    <t>Малое и среднее предпринимательство и поддержка индивидуальной предпринимательской инициативы</t>
  </si>
  <si>
    <t>Улучшение условий ведения предпринимательской деятельности</t>
  </si>
  <si>
    <t>"Экономическое развитие и инвестиционная деятельность в Архангельской области"</t>
  </si>
  <si>
    <t>Финансирование по данному федеральному проекту в госпрограмме не предусмотрено</t>
  </si>
  <si>
    <t>Расширение доступа субъектов МСП к финансовой поддержке</t>
  </si>
  <si>
    <t>В минэкономразвития расхождения с паспортом регионального проекта объясняют техническим сбоем в электронном бюджете. Будут внесены корректировки и изменения.</t>
  </si>
  <si>
    <t>Акселерация субъектов малого и среднего предпринимательства</t>
  </si>
  <si>
    <t>Создание системы поддержки фермеров и развитие сельской кооперации</t>
  </si>
  <si>
    <t>государственная программа развития сельского хозяйства и регулирования рынков сельскохозяйственной продукции, сырья и продовольствия Архангельской области на 2013-2022 годы</t>
  </si>
  <si>
    <t>Дополнительно выделено из областного бюджета 925,2 тыс. руб.</t>
  </si>
  <si>
    <t>Популяризация предпринимательства в Архангельской области</t>
  </si>
  <si>
    <t>Международная кооперация и экспорт</t>
  </si>
  <si>
    <t>Экспорт продукции АПК</t>
  </si>
  <si>
    <t>Государственная программа развития сельского хозяйства и регулирования рынков сельскохозяйственной продукции, сырья и продовольствия Архангельской области на 2013-2022 годы</t>
  </si>
  <si>
    <t>Экспорт услуг</t>
  </si>
  <si>
    <t>Финансирование по данному федеральному  проекту в госпрограмме не предусмотрено</t>
  </si>
  <si>
    <t>Системные меры развития международной кооперации и экспорта</t>
  </si>
  <si>
    <t xml:space="preserve">Развитие региональных аэропортов и маршрутов (Архангельская область) </t>
  </si>
  <si>
    <t>ГП АО "Развитие  инфраструктуры Соловецкого архипелага"</t>
  </si>
  <si>
    <t>Производительность труда и поддержка занятости</t>
  </si>
  <si>
    <t>Адресная поддержка по повышению производительности труда на предприятиях</t>
  </si>
  <si>
    <t>В связи с досрочным вступлением Архангельской области с 2020 года в реализацию национального проекта "Производительность труда и поддержка занятости", региональный проект находится в стадии разработки.</t>
  </si>
  <si>
    <t>Приложение № 8</t>
  </si>
  <si>
    <t>ВСЕГО РАСХОДОВ (в т. ч. по региональным проектам)</t>
  </si>
  <si>
    <t>"Развитие здравоохранения Архангельской области (2013-2024 годы)"</t>
  </si>
  <si>
    <t>Показатели финансового обеспечения национальных проектов за счет средств федерального и областного бюджетов в разрезе государственных программ Архангельской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</si>
</sst>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43" formatCode="_-* #,##0.00\ _₽_-;\-* #,##0.00\ _₽_-;_-* &quot;-&quot;??\ _₽_-;_-@_-"/>
    <numFmt numFmtId="164" formatCode="#,##0.0"/>
    <numFmt numFmtId="165" formatCode="0.0"/>
    <numFmt numFmtId="166" formatCode="#,##0.000"/>
    <numFmt numFmtId="167" formatCode="0.000"/>
    <numFmt numFmtId="168" formatCode="#,##0.0_ ;[Red]\-#,##0.0\ "/>
    <numFmt numFmtId="169" formatCode="00"/>
    <numFmt numFmtId="170" formatCode="0.0%"/>
    <numFmt numFmtId="171" formatCode="#,##0_ ;[Red]\-#,##0\ "/>
    <numFmt numFmtId="172" formatCode="#,##0.00_ ;[Red]\-#,##0.00\ "/>
    <numFmt numFmtId="173" formatCode="#,##0.000_ ;[Red]\-#,##0.000\ "/>
    <numFmt numFmtId="174" formatCode="000"/>
    <numFmt numFmtId="175" formatCode="#,##0.00_ ;\-#,##0.00\ "/>
    <numFmt numFmtId="176" formatCode="#,##0.00\ _₽"/>
  </numFmts>
  <fonts count="34" x14ac:knownFonts="1"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10"/>
      <name val="Arial"/>
      <family val="2"/>
      <charset val="204"/>
    </font>
    <font>
      <sz val="10"/>
      <color rgb="FF0070C0"/>
      <name val="Arial"/>
      <family val="2"/>
      <charset val="204"/>
    </font>
    <font>
      <b/>
      <sz val="10"/>
      <name val="Arial"/>
      <family val="2"/>
      <charset val="204"/>
    </font>
    <font>
      <sz val="10"/>
      <color indexed="8"/>
      <name val="Arial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1"/>
      <name val="Arial"/>
      <family val="2"/>
      <charset val="204"/>
    </font>
    <font>
      <b/>
      <sz val="10"/>
      <color theme="1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0"/>
      <color theme="1"/>
      <name val="Calibri"/>
      <family val="2"/>
      <charset val="204"/>
      <scheme val="minor"/>
    </font>
    <font>
      <sz val="10"/>
      <color rgb="FFFF0000"/>
      <name val="Arial"/>
      <family val="2"/>
      <charset val="204"/>
    </font>
    <font>
      <b/>
      <sz val="10"/>
      <color rgb="FFFF0000"/>
      <name val="Arial"/>
      <family val="2"/>
      <charset val="204"/>
    </font>
    <font>
      <b/>
      <sz val="12"/>
      <name val="Arial"/>
      <family val="2"/>
      <charset val="204"/>
    </font>
    <font>
      <i/>
      <sz val="10"/>
      <name val="Arial"/>
      <family val="2"/>
      <charset val="204"/>
    </font>
    <font>
      <b/>
      <sz val="11"/>
      <color theme="1"/>
      <name val="Arial"/>
      <family val="2"/>
      <charset val="204"/>
    </font>
    <font>
      <b/>
      <sz val="9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77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 style="hair">
        <color indexed="64"/>
      </left>
      <right/>
      <top style="double">
        <color indexed="64"/>
      </top>
      <bottom style="hair">
        <color indexed="64"/>
      </bottom>
      <diagonal/>
    </border>
    <border>
      <left/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rgb="FF000000"/>
      </left>
      <right style="double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rgb="FF000000"/>
      </left>
      <right style="hair">
        <color rgb="FF000000"/>
      </right>
      <top style="thin">
        <color indexed="64"/>
      </top>
      <bottom style="hair">
        <color rgb="FF000000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/>
      <diagonal/>
    </border>
    <border>
      <left style="double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double">
        <color indexed="64"/>
      </right>
      <top/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rgb="FF000000"/>
      </bottom>
      <diagonal/>
    </border>
    <border>
      <left style="double">
        <color indexed="64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double">
        <color indexed="64"/>
      </left>
      <right style="hair">
        <color rgb="FF000000"/>
      </right>
      <top style="hair">
        <color rgb="FF000000"/>
      </top>
      <bottom style="thin">
        <color indexed="64"/>
      </bottom>
      <diagonal/>
    </border>
    <border>
      <left style="double">
        <color indexed="64"/>
      </left>
      <right style="hair">
        <color rgb="FF000000"/>
      </right>
      <top/>
      <bottom style="hair">
        <color rgb="FF000000"/>
      </bottom>
      <diagonal/>
    </border>
    <border>
      <left style="hair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hair">
        <color rgb="FF000000"/>
      </right>
      <top style="thin">
        <color indexed="64"/>
      </top>
      <bottom style="hair">
        <color rgb="FF000000"/>
      </bottom>
      <diagonal/>
    </border>
    <border>
      <left style="hair">
        <color rgb="FF000000"/>
      </left>
      <right style="double">
        <color indexed="64"/>
      </right>
      <top style="thin">
        <color indexed="64"/>
      </top>
      <bottom style="hair">
        <color rgb="FF000000"/>
      </bottom>
      <diagonal/>
    </border>
    <border>
      <left style="hair">
        <color rgb="FF000000"/>
      </left>
      <right style="double">
        <color indexed="64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2">
    <xf numFmtId="0" fontId="0" fillId="0" borderId="0"/>
    <xf numFmtId="0" fontId="4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9" fontId="10" fillId="0" borderId="0" applyFont="0" applyFill="0" applyBorder="0" applyAlignment="0" applyProtection="0"/>
    <xf numFmtId="0" fontId="10" fillId="0" borderId="0"/>
    <xf numFmtId="0" fontId="10" fillId="0" borderId="0"/>
    <xf numFmtId="0" fontId="4" fillId="0" borderId="0"/>
  </cellStyleXfs>
  <cellXfs count="535">
    <xf numFmtId="0" fontId="0" fillId="0" borderId="0" xfId="0"/>
    <xf numFmtId="0" fontId="4" fillId="0" borderId="3" xfId="1" applyFont="1" applyFill="1" applyBorder="1"/>
    <xf numFmtId="164" fontId="4" fillId="0" borderId="4" xfId="1" applyNumberFormat="1" applyFont="1" applyFill="1" applyBorder="1" applyAlignment="1">
      <alignment horizontal="right" vertical="center"/>
    </xf>
    <xf numFmtId="0" fontId="5" fillId="0" borderId="0" xfId="1" applyFont="1" applyFill="1" applyAlignment="1">
      <alignment horizontal="center"/>
    </xf>
    <xf numFmtId="0" fontId="11" fillId="0" borderId="0" xfId="1" applyFont="1" applyFill="1" applyBorder="1" applyAlignment="1">
      <alignment horizontal="center" vertical="center"/>
    </xf>
    <xf numFmtId="0" fontId="4" fillId="0" borderId="0" xfId="1" applyFont="1" applyFill="1"/>
    <xf numFmtId="172" fontId="5" fillId="0" borderId="0" xfId="1" applyNumberFormat="1" applyFont="1" applyFill="1" applyAlignment="1">
      <alignment horizontal="center"/>
    </xf>
    <xf numFmtId="172" fontId="11" fillId="0" borderId="0" xfId="1" applyNumberFormat="1" applyFont="1" applyFill="1" applyBorder="1" applyAlignment="1">
      <alignment horizontal="center" vertical="center"/>
    </xf>
    <xf numFmtId="0" fontId="4" fillId="0" borderId="0" xfId="1" applyFont="1" applyFill="1" applyAlignment="1">
      <alignment vertical="center" wrapText="1"/>
    </xf>
    <xf numFmtId="172" fontId="4" fillId="0" borderId="4" xfId="1" applyNumberFormat="1" applyFont="1" applyFill="1" applyBorder="1" applyAlignment="1">
      <alignment horizontal="right"/>
    </xf>
    <xf numFmtId="172" fontId="4" fillId="0" borderId="4" xfId="1" applyNumberFormat="1" applyFont="1" applyFill="1" applyBorder="1" applyAlignment="1">
      <alignment horizontal="right" vertical="center"/>
    </xf>
    <xf numFmtId="172" fontId="4" fillId="0" borderId="5" xfId="1" applyNumberFormat="1" applyFont="1" applyFill="1" applyBorder="1" applyAlignment="1">
      <alignment horizontal="right" vertical="center"/>
    </xf>
    <xf numFmtId="0" fontId="4" fillId="0" borderId="3" xfId="1" applyFont="1" applyFill="1" applyBorder="1" applyAlignment="1">
      <alignment wrapText="1"/>
    </xf>
    <xf numFmtId="2" fontId="4" fillId="0" borderId="4" xfId="1" applyNumberFormat="1" applyFont="1" applyFill="1" applyBorder="1" applyAlignment="1">
      <alignment horizontal="right"/>
    </xf>
    <xf numFmtId="172" fontId="6" fillId="0" borderId="4" xfId="1" applyNumberFormat="1" applyFont="1" applyFill="1" applyBorder="1" applyAlignment="1">
      <alignment horizontal="right"/>
    </xf>
    <xf numFmtId="0" fontId="4" fillId="0" borderId="7" xfId="1" applyFont="1" applyFill="1" applyBorder="1" applyAlignment="1">
      <alignment horizontal="right"/>
    </xf>
    <xf numFmtId="172" fontId="4" fillId="0" borderId="15" xfId="1" applyNumberFormat="1" applyFont="1" applyFill="1" applyBorder="1" applyAlignment="1">
      <alignment horizontal="right"/>
    </xf>
    <xf numFmtId="172" fontId="4" fillId="0" borderId="0" xfId="1" applyNumberFormat="1" applyFont="1" applyFill="1"/>
    <xf numFmtId="0" fontId="12" fillId="0" borderId="0" xfId="0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center"/>
    </xf>
    <xf numFmtId="0" fontId="4" fillId="0" borderId="3" xfId="1" applyFont="1" applyFill="1" applyBorder="1" applyAlignment="1">
      <alignment horizontal="center" vertical="center"/>
    </xf>
    <xf numFmtId="0" fontId="4" fillId="0" borderId="4" xfId="1" applyFont="1" applyFill="1" applyBorder="1" applyAlignment="1">
      <alignment horizontal="center" vertical="center" wrapText="1"/>
    </xf>
    <xf numFmtId="0" fontId="4" fillId="0" borderId="4" xfId="1" applyFont="1" applyFill="1" applyBorder="1" applyAlignment="1">
      <alignment horizontal="center" vertical="center"/>
    </xf>
    <xf numFmtId="168" fontId="4" fillId="0" borderId="3" xfId="1" applyNumberFormat="1" applyFont="1" applyFill="1" applyBorder="1" applyAlignment="1">
      <alignment vertical="center" wrapText="1"/>
    </xf>
    <xf numFmtId="164" fontId="4" fillId="0" borderId="4" xfId="1" applyNumberFormat="1" applyFont="1" applyFill="1" applyBorder="1" applyAlignment="1">
      <alignment vertical="center"/>
    </xf>
    <xf numFmtId="168" fontId="4" fillId="0" borderId="3" xfId="1" applyNumberFormat="1" applyFont="1" applyFill="1" applyBorder="1" applyAlignment="1">
      <alignment horizontal="left" vertical="center" wrapText="1" indent="2"/>
    </xf>
    <xf numFmtId="164" fontId="4" fillId="0" borderId="4" xfId="1" applyNumberFormat="1" applyFont="1" applyFill="1" applyBorder="1" applyAlignment="1">
      <alignment horizontal="center" vertical="center"/>
    </xf>
    <xf numFmtId="168" fontId="19" fillId="0" borderId="3" xfId="1" applyNumberFormat="1" applyFont="1" applyFill="1" applyBorder="1" applyAlignment="1">
      <alignment vertical="center" wrapText="1"/>
    </xf>
    <xf numFmtId="168" fontId="4" fillId="0" borderId="3" xfId="1" applyNumberFormat="1" applyFont="1" applyFill="1" applyBorder="1" applyAlignment="1">
      <alignment horizontal="left" vertical="center" wrapText="1" indent="1"/>
    </xf>
    <xf numFmtId="168" fontId="19" fillId="0" borderId="3" xfId="1" applyNumberFormat="1" applyFont="1" applyFill="1" applyBorder="1" applyAlignment="1">
      <alignment horizontal="left" vertical="center" wrapText="1"/>
    </xf>
    <xf numFmtId="168" fontId="4" fillId="0" borderId="3" xfId="1" applyNumberFormat="1" applyFont="1" applyFill="1" applyBorder="1" applyAlignment="1">
      <alignment horizontal="left" vertical="center" wrapText="1"/>
    </xf>
    <xf numFmtId="168" fontId="4" fillId="0" borderId="3" xfId="1" applyNumberFormat="1" applyFont="1" applyFill="1" applyBorder="1"/>
    <xf numFmtId="168" fontId="4" fillId="0" borderId="4" xfId="1" applyNumberFormat="1" applyFont="1" applyFill="1" applyBorder="1" applyAlignment="1">
      <alignment vertical="center"/>
    </xf>
    <xf numFmtId="168" fontId="6" fillId="0" borderId="3" xfId="1" applyNumberFormat="1" applyFont="1" applyFill="1" applyBorder="1" applyAlignment="1">
      <alignment vertical="center" wrapText="1"/>
    </xf>
    <xf numFmtId="164" fontId="6" fillId="0" borderId="4" xfId="1" applyNumberFormat="1" applyFont="1" applyFill="1" applyBorder="1" applyAlignment="1">
      <alignment vertical="center"/>
    </xf>
    <xf numFmtId="168" fontId="6" fillId="0" borderId="3" xfId="1" applyNumberFormat="1" applyFont="1" applyFill="1" applyBorder="1" applyAlignment="1">
      <alignment horizontal="left" vertical="center" wrapText="1"/>
    </xf>
    <xf numFmtId="168" fontId="4" fillId="0" borderId="3" xfId="1" applyNumberFormat="1" applyFont="1" applyFill="1" applyBorder="1" applyAlignment="1">
      <alignment horizontal="left" indent="1"/>
    </xf>
    <xf numFmtId="168" fontId="4" fillId="0" borderId="8" xfId="1" applyNumberFormat="1" applyFont="1" applyFill="1" applyBorder="1" applyAlignment="1">
      <alignment horizontal="left" indent="1"/>
    </xf>
    <xf numFmtId="164" fontId="6" fillId="0" borderId="4" xfId="1" applyNumberFormat="1" applyFont="1" applyFill="1" applyBorder="1" applyAlignment="1">
      <alignment horizontal="right" vertical="center"/>
    </xf>
    <xf numFmtId="168" fontId="4" fillId="0" borderId="4" xfId="1" applyNumberFormat="1" applyFont="1" applyFill="1" applyBorder="1" applyAlignment="1">
      <alignment horizontal="right" vertical="center"/>
    </xf>
    <xf numFmtId="164" fontId="6" fillId="0" borderId="5" xfId="1" applyNumberFormat="1" applyFont="1" applyFill="1" applyBorder="1" applyAlignment="1">
      <alignment horizontal="right" vertical="center"/>
    </xf>
    <xf numFmtId="164" fontId="4" fillId="0" borderId="5" xfId="1" applyNumberFormat="1" applyFont="1" applyFill="1" applyBorder="1" applyAlignment="1">
      <alignment horizontal="right" vertical="center"/>
    </xf>
    <xf numFmtId="165" fontId="4" fillId="0" borderId="7" xfId="1" applyNumberFormat="1" applyFont="1" applyFill="1" applyBorder="1" applyAlignment="1">
      <alignment horizontal="right"/>
    </xf>
    <xf numFmtId="171" fontId="4" fillId="0" borderId="4" xfId="0" applyNumberFormat="1" applyFont="1" applyFill="1" applyBorder="1" applyAlignment="1">
      <alignment vertical="center" wrapText="1"/>
    </xf>
    <xf numFmtId="171" fontId="4" fillId="0" borderId="5" xfId="0" applyNumberFormat="1" applyFont="1" applyFill="1" applyBorder="1" applyAlignment="1">
      <alignment vertical="center" wrapText="1"/>
    </xf>
    <xf numFmtId="0" fontId="12" fillId="3" borderId="8" xfId="0" applyFont="1" applyFill="1" applyBorder="1" applyAlignment="1">
      <alignment vertical="center" wrapText="1"/>
    </xf>
    <xf numFmtId="168" fontId="12" fillId="3" borderId="7" xfId="0" applyNumberFormat="1" applyFont="1" applyFill="1" applyBorder="1" applyAlignment="1">
      <alignment vertical="center" wrapText="1"/>
    </xf>
    <xf numFmtId="171" fontId="12" fillId="3" borderId="7" xfId="0" applyNumberFormat="1" applyFont="1" applyFill="1" applyBorder="1" applyAlignment="1">
      <alignment vertical="center" wrapText="1"/>
    </xf>
    <xf numFmtId="171" fontId="12" fillId="3" borderId="9" xfId="0" applyNumberFormat="1" applyFont="1" applyFill="1" applyBorder="1" applyAlignment="1">
      <alignment vertical="center" wrapText="1"/>
    </xf>
    <xf numFmtId="168" fontId="16" fillId="0" borderId="0" xfId="0" applyNumberFormat="1" applyFont="1" applyAlignment="1">
      <alignment vertical="center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NumberFormat="1" applyFont="1" applyBorder="1" applyAlignment="1">
      <alignment horizontal="center" vertical="center" wrapText="1"/>
    </xf>
    <xf numFmtId="0" fontId="12" fillId="0" borderId="4" xfId="0" applyNumberFormat="1" applyFont="1" applyBorder="1" applyAlignment="1">
      <alignment horizontal="center" vertical="center" wrapText="1"/>
    </xf>
    <xf numFmtId="0" fontId="12" fillId="0" borderId="4" xfId="0" applyNumberFormat="1" applyFont="1" applyFill="1" applyBorder="1" applyAlignment="1">
      <alignment horizontal="center" vertical="center" wrapText="1"/>
    </xf>
    <xf numFmtId="0" fontId="12" fillId="0" borderId="5" xfId="0" applyNumberFormat="1" applyFont="1" applyBorder="1" applyAlignment="1">
      <alignment horizontal="center" vertical="center" wrapText="1"/>
    </xf>
    <xf numFmtId="170" fontId="12" fillId="0" borderId="0" xfId="6" applyNumberFormat="1" applyFont="1" applyBorder="1" applyAlignment="1">
      <alignment vertical="center" wrapText="1"/>
    </xf>
    <xf numFmtId="168" fontId="12" fillId="0" borderId="0" xfId="6" applyNumberFormat="1" applyFont="1" applyBorder="1" applyAlignment="1">
      <alignment vertical="center" wrapText="1"/>
    </xf>
    <xf numFmtId="168" fontId="0" fillId="2" borderId="34" xfId="0" applyNumberFormat="1" applyFont="1" applyFill="1" applyBorder="1" applyAlignment="1">
      <alignment vertical="center" wrapText="1"/>
    </xf>
    <xf numFmtId="168" fontId="0" fillId="2" borderId="0" xfId="0" applyNumberFormat="1" applyFont="1" applyFill="1" applyBorder="1" applyAlignment="1">
      <alignment vertical="center" wrapText="1"/>
    </xf>
    <xf numFmtId="0" fontId="14" fillId="2" borderId="19" xfId="7" applyFont="1" applyFill="1" applyBorder="1" applyAlignment="1">
      <alignment vertical="center" wrapText="1"/>
    </xf>
    <xf numFmtId="170" fontId="12" fillId="0" borderId="0" xfId="6" applyNumberFormat="1" applyFont="1" applyFill="1" applyBorder="1" applyAlignment="1">
      <alignment vertical="center" wrapText="1"/>
    </xf>
    <xf numFmtId="168" fontId="12" fillId="0" borderId="0" xfId="6" applyNumberFormat="1" applyFont="1" applyFill="1" applyBorder="1" applyAlignment="1">
      <alignment vertical="center" wrapText="1"/>
    </xf>
    <xf numFmtId="0" fontId="12" fillId="3" borderId="21" xfId="7" applyFont="1" applyFill="1" applyBorder="1" applyAlignment="1">
      <alignment vertical="center" wrapText="1"/>
    </xf>
    <xf numFmtId="169" fontId="12" fillId="3" borderId="22" xfId="7" applyNumberFormat="1" applyFont="1" applyFill="1" applyBorder="1" applyAlignment="1">
      <alignment vertical="center" wrapText="1"/>
    </xf>
    <xf numFmtId="168" fontId="12" fillId="3" borderId="22" xfId="7" applyNumberFormat="1" applyFont="1" applyFill="1" applyBorder="1" applyAlignment="1">
      <alignment vertical="center" wrapText="1"/>
    </xf>
    <xf numFmtId="168" fontId="12" fillId="3" borderId="23" xfId="7" applyNumberFormat="1" applyFont="1" applyFill="1" applyBorder="1" applyAlignment="1">
      <alignment vertical="center" wrapText="1"/>
    </xf>
    <xf numFmtId="0" fontId="4" fillId="2" borderId="4" xfId="5" applyNumberFormat="1" applyFont="1" applyFill="1" applyBorder="1" applyAlignment="1">
      <alignment horizontal="center" vertical="top" wrapText="1"/>
    </xf>
    <xf numFmtId="0" fontId="4" fillId="2" borderId="5" xfId="5" applyNumberFormat="1" applyFont="1" applyFill="1" applyBorder="1" applyAlignment="1">
      <alignment horizontal="center" vertical="top" wrapText="1"/>
    </xf>
    <xf numFmtId="0" fontId="6" fillId="2" borderId="0" xfId="5" applyFont="1" applyFill="1" applyBorder="1" applyAlignment="1">
      <alignment vertical="center" wrapText="1"/>
    </xf>
    <xf numFmtId="0" fontId="14" fillId="2" borderId="3" xfId="4" applyFont="1" applyFill="1" applyBorder="1" applyAlignment="1">
      <alignment horizontal="center" vertical="center" wrapText="1"/>
    </xf>
    <xf numFmtId="0" fontId="14" fillId="2" borderId="4" xfId="4" applyFont="1" applyFill="1" applyBorder="1" applyAlignment="1">
      <alignment horizontal="center" vertical="center" wrapText="1"/>
    </xf>
    <xf numFmtId="0" fontId="4" fillId="2" borderId="5" xfId="5" applyNumberFormat="1" applyFont="1" applyFill="1" applyBorder="1" applyAlignment="1">
      <alignment horizontal="center" vertical="center" wrapText="1"/>
    </xf>
    <xf numFmtId="0" fontId="12" fillId="2" borderId="0" xfId="4" applyFont="1" applyFill="1"/>
    <xf numFmtId="0" fontId="13" fillId="2" borderId="8" xfId="4" applyFont="1" applyFill="1" applyBorder="1" applyAlignment="1">
      <alignment vertical="center" wrapText="1"/>
    </xf>
    <xf numFmtId="168" fontId="12" fillId="2" borderId="7" xfId="4" applyNumberFormat="1" applyFont="1" applyFill="1" applyBorder="1" applyAlignment="1">
      <alignment horizontal="right"/>
    </xf>
    <xf numFmtId="0" fontId="4" fillId="0" borderId="4" xfId="0" applyFont="1" applyBorder="1" applyAlignment="1">
      <alignment horizontal="center" vertical="center" wrapText="1"/>
    </xf>
    <xf numFmtId="164" fontId="4" fillId="5" borderId="4" xfId="1" applyNumberFormat="1" applyFont="1" applyFill="1" applyBorder="1" applyAlignment="1">
      <alignment vertical="center"/>
    </xf>
    <xf numFmtId="0" fontId="4" fillId="0" borderId="0" xfId="1" applyFont="1" applyFill="1" applyAlignment="1">
      <alignment horizontal="right"/>
    </xf>
    <xf numFmtId="0" fontId="6" fillId="0" borderId="13" xfId="1" applyFont="1" applyFill="1" applyBorder="1" applyAlignment="1">
      <alignment horizontal="center" vertical="center" wrapText="1"/>
    </xf>
    <xf numFmtId="172" fontId="6" fillId="0" borderId="13" xfId="1" applyNumberFormat="1" applyFont="1" applyFill="1" applyBorder="1" applyAlignment="1">
      <alignment horizontal="center" vertical="center" wrapText="1"/>
    </xf>
    <xf numFmtId="172" fontId="6" fillId="0" borderId="20" xfId="1" applyNumberFormat="1" applyFont="1" applyFill="1" applyBorder="1" applyAlignment="1">
      <alignment horizontal="center" vertical="center" wrapText="1"/>
    </xf>
    <xf numFmtId="0" fontId="4" fillId="0" borderId="19" xfId="1" applyFont="1" applyFill="1" applyBorder="1" applyAlignment="1">
      <alignment horizontal="center"/>
    </xf>
    <xf numFmtId="0" fontId="4" fillId="0" borderId="13" xfId="1" applyFont="1" applyFill="1" applyBorder="1" applyAlignment="1">
      <alignment horizontal="center"/>
    </xf>
    <xf numFmtId="171" fontId="4" fillId="0" borderId="13" xfId="1" applyNumberFormat="1" applyFont="1" applyFill="1" applyBorder="1" applyAlignment="1">
      <alignment horizontal="center"/>
    </xf>
    <xf numFmtId="171" fontId="4" fillId="0" borderId="20" xfId="1" applyNumberFormat="1" applyFont="1" applyFill="1" applyBorder="1" applyAlignment="1">
      <alignment horizontal="center"/>
    </xf>
    <xf numFmtId="0" fontId="4" fillId="0" borderId="19" xfId="1" applyFont="1" applyFill="1" applyBorder="1"/>
    <xf numFmtId="4" fontId="4" fillId="0" borderId="13" xfId="0" applyNumberFormat="1" applyFont="1" applyFill="1" applyBorder="1" applyAlignment="1" applyProtection="1">
      <alignment horizontal="right" vertical="center"/>
      <protection locked="0"/>
    </xf>
    <xf numFmtId="164" fontId="4" fillId="0" borderId="13" xfId="1" applyNumberFormat="1" applyFont="1" applyFill="1" applyBorder="1" applyAlignment="1">
      <alignment horizontal="right"/>
    </xf>
    <xf numFmtId="172" fontId="4" fillId="0" borderId="13" xfId="0" applyNumberFormat="1" applyFont="1" applyFill="1" applyBorder="1" applyAlignment="1" applyProtection="1">
      <alignment horizontal="right" vertical="center"/>
      <protection locked="0"/>
    </xf>
    <xf numFmtId="4" fontId="7" fillId="0" borderId="13" xfId="0" applyNumberFormat="1" applyFont="1" applyFill="1" applyBorder="1" applyAlignment="1" applyProtection="1">
      <alignment horizontal="right" vertical="center"/>
      <protection locked="0"/>
    </xf>
    <xf numFmtId="172" fontId="7" fillId="0" borderId="13" xfId="0" applyNumberFormat="1" applyFont="1" applyFill="1" applyBorder="1" applyAlignment="1" applyProtection="1">
      <alignment horizontal="right" vertical="center"/>
      <protection locked="0"/>
    </xf>
    <xf numFmtId="172" fontId="4" fillId="0" borderId="20" xfId="0" applyNumberFormat="1" applyFont="1" applyFill="1" applyBorder="1" applyAlignment="1" applyProtection="1">
      <alignment horizontal="right" vertical="center"/>
      <protection locked="0"/>
    </xf>
    <xf numFmtId="172" fontId="4" fillId="0" borderId="13" xfId="1" applyNumberFormat="1" applyFont="1" applyFill="1" applyBorder="1" applyAlignment="1">
      <alignment horizontal="right" vertical="center"/>
    </xf>
    <xf numFmtId="172" fontId="4" fillId="0" borderId="13" xfId="1" applyNumberFormat="1" applyFont="1" applyFill="1" applyBorder="1" applyAlignment="1">
      <alignment horizontal="right"/>
    </xf>
    <xf numFmtId="172" fontId="4" fillId="0" borderId="20" xfId="1" applyNumberFormat="1" applyFont="1" applyFill="1" applyBorder="1" applyAlignment="1">
      <alignment horizontal="right" vertical="center"/>
    </xf>
    <xf numFmtId="4" fontId="4" fillId="0" borderId="13" xfId="1" applyNumberFormat="1" applyFont="1" applyFill="1" applyBorder="1" applyAlignment="1">
      <alignment horizontal="right" vertical="center"/>
    </xf>
    <xf numFmtId="4" fontId="4" fillId="0" borderId="13" xfId="1" applyNumberFormat="1" applyFont="1" applyFill="1" applyBorder="1" applyAlignment="1">
      <alignment vertical="center"/>
    </xf>
    <xf numFmtId="4" fontId="4" fillId="0" borderId="13" xfId="0" applyNumberFormat="1" applyFont="1" applyFill="1" applyBorder="1" applyAlignment="1" applyProtection="1">
      <alignment vertical="center"/>
      <protection locked="0"/>
    </xf>
    <xf numFmtId="172" fontId="4" fillId="0" borderId="13" xfId="1" applyNumberFormat="1" applyFont="1" applyFill="1" applyBorder="1" applyAlignment="1">
      <alignment vertical="center"/>
    </xf>
    <xf numFmtId="172" fontId="4" fillId="0" borderId="13" xfId="0" applyNumberFormat="1" applyFont="1" applyFill="1" applyBorder="1" applyAlignment="1" applyProtection="1">
      <alignment vertical="center"/>
      <protection locked="0"/>
    </xf>
    <xf numFmtId="172" fontId="4" fillId="0" borderId="20" xfId="0" applyNumberFormat="1" applyFont="1" applyFill="1" applyBorder="1" applyAlignment="1" applyProtection="1">
      <alignment vertical="center"/>
      <protection locked="0"/>
    </xf>
    <xf numFmtId="172" fontId="4" fillId="0" borderId="20" xfId="1" applyNumberFormat="1" applyFont="1" applyFill="1" applyBorder="1" applyAlignment="1">
      <alignment vertical="center"/>
    </xf>
    <xf numFmtId="172" fontId="7" fillId="0" borderId="20" xfId="0" applyNumberFormat="1" applyFont="1" applyFill="1" applyBorder="1" applyAlignment="1" applyProtection="1">
      <alignment horizontal="right" vertical="center"/>
      <protection locked="0"/>
    </xf>
    <xf numFmtId="166" fontId="4" fillId="0" borderId="13" xfId="1" applyNumberFormat="1" applyFont="1" applyFill="1" applyBorder="1" applyAlignment="1"/>
    <xf numFmtId="172" fontId="4" fillId="0" borderId="13" xfId="1" applyNumberFormat="1" applyFont="1" applyFill="1" applyBorder="1" applyAlignment="1"/>
    <xf numFmtId="172" fontId="4" fillId="0" borderId="20" xfId="1" applyNumberFormat="1" applyFont="1" applyFill="1" applyBorder="1" applyAlignment="1"/>
    <xf numFmtId="0" fontId="4" fillId="0" borderId="19" xfId="1" applyFont="1" applyFill="1" applyBorder="1" applyAlignment="1">
      <alignment wrapText="1"/>
    </xf>
    <xf numFmtId="167" fontId="4" fillId="0" borderId="13" xfId="1" applyNumberFormat="1" applyFont="1" applyFill="1" applyBorder="1" applyAlignment="1"/>
    <xf numFmtId="4" fontId="4" fillId="0" borderId="19" xfId="1" applyNumberFormat="1" applyFont="1" applyFill="1" applyBorder="1" applyAlignment="1">
      <alignment vertical="center"/>
    </xf>
    <xf numFmtId="0" fontId="4" fillId="0" borderId="21" xfId="1" applyFont="1" applyFill="1" applyBorder="1" applyAlignment="1">
      <alignment wrapText="1"/>
    </xf>
    <xf numFmtId="167" fontId="4" fillId="0" borderId="22" xfId="1" applyNumberFormat="1" applyFont="1" applyFill="1" applyBorder="1" applyAlignment="1">
      <alignment horizontal="right"/>
    </xf>
    <xf numFmtId="172" fontId="4" fillId="0" borderId="22" xfId="1" applyNumberFormat="1" applyFont="1" applyFill="1" applyBorder="1" applyAlignment="1">
      <alignment horizontal="right"/>
    </xf>
    <xf numFmtId="172" fontId="4" fillId="0" borderId="23" xfId="1" applyNumberFormat="1" applyFont="1" applyFill="1" applyBorder="1" applyAlignment="1">
      <alignment horizontal="right"/>
    </xf>
    <xf numFmtId="0" fontId="12" fillId="0" borderId="0" xfId="0" applyFont="1" applyBorder="1" applyAlignment="1">
      <alignment horizontal="center" vertical="center" wrapText="1"/>
    </xf>
    <xf numFmtId="0" fontId="12" fillId="0" borderId="13" xfId="7" applyFont="1" applyBorder="1" applyAlignment="1">
      <alignment horizontal="center" vertical="center" wrapText="1"/>
    </xf>
    <xf numFmtId="0" fontId="12" fillId="0" borderId="20" xfId="7" applyFont="1" applyBorder="1" applyAlignment="1">
      <alignment horizontal="center" vertical="center" wrapText="1"/>
    </xf>
    <xf numFmtId="0" fontId="12" fillId="0" borderId="0" xfId="6" applyFont="1" applyBorder="1" applyAlignment="1">
      <alignment horizontal="center" vertical="center" wrapText="1"/>
    </xf>
    <xf numFmtId="0" fontId="4" fillId="2" borderId="4" xfId="5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168" fontId="3" fillId="0" borderId="0" xfId="0" applyNumberFormat="1" applyFont="1" applyAlignment="1">
      <alignment vertical="center" wrapText="1"/>
    </xf>
    <xf numFmtId="168" fontId="3" fillId="0" borderId="0" xfId="0" applyNumberFormat="1" applyFont="1" applyFill="1" applyAlignment="1">
      <alignment vertical="center" wrapText="1"/>
    </xf>
    <xf numFmtId="0" fontId="21" fillId="0" borderId="0" xfId="0" applyFont="1" applyAlignment="1">
      <alignment horizontal="center" vertical="center" wrapText="1"/>
    </xf>
    <xf numFmtId="0" fontId="22" fillId="0" borderId="0" xfId="0" applyNumberFormat="1" applyFont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168" fontId="3" fillId="0" borderId="4" xfId="0" applyNumberFormat="1" applyFont="1" applyBorder="1" applyAlignment="1">
      <alignment vertical="center" wrapText="1"/>
    </xf>
    <xf numFmtId="168" fontId="3" fillId="0" borderId="4" xfId="0" applyNumberFormat="1" applyFont="1" applyFill="1" applyBorder="1" applyAlignment="1">
      <alignment vertical="center" wrapText="1"/>
    </xf>
    <xf numFmtId="171" fontId="3" fillId="0" borderId="4" xfId="0" applyNumberFormat="1" applyFont="1" applyBorder="1" applyAlignment="1">
      <alignment vertical="center" wrapText="1"/>
    </xf>
    <xf numFmtId="171" fontId="3" fillId="0" borderId="4" xfId="0" applyNumberFormat="1" applyFont="1" applyFill="1" applyBorder="1" applyAlignment="1">
      <alignment vertical="center" wrapText="1"/>
    </xf>
    <xf numFmtId="171" fontId="3" fillId="0" borderId="5" xfId="0" applyNumberFormat="1" applyFont="1" applyFill="1" applyBorder="1" applyAlignment="1">
      <alignment vertical="center" wrapText="1"/>
    </xf>
    <xf numFmtId="171" fontId="3" fillId="0" borderId="0" xfId="0" applyNumberFormat="1" applyFont="1" applyAlignment="1">
      <alignment vertical="center" wrapText="1"/>
    </xf>
    <xf numFmtId="171" fontId="3" fillId="0" borderId="5" xfId="0" applyNumberFormat="1" applyFont="1" applyBorder="1" applyAlignment="1">
      <alignment vertical="center" wrapText="1"/>
    </xf>
    <xf numFmtId="0" fontId="3" fillId="2" borderId="3" xfId="0" applyFont="1" applyFill="1" applyBorder="1" applyAlignment="1">
      <alignment vertical="center" wrapText="1"/>
    </xf>
    <xf numFmtId="0" fontId="0" fillId="0" borderId="0" xfId="0" applyFont="1" applyAlignment="1">
      <alignment vertical="center" wrapText="1"/>
    </xf>
    <xf numFmtId="168" fontId="0" fillId="0" borderId="0" xfId="0" applyNumberFormat="1" applyFont="1" applyAlignment="1">
      <alignment vertical="center" wrapText="1"/>
    </xf>
    <xf numFmtId="0" fontId="15" fillId="0" borderId="3" xfId="0" applyFont="1" applyBorder="1" applyAlignment="1">
      <alignment vertical="center" wrapText="1"/>
    </xf>
    <xf numFmtId="0" fontId="2" fillId="0" borderId="0" xfId="9" applyFont="1"/>
    <xf numFmtId="0" fontId="2" fillId="0" borderId="0" xfId="9" applyFont="1" applyAlignment="1">
      <alignment horizontal="right"/>
    </xf>
    <xf numFmtId="0" fontId="2" fillId="0" borderId="4" xfId="9" applyFont="1" applyBorder="1" applyAlignment="1">
      <alignment horizontal="center" vertical="center" wrapText="1"/>
    </xf>
    <xf numFmtId="0" fontId="2" fillId="2" borderId="4" xfId="10" applyFont="1" applyFill="1" applyBorder="1" applyAlignment="1">
      <alignment horizontal="center" vertical="center" wrapText="1"/>
    </xf>
    <xf numFmtId="0" fontId="2" fillId="0" borderId="5" xfId="9" applyFont="1" applyBorder="1" applyAlignment="1">
      <alignment horizontal="center" vertical="center" wrapText="1"/>
    </xf>
    <xf numFmtId="0" fontId="2" fillId="0" borderId="3" xfId="9" applyFont="1" applyBorder="1" applyAlignment="1">
      <alignment horizontal="center" vertical="center" wrapText="1"/>
    </xf>
    <xf numFmtId="0" fontId="2" fillId="0" borderId="6" xfId="9" applyFont="1" applyBorder="1" applyAlignment="1">
      <alignment horizontal="center" vertical="center" wrapText="1"/>
    </xf>
    <xf numFmtId="164" fontId="2" fillId="0" borderId="0" xfId="9" applyNumberFormat="1" applyFont="1"/>
    <xf numFmtId="0" fontId="14" fillId="0" borderId="3" xfId="11" applyFont="1" applyFill="1" applyBorder="1" applyAlignment="1">
      <alignment horizontal="left" vertical="center" wrapText="1"/>
    </xf>
    <xf numFmtId="174" fontId="14" fillId="0" borderId="6" xfId="11" applyNumberFormat="1" applyFont="1" applyFill="1" applyBorder="1" applyAlignment="1">
      <alignment horizontal="center" vertical="center" wrapText="1"/>
    </xf>
    <xf numFmtId="164" fontId="2" fillId="2" borderId="4" xfId="9" applyNumberFormat="1" applyFont="1" applyFill="1" applyBorder="1" applyAlignment="1">
      <alignment horizontal="right" vertical="center" wrapText="1"/>
    </xf>
    <xf numFmtId="164" fontId="2" fillId="0" borderId="5" xfId="9" applyNumberFormat="1" applyFont="1" applyBorder="1" applyAlignment="1">
      <alignment horizontal="right" vertical="center" wrapText="1"/>
    </xf>
    <xf numFmtId="168" fontId="2" fillId="0" borderId="0" xfId="9" applyNumberFormat="1" applyFont="1"/>
    <xf numFmtId="164" fontId="2" fillId="0" borderId="4" xfId="9" applyNumberFormat="1" applyFont="1" applyBorder="1" applyAlignment="1">
      <alignment horizontal="right" vertical="center" wrapText="1"/>
    </xf>
    <xf numFmtId="4" fontId="15" fillId="0" borderId="4" xfId="9" applyNumberFormat="1" applyFont="1" applyBorder="1" applyAlignment="1">
      <alignment vertical="center"/>
    </xf>
    <xf numFmtId="168" fontId="0" fillId="0" borderId="4" xfId="0" applyNumberFormat="1" applyFont="1" applyBorder="1" applyAlignment="1">
      <alignment vertical="center" wrapText="1"/>
    </xf>
    <xf numFmtId="0" fontId="2" fillId="0" borderId="37" xfId="9" applyFont="1" applyBorder="1"/>
    <xf numFmtId="0" fontId="14" fillId="0" borderId="8" xfId="11" applyFont="1" applyFill="1" applyBorder="1" applyAlignment="1">
      <alignment horizontal="left" vertical="center" wrapText="1"/>
    </xf>
    <xf numFmtId="0" fontId="14" fillId="0" borderId="27" xfId="11" applyFont="1" applyFill="1" applyBorder="1" applyAlignment="1">
      <alignment horizontal="left" vertical="center" wrapText="1"/>
    </xf>
    <xf numFmtId="164" fontId="2" fillId="0" borderId="7" xfId="9" applyNumberFormat="1" applyFont="1" applyBorder="1" applyAlignment="1">
      <alignment horizontal="right" vertical="center" wrapText="1"/>
    </xf>
    <xf numFmtId="164" fontId="2" fillId="2" borderId="7" xfId="9" applyNumberFormat="1" applyFont="1" applyFill="1" applyBorder="1" applyAlignment="1">
      <alignment horizontal="right" vertical="center" wrapText="1"/>
    </xf>
    <xf numFmtId="164" fontId="2" fillId="0" borderId="9" xfId="9" applyNumberFormat="1" applyFont="1" applyBorder="1" applyAlignment="1">
      <alignment horizontal="right" vertical="center" wrapText="1"/>
    </xf>
    <xf numFmtId="4" fontId="2" fillId="0" borderId="0" xfId="9" applyNumberFormat="1" applyFont="1"/>
    <xf numFmtId="0" fontId="2" fillId="0" borderId="0" xfId="10" applyFont="1" applyFill="1"/>
    <xf numFmtId="0" fontId="2" fillId="0" borderId="0" xfId="10" applyFont="1" applyFill="1" applyAlignment="1">
      <alignment horizontal="right"/>
    </xf>
    <xf numFmtId="0" fontId="2" fillId="0" borderId="0" xfId="10" applyFont="1"/>
    <xf numFmtId="0" fontId="2" fillId="0" borderId="4" xfId="10" applyFont="1" applyBorder="1" applyAlignment="1">
      <alignment horizontal="center" vertical="center" wrapText="1"/>
    </xf>
    <xf numFmtId="0" fontId="2" fillId="0" borderId="5" xfId="10" applyFont="1" applyBorder="1" applyAlignment="1">
      <alignment horizontal="center" vertical="center" wrapText="1"/>
    </xf>
    <xf numFmtId="0" fontId="2" fillId="2" borderId="3" xfId="10" applyFont="1" applyFill="1" applyBorder="1" applyAlignment="1">
      <alignment horizontal="center" vertical="center" wrapText="1"/>
    </xf>
    <xf numFmtId="0" fontId="2" fillId="2" borderId="5" xfId="10" applyFont="1" applyFill="1" applyBorder="1" applyAlignment="1">
      <alignment horizontal="center" vertical="center" wrapText="1"/>
    </xf>
    <xf numFmtId="164" fontId="2" fillId="2" borderId="0" xfId="10" applyNumberFormat="1" applyFont="1" applyFill="1"/>
    <xf numFmtId="0" fontId="2" fillId="2" borderId="0" xfId="10" applyFont="1" applyFill="1"/>
    <xf numFmtId="0" fontId="14" fillId="6" borderId="3" xfId="11" applyFont="1" applyFill="1" applyBorder="1" applyAlignment="1">
      <alignment horizontal="left" vertical="center" wrapText="1"/>
    </xf>
    <xf numFmtId="164" fontId="2" fillId="6" borderId="4" xfId="10" applyNumberFormat="1" applyFont="1" applyFill="1" applyBorder="1" applyAlignment="1">
      <alignment horizontal="right" vertical="center" wrapText="1"/>
    </xf>
    <xf numFmtId="164" fontId="2" fillId="6" borderId="5" xfId="10" applyNumberFormat="1" applyFont="1" applyFill="1" applyBorder="1" applyAlignment="1">
      <alignment horizontal="right" vertical="center" wrapText="1"/>
    </xf>
    <xf numFmtId="168" fontId="2" fillId="2" borderId="0" xfId="10" applyNumberFormat="1" applyFont="1" applyFill="1"/>
    <xf numFmtId="0" fontId="14" fillId="2" borderId="3" xfId="11" applyFont="1" applyFill="1" applyBorder="1" applyAlignment="1">
      <alignment horizontal="left" vertical="center" wrapText="1" indent="1"/>
    </xf>
    <xf numFmtId="164" fontId="2" fillId="2" borderId="4" xfId="10" applyNumberFormat="1" applyFont="1" applyFill="1" applyBorder="1" applyAlignment="1">
      <alignment horizontal="right" vertical="center" wrapText="1"/>
    </xf>
    <xf numFmtId="164" fontId="2" fillId="2" borderId="5" xfId="10" applyNumberFormat="1" applyFont="1" applyFill="1" applyBorder="1" applyAlignment="1">
      <alignment horizontal="right" vertical="center" wrapText="1"/>
    </xf>
    <xf numFmtId="168" fontId="14" fillId="2" borderId="38" xfId="0" applyNumberFormat="1" applyFont="1" applyFill="1" applyBorder="1" applyAlignment="1">
      <alignment vertical="center" wrapText="1"/>
    </xf>
    <xf numFmtId="4" fontId="2" fillId="2" borderId="4" xfId="10" applyNumberFormat="1" applyFont="1" applyFill="1" applyBorder="1" applyAlignment="1">
      <alignment vertical="center"/>
    </xf>
    <xf numFmtId="0" fontId="14" fillId="2" borderId="3" xfId="11" applyFont="1" applyFill="1" applyBorder="1" applyAlignment="1">
      <alignment horizontal="left" vertical="center" wrapText="1"/>
    </xf>
    <xf numFmtId="0" fontId="13" fillId="6" borderId="3" xfId="11" applyFont="1" applyFill="1" applyBorder="1" applyAlignment="1">
      <alignment horizontal="center" vertical="center" wrapText="1"/>
    </xf>
    <xf numFmtId="164" fontId="12" fillId="6" borderId="4" xfId="10" applyNumberFormat="1" applyFont="1" applyFill="1" applyBorder="1" applyAlignment="1">
      <alignment horizontal="right" vertical="center"/>
    </xf>
    <xf numFmtId="164" fontId="12" fillId="6" borderId="4" xfId="10" applyNumberFormat="1" applyFont="1" applyFill="1" applyBorder="1" applyAlignment="1">
      <alignment horizontal="right" vertical="center" wrapText="1"/>
    </xf>
    <xf numFmtId="164" fontId="12" fillId="6" borderId="5" xfId="10" applyNumberFormat="1" applyFont="1" applyFill="1" applyBorder="1" applyAlignment="1">
      <alignment horizontal="right" vertical="center" wrapText="1"/>
    </xf>
    <xf numFmtId="164" fontId="12" fillId="2" borderId="6" xfId="10" applyNumberFormat="1" applyFont="1" applyFill="1" applyBorder="1" applyAlignment="1">
      <alignment horizontal="center"/>
    </xf>
    <xf numFmtId="164" fontId="12" fillId="2" borderId="4" xfId="10" applyNumberFormat="1" applyFont="1" applyFill="1" applyBorder="1" applyAlignment="1">
      <alignment horizontal="center"/>
    </xf>
    <xf numFmtId="164" fontId="2" fillId="2" borderId="4" xfId="10" applyNumberFormat="1" applyFont="1" applyFill="1" applyBorder="1" applyAlignment="1">
      <alignment horizontal="right" vertical="center"/>
    </xf>
    <xf numFmtId="164" fontId="2" fillId="2" borderId="5" xfId="10" applyNumberFormat="1" applyFont="1" applyFill="1" applyBorder="1" applyAlignment="1">
      <alignment horizontal="right" vertical="center"/>
    </xf>
    <xf numFmtId="49" fontId="14" fillId="2" borderId="3" xfId="11" applyNumberFormat="1" applyFont="1" applyFill="1" applyBorder="1" applyAlignment="1">
      <alignment horizontal="left" vertical="center" wrapText="1"/>
    </xf>
    <xf numFmtId="164" fontId="2" fillId="2" borderId="11" xfId="10" applyNumberFormat="1" applyFont="1" applyFill="1" applyBorder="1" applyAlignment="1">
      <alignment horizontal="center"/>
    </xf>
    <xf numFmtId="49" fontId="2" fillId="2" borderId="3" xfId="10" applyNumberFormat="1" applyFont="1" applyFill="1" applyBorder="1" applyAlignment="1">
      <alignment horizontal="left" wrapText="1"/>
    </xf>
    <xf numFmtId="0" fontId="14" fillId="2" borderId="8" xfId="11" applyFont="1" applyFill="1" applyBorder="1" applyAlignment="1">
      <alignment horizontal="left" vertical="center" wrapText="1"/>
    </xf>
    <xf numFmtId="164" fontId="2" fillId="2" borderId="7" xfId="10" applyNumberFormat="1" applyFont="1" applyFill="1" applyBorder="1" applyAlignment="1">
      <alignment horizontal="right" vertical="center"/>
    </xf>
    <xf numFmtId="164" fontId="2" fillId="2" borderId="7" xfId="10" applyNumberFormat="1" applyFont="1" applyFill="1" applyBorder="1" applyAlignment="1">
      <alignment horizontal="right" vertical="center" wrapText="1"/>
    </xf>
    <xf numFmtId="164" fontId="2" fillId="2" borderId="9" xfId="10" applyNumberFormat="1" applyFont="1" applyFill="1" applyBorder="1" applyAlignment="1">
      <alignment horizontal="right" vertical="center"/>
    </xf>
    <xf numFmtId="164" fontId="2" fillId="0" borderId="0" xfId="10" applyNumberFormat="1" applyFont="1"/>
    <xf numFmtId="3" fontId="2" fillId="0" borderId="0" xfId="10" applyNumberFormat="1" applyFont="1"/>
    <xf numFmtId="165" fontId="2" fillId="0" borderId="0" xfId="10" applyNumberFormat="1" applyFont="1"/>
    <xf numFmtId="0" fontId="2" fillId="0" borderId="0" xfId="6" applyFont="1" applyBorder="1" applyAlignment="1">
      <alignment vertical="center" wrapText="1"/>
    </xf>
    <xf numFmtId="168" fontId="2" fillId="0" borderId="0" xfId="6" applyNumberFormat="1" applyFont="1" applyBorder="1" applyAlignment="1">
      <alignment vertical="center" wrapText="1"/>
    </xf>
    <xf numFmtId="168" fontId="2" fillId="0" borderId="0" xfId="6" applyNumberFormat="1" applyFont="1" applyBorder="1" applyAlignment="1">
      <alignment horizontal="right" vertical="center"/>
    </xf>
    <xf numFmtId="164" fontId="2" fillId="0" borderId="0" xfId="8" applyNumberFormat="1" applyFont="1" applyBorder="1" applyAlignment="1">
      <alignment vertical="center" wrapText="1"/>
    </xf>
    <xf numFmtId="164" fontId="12" fillId="0" borderId="0" xfId="8" applyNumberFormat="1" applyFont="1" applyBorder="1" applyAlignment="1">
      <alignment horizontal="center" vertical="center" wrapText="1"/>
    </xf>
    <xf numFmtId="0" fontId="2" fillId="0" borderId="19" xfId="7" applyFont="1" applyBorder="1" applyAlignment="1">
      <alignment horizontal="center" vertical="center" wrapText="1"/>
    </xf>
    <xf numFmtId="0" fontId="2" fillId="2" borderId="13" xfId="7" applyFont="1" applyFill="1" applyBorder="1" applyAlignment="1">
      <alignment horizontal="center" vertical="center" wrapText="1"/>
    </xf>
    <xf numFmtId="0" fontId="2" fillId="0" borderId="13" xfId="7" applyFont="1" applyBorder="1" applyAlignment="1">
      <alignment horizontal="center" vertical="center" wrapText="1"/>
    </xf>
    <xf numFmtId="0" fontId="2" fillId="0" borderId="20" xfId="7" applyFont="1" applyBorder="1" applyAlignment="1">
      <alignment horizontal="center" vertical="center" wrapText="1"/>
    </xf>
    <xf numFmtId="0" fontId="12" fillId="6" borderId="19" xfId="7" applyFont="1" applyFill="1" applyBorder="1" applyAlignment="1">
      <alignment vertical="center" wrapText="1"/>
    </xf>
    <xf numFmtId="169" fontId="12" fillId="6" borderId="13" xfId="7" applyNumberFormat="1" applyFont="1" applyFill="1" applyBorder="1" applyAlignment="1">
      <alignment horizontal="center" vertical="center" wrapText="1"/>
    </xf>
    <xf numFmtId="168" fontId="12" fillId="6" borderId="13" xfId="7" applyNumberFormat="1" applyFont="1" applyFill="1" applyBorder="1" applyAlignment="1">
      <alignment vertical="center" wrapText="1"/>
    </xf>
    <xf numFmtId="168" fontId="12" fillId="6" borderId="20" xfId="7" applyNumberFormat="1" applyFont="1" applyFill="1" applyBorder="1" applyAlignment="1">
      <alignment vertical="center" wrapText="1"/>
    </xf>
    <xf numFmtId="164" fontId="12" fillId="0" borderId="0" xfId="8" applyNumberFormat="1" applyFont="1" applyBorder="1" applyAlignment="1">
      <alignment vertical="center" wrapText="1"/>
    </xf>
    <xf numFmtId="0" fontId="2" fillId="2" borderId="19" xfId="7" applyFont="1" applyFill="1" applyBorder="1" applyAlignment="1">
      <alignment vertical="center" wrapText="1"/>
    </xf>
    <xf numFmtId="169" fontId="2" fillId="2" borderId="13" xfId="7" applyNumberFormat="1" applyFont="1" applyFill="1" applyBorder="1" applyAlignment="1">
      <alignment horizontal="center" vertical="center" wrapText="1"/>
    </xf>
    <xf numFmtId="168" fontId="2" fillId="2" borderId="13" xfId="7" applyNumberFormat="1" applyFont="1" applyFill="1" applyBorder="1" applyAlignment="1">
      <alignment vertical="center" wrapText="1"/>
    </xf>
    <xf numFmtId="168" fontId="2" fillId="0" borderId="13" xfId="6" applyNumberFormat="1" applyFont="1" applyBorder="1" applyAlignment="1">
      <alignment vertical="center" wrapText="1"/>
    </xf>
    <xf numFmtId="168" fontId="2" fillId="2" borderId="20" xfId="7" applyNumberFormat="1" applyFont="1" applyFill="1" applyBorder="1" applyAlignment="1">
      <alignment vertical="center" wrapText="1"/>
    </xf>
    <xf numFmtId="170" fontId="2" fillId="0" borderId="0" xfId="6" applyNumberFormat="1" applyFont="1" applyBorder="1" applyAlignment="1">
      <alignment vertical="center" wrapText="1"/>
    </xf>
    <xf numFmtId="0" fontId="13" fillId="6" borderId="19" xfId="7" applyFont="1" applyFill="1" applyBorder="1" applyAlignment="1">
      <alignment vertical="center" wrapText="1"/>
    </xf>
    <xf numFmtId="164" fontId="23" fillId="0" borderId="0" xfId="0" applyNumberFormat="1" applyFont="1" applyProtection="1">
      <protection locked="0"/>
    </xf>
    <xf numFmtId="164" fontId="12" fillId="0" borderId="0" xfId="8" applyNumberFormat="1" applyFont="1" applyFill="1" applyBorder="1" applyAlignment="1">
      <alignment vertical="center" wrapText="1"/>
    </xf>
    <xf numFmtId="0" fontId="12" fillId="0" borderId="19" xfId="7" applyFont="1" applyFill="1" applyBorder="1" applyAlignment="1">
      <alignment vertical="center" wrapText="1"/>
    </xf>
    <xf numFmtId="169" fontId="12" fillId="0" borderId="13" xfId="7" applyNumberFormat="1" applyFont="1" applyFill="1" applyBorder="1" applyAlignment="1">
      <alignment horizontal="center" vertical="center" wrapText="1"/>
    </xf>
    <xf numFmtId="168" fontId="12" fillId="0" borderId="13" xfId="7" applyNumberFormat="1" applyFont="1" applyFill="1" applyBorder="1" applyAlignment="1">
      <alignment vertical="center" wrapText="1"/>
    </xf>
    <xf numFmtId="168" fontId="12" fillId="0" borderId="20" xfId="7" applyNumberFormat="1" applyFont="1" applyFill="1" applyBorder="1" applyAlignment="1">
      <alignment vertical="center" wrapText="1"/>
    </xf>
    <xf numFmtId="164" fontId="2" fillId="0" borderId="0" xfId="8" applyNumberFormat="1" applyFont="1" applyFill="1" applyBorder="1" applyAlignment="1">
      <alignment vertical="center" wrapText="1"/>
    </xf>
    <xf numFmtId="168" fontId="2" fillId="0" borderId="0" xfId="6" applyNumberFormat="1" applyFont="1" applyFill="1" applyBorder="1" applyAlignment="1">
      <alignment vertical="center" wrapText="1"/>
    </xf>
    <xf numFmtId="0" fontId="2" fillId="0" borderId="19" xfId="7" applyFont="1" applyBorder="1" applyAlignment="1">
      <alignment vertical="center" wrapText="1"/>
    </xf>
    <xf numFmtId="168" fontId="2" fillId="0" borderId="13" xfId="7" applyNumberFormat="1" applyFont="1" applyBorder="1" applyAlignment="1">
      <alignment vertical="center" wrapText="1"/>
    </xf>
    <xf numFmtId="168" fontId="2" fillId="0" borderId="20" xfId="7" applyNumberFormat="1" applyFont="1" applyBorder="1" applyAlignment="1">
      <alignment vertical="center" wrapText="1"/>
    </xf>
    <xf numFmtId="173" fontId="2" fillId="0" borderId="0" xfId="6" applyNumberFormat="1" applyFont="1" applyBorder="1" applyAlignment="1">
      <alignment vertical="center" wrapText="1"/>
    </xf>
    <xf numFmtId="0" fontId="2" fillId="2" borderId="0" xfId="4" applyFont="1" applyFill="1"/>
    <xf numFmtId="0" fontId="2" fillId="2" borderId="0" xfId="4" applyFont="1" applyFill="1" applyAlignment="1">
      <alignment horizontal="center"/>
    </xf>
    <xf numFmtId="0" fontId="2" fillId="0" borderId="0" xfId="4" applyFont="1" applyFill="1" applyAlignment="1">
      <alignment horizontal="center"/>
    </xf>
    <xf numFmtId="0" fontId="2" fillId="0" borderId="0" xfId="4" applyFont="1" applyFill="1"/>
    <xf numFmtId="0" fontId="2" fillId="2" borderId="0" xfId="4" applyFont="1" applyFill="1" applyAlignment="1">
      <alignment horizontal="right"/>
    </xf>
    <xf numFmtId="0" fontId="2" fillId="2" borderId="4" xfId="4" applyFont="1" applyFill="1" applyBorder="1" applyAlignment="1">
      <alignment horizontal="center" vertical="center" wrapText="1"/>
    </xf>
    <xf numFmtId="0" fontId="2" fillId="0" borderId="4" xfId="4" applyFont="1" applyFill="1" applyBorder="1" applyAlignment="1">
      <alignment horizontal="center" vertical="center" wrapText="1"/>
    </xf>
    <xf numFmtId="0" fontId="4" fillId="0" borderId="4" xfId="5" applyNumberFormat="1" applyFont="1" applyFill="1" applyBorder="1" applyAlignment="1">
      <alignment horizontal="center" vertical="center" wrapText="1"/>
    </xf>
    <xf numFmtId="0" fontId="13" fillId="4" borderId="39" xfId="4" applyFont="1" applyFill="1" applyBorder="1" applyAlignment="1">
      <alignment horizontal="center" wrapText="1"/>
    </xf>
    <xf numFmtId="164" fontId="13" fillId="4" borderId="39" xfId="4" applyNumberFormat="1" applyFont="1" applyFill="1" applyBorder="1" applyAlignment="1">
      <alignment horizontal="right" wrapText="1"/>
    </xf>
    <xf numFmtId="164" fontId="17" fillId="4" borderId="39" xfId="4" applyNumberFormat="1" applyFont="1" applyFill="1" applyBorder="1" applyAlignment="1">
      <alignment horizontal="right"/>
    </xf>
    <xf numFmtId="164" fontId="13" fillId="4" borderId="40" xfId="4" applyNumberFormat="1" applyFont="1" applyFill="1" applyBorder="1" applyAlignment="1">
      <alignment horizontal="right" wrapText="1"/>
    </xf>
    <xf numFmtId="164" fontId="17" fillId="4" borderId="39" xfId="4" applyNumberFormat="1" applyFont="1" applyFill="1" applyBorder="1" applyAlignment="1">
      <alignment horizontal="right" wrapText="1"/>
    </xf>
    <xf numFmtId="0" fontId="14" fillId="2" borderId="13" xfId="4" applyFont="1" applyFill="1" applyBorder="1" applyAlignment="1">
      <alignment horizontal="center" wrapText="1"/>
    </xf>
    <xf numFmtId="164" fontId="14" fillId="2" borderId="13" xfId="4" applyNumberFormat="1" applyFont="1" applyFill="1" applyBorder="1" applyAlignment="1">
      <alignment horizontal="right" wrapText="1"/>
    </xf>
    <xf numFmtId="164" fontId="2" fillId="0" borderId="13" xfId="4" applyNumberFormat="1" applyFont="1" applyFill="1" applyBorder="1" applyAlignment="1">
      <alignment horizontal="right"/>
    </xf>
    <xf numFmtId="164" fontId="2" fillId="2" borderId="13" xfId="4" applyNumberFormat="1" applyFont="1" applyFill="1" applyBorder="1" applyAlignment="1">
      <alignment horizontal="right"/>
    </xf>
    <xf numFmtId="164" fontId="16" fillId="2" borderId="13" xfId="4" applyNumberFormat="1" applyFont="1" applyFill="1" applyBorder="1" applyAlignment="1">
      <alignment horizontal="right"/>
    </xf>
    <xf numFmtId="164" fontId="2" fillId="2" borderId="41" xfId="4" applyNumberFormat="1" applyFont="1" applyFill="1" applyBorder="1" applyAlignment="1">
      <alignment horizontal="right"/>
    </xf>
    <xf numFmtId="164" fontId="16" fillId="2" borderId="13" xfId="4" applyNumberFormat="1" applyFont="1" applyFill="1" applyBorder="1" applyAlignment="1">
      <alignment horizontal="right" wrapText="1"/>
    </xf>
    <xf numFmtId="164" fontId="2" fillId="2" borderId="0" xfId="4" applyNumberFormat="1" applyFont="1" applyFill="1" applyBorder="1" applyAlignment="1">
      <alignment horizontal="right"/>
    </xf>
    <xf numFmtId="164" fontId="2" fillId="2" borderId="42" xfId="4" applyNumberFormat="1" applyFont="1" applyFill="1" applyBorder="1" applyAlignment="1">
      <alignment horizontal="right"/>
    </xf>
    <xf numFmtId="0" fontId="14" fillId="2" borderId="43" xfId="4" applyFont="1" applyFill="1" applyBorder="1" applyAlignment="1">
      <alignment horizontal="center" wrapText="1"/>
    </xf>
    <xf numFmtId="164" fontId="14" fillId="2" borderId="44" xfId="4" applyNumberFormat="1" applyFont="1" applyFill="1" applyBorder="1" applyAlignment="1">
      <alignment horizontal="right" wrapText="1"/>
    </xf>
    <xf numFmtId="4" fontId="2" fillId="2" borderId="44" xfId="4" applyNumberFormat="1" applyFont="1" applyFill="1" applyBorder="1"/>
    <xf numFmtId="164" fontId="16" fillId="2" borderId="44" xfId="4" applyNumberFormat="1" applyFont="1" applyFill="1" applyBorder="1" applyAlignment="1">
      <alignment horizontal="right"/>
    </xf>
    <xf numFmtId="164" fontId="2" fillId="2" borderId="43" xfId="4" applyNumberFormat="1" applyFont="1" applyFill="1" applyBorder="1" applyAlignment="1">
      <alignment horizontal="right"/>
    </xf>
    <xf numFmtId="164" fontId="16" fillId="2" borderId="43" xfId="4" applyNumberFormat="1" applyFont="1" applyFill="1" applyBorder="1" applyAlignment="1">
      <alignment horizontal="right"/>
    </xf>
    <xf numFmtId="164" fontId="16" fillId="2" borderId="43" xfId="4" applyNumberFormat="1" applyFont="1" applyFill="1" applyBorder="1" applyAlignment="1">
      <alignment horizontal="right" wrapText="1"/>
    </xf>
    <xf numFmtId="164" fontId="14" fillId="4" borderId="39" xfId="4" applyNumberFormat="1" applyFont="1" applyFill="1" applyBorder="1" applyAlignment="1">
      <alignment horizontal="right" wrapText="1"/>
    </xf>
    <xf numFmtId="164" fontId="16" fillId="4" borderId="39" xfId="4" applyNumberFormat="1" applyFont="1" applyFill="1" applyBorder="1" applyAlignment="1">
      <alignment horizontal="right"/>
    </xf>
    <xf numFmtId="164" fontId="14" fillId="0" borderId="13" xfId="4" applyNumberFormat="1" applyFont="1" applyFill="1" applyBorder="1" applyAlignment="1">
      <alignment horizontal="right" wrapText="1"/>
    </xf>
    <xf numFmtId="4" fontId="2" fillId="2" borderId="13" xfId="4" applyNumberFormat="1" applyFont="1" applyFill="1" applyBorder="1"/>
    <xf numFmtId="4" fontId="2" fillId="0" borderId="13" xfId="4" applyNumberFormat="1" applyFont="1" applyFill="1" applyBorder="1"/>
    <xf numFmtId="164" fontId="2" fillId="2" borderId="44" xfId="4" applyNumberFormat="1" applyFont="1" applyFill="1" applyBorder="1" applyAlignment="1">
      <alignment horizontal="right"/>
    </xf>
    <xf numFmtId="0" fontId="13" fillId="4" borderId="45" xfId="4" applyFont="1" applyFill="1" applyBorder="1" applyAlignment="1">
      <alignment horizontal="center" wrapText="1"/>
    </xf>
    <xf numFmtId="164" fontId="13" fillId="4" borderId="45" xfId="4" applyNumberFormat="1" applyFont="1" applyFill="1" applyBorder="1" applyAlignment="1">
      <alignment horizontal="right" wrapText="1"/>
    </xf>
    <xf numFmtId="164" fontId="17" fillId="4" borderId="45" xfId="4" applyNumberFormat="1" applyFont="1" applyFill="1" applyBorder="1" applyAlignment="1">
      <alignment horizontal="right"/>
    </xf>
    <xf numFmtId="164" fontId="17" fillId="4" borderId="45" xfId="4" applyNumberFormat="1" applyFont="1" applyFill="1" applyBorder="1" applyAlignment="1">
      <alignment horizontal="right" wrapText="1"/>
    </xf>
    <xf numFmtId="164" fontId="13" fillId="4" borderId="42" xfId="4" applyNumberFormat="1" applyFont="1" applyFill="1" applyBorder="1" applyAlignment="1">
      <alignment horizontal="right" wrapText="1"/>
    </xf>
    <xf numFmtId="164" fontId="17" fillId="4" borderId="42" xfId="4" applyNumberFormat="1" applyFont="1" applyFill="1" applyBorder="1" applyAlignment="1">
      <alignment horizontal="right"/>
    </xf>
    <xf numFmtId="164" fontId="14" fillId="0" borderId="13" xfId="4" applyNumberFormat="1" applyFont="1" applyFill="1" applyBorder="1"/>
    <xf numFmtId="164" fontId="14" fillId="2" borderId="13" xfId="4" applyNumberFormat="1" applyFont="1" applyFill="1" applyBorder="1"/>
    <xf numFmtId="4" fontId="14" fillId="2" borderId="13" xfId="4" applyNumberFormat="1" applyFont="1" applyFill="1" applyBorder="1"/>
    <xf numFmtId="0" fontId="14" fillId="2" borderId="44" xfId="4" applyFont="1" applyFill="1" applyBorder="1" applyAlignment="1">
      <alignment horizontal="center" wrapText="1"/>
    </xf>
    <xf numFmtId="164" fontId="2" fillId="2" borderId="46" xfId="4" applyNumberFormat="1" applyFont="1" applyFill="1" applyBorder="1" applyAlignment="1">
      <alignment horizontal="right"/>
    </xf>
    <xf numFmtId="164" fontId="2" fillId="2" borderId="47" xfId="4" applyNumberFormat="1" applyFont="1" applyFill="1" applyBorder="1" applyAlignment="1">
      <alignment horizontal="right"/>
    </xf>
    <xf numFmtId="164" fontId="14" fillId="0" borderId="43" xfId="4" applyNumberFormat="1" applyFont="1" applyFill="1" applyBorder="1" applyAlignment="1">
      <alignment horizontal="right" wrapText="1"/>
    </xf>
    <xf numFmtId="165" fontId="2" fillId="2" borderId="13" xfId="0" applyNumberFormat="1" applyFont="1" applyFill="1" applyBorder="1"/>
    <xf numFmtId="164" fontId="17" fillId="4" borderId="40" xfId="4" applyNumberFormat="1" applyFont="1" applyFill="1" applyBorder="1" applyAlignment="1">
      <alignment horizontal="right"/>
    </xf>
    <xf numFmtId="164" fontId="14" fillId="2" borderId="43" xfId="4" applyNumberFormat="1" applyFont="1" applyFill="1" applyBorder="1" applyAlignment="1">
      <alignment horizontal="right" wrapText="1"/>
    </xf>
    <xf numFmtId="164" fontId="2" fillId="0" borderId="43" xfId="4" applyNumberFormat="1" applyFont="1" applyFill="1" applyBorder="1" applyAlignment="1">
      <alignment horizontal="right"/>
    </xf>
    <xf numFmtId="0" fontId="13" fillId="4" borderId="48" xfId="4" applyFont="1" applyFill="1" applyBorder="1" applyAlignment="1">
      <alignment horizontal="center" wrapText="1"/>
    </xf>
    <xf numFmtId="164" fontId="12" fillId="4" borderId="42" xfId="4" applyNumberFormat="1" applyFont="1" applyFill="1" applyBorder="1" applyAlignment="1">
      <alignment horizontal="right"/>
    </xf>
    <xf numFmtId="164" fontId="17" fillId="4" borderId="42" xfId="4" applyNumberFormat="1" applyFont="1" applyFill="1" applyBorder="1" applyAlignment="1">
      <alignment horizontal="right" wrapText="1"/>
    </xf>
    <xf numFmtId="0" fontId="14" fillId="0" borderId="41" xfId="4" applyFont="1" applyFill="1" applyBorder="1" applyAlignment="1">
      <alignment horizontal="center" wrapText="1"/>
    </xf>
    <xf numFmtId="164" fontId="16" fillId="0" borderId="13" xfId="4" applyNumberFormat="1" applyFont="1" applyFill="1" applyBorder="1" applyAlignment="1">
      <alignment horizontal="right"/>
    </xf>
    <xf numFmtId="164" fontId="16" fillId="0" borderId="13" xfId="4" applyNumberFormat="1" applyFont="1" applyFill="1" applyBorder="1" applyAlignment="1">
      <alignment horizontal="right" wrapText="1"/>
    </xf>
    <xf numFmtId="0" fontId="14" fillId="0" borderId="47" xfId="4" applyFont="1" applyFill="1" applyBorder="1" applyAlignment="1">
      <alignment horizontal="center" wrapText="1"/>
    </xf>
    <xf numFmtId="0" fontId="13" fillId="4" borderId="51" xfId="4" applyFont="1" applyFill="1" applyBorder="1" applyAlignment="1">
      <alignment horizontal="center" wrapText="1"/>
    </xf>
    <xf numFmtId="0" fontId="14" fillId="2" borderId="41" xfId="4" applyFont="1" applyFill="1" applyBorder="1" applyAlignment="1">
      <alignment horizontal="center" wrapText="1"/>
    </xf>
    <xf numFmtId="0" fontId="14" fillId="2" borderId="46" xfId="4" applyFont="1" applyFill="1" applyBorder="1" applyAlignment="1">
      <alignment horizontal="center" wrapText="1"/>
    </xf>
    <xf numFmtId="0" fontId="14" fillId="2" borderId="47" xfId="4" applyFont="1" applyFill="1" applyBorder="1" applyAlignment="1">
      <alignment horizontal="center" wrapText="1"/>
    </xf>
    <xf numFmtId="164" fontId="16" fillId="2" borderId="52" xfId="4" applyNumberFormat="1" applyFont="1" applyFill="1" applyBorder="1" applyAlignment="1">
      <alignment horizontal="right" wrapText="1"/>
    </xf>
    <xf numFmtId="164" fontId="17" fillId="4" borderId="13" xfId="4" applyNumberFormat="1" applyFont="1" applyFill="1" applyBorder="1" applyAlignment="1">
      <alignment horizontal="right" wrapText="1"/>
    </xf>
    <xf numFmtId="164" fontId="13" fillId="0" borderId="13" xfId="4" applyNumberFormat="1" applyFont="1" applyFill="1" applyBorder="1" applyAlignment="1">
      <alignment horizontal="right" wrapText="1"/>
    </xf>
    <xf numFmtId="164" fontId="17" fillId="0" borderId="13" xfId="4" applyNumberFormat="1" applyFont="1" applyFill="1" applyBorder="1" applyAlignment="1">
      <alignment horizontal="right" wrapText="1"/>
    </xf>
    <xf numFmtId="0" fontId="12" fillId="0" borderId="0" xfId="4" applyFont="1" applyFill="1"/>
    <xf numFmtId="164" fontId="13" fillId="0" borderId="43" xfId="4" applyNumberFormat="1" applyFont="1" applyFill="1" applyBorder="1" applyAlignment="1">
      <alignment horizontal="right" wrapText="1"/>
    </xf>
    <xf numFmtId="0" fontId="14" fillId="0" borderId="13" xfId="4" applyFont="1" applyFill="1" applyBorder="1" applyAlignment="1">
      <alignment horizontal="center" wrapText="1"/>
    </xf>
    <xf numFmtId="0" fontId="14" fillId="0" borderId="43" xfId="4" applyFont="1" applyFill="1" applyBorder="1" applyAlignment="1">
      <alignment horizontal="center" wrapText="1"/>
    </xf>
    <xf numFmtId="0" fontId="13" fillId="4" borderId="53" xfId="4" applyFont="1" applyFill="1" applyBorder="1" applyAlignment="1">
      <alignment horizontal="center" wrapText="1"/>
    </xf>
    <xf numFmtId="164" fontId="13" fillId="4" borderId="53" xfId="4" applyNumberFormat="1" applyFont="1" applyFill="1" applyBorder="1" applyAlignment="1">
      <alignment horizontal="right" wrapText="1"/>
    </xf>
    <xf numFmtId="164" fontId="13" fillId="4" borderId="13" xfId="4" applyNumberFormat="1" applyFont="1" applyFill="1" applyBorder="1" applyAlignment="1">
      <alignment horizontal="right" wrapText="1"/>
    </xf>
    <xf numFmtId="164" fontId="17" fillId="4" borderId="53" xfId="4" applyNumberFormat="1" applyFont="1" applyFill="1" applyBorder="1" applyAlignment="1">
      <alignment horizontal="right"/>
    </xf>
    <xf numFmtId="0" fontId="14" fillId="0" borderId="49" xfId="4" applyFont="1" applyFill="1" applyBorder="1" applyAlignment="1">
      <alignment horizontal="center" wrapText="1"/>
    </xf>
    <xf numFmtId="164" fontId="14" fillId="0" borderId="49" xfId="4" applyNumberFormat="1" applyFont="1" applyFill="1" applyBorder="1" applyAlignment="1">
      <alignment horizontal="right" wrapText="1"/>
    </xf>
    <xf numFmtId="164" fontId="16" fillId="0" borderId="49" xfId="4" applyNumberFormat="1" applyFont="1" applyFill="1" applyBorder="1" applyAlignment="1">
      <alignment horizontal="right"/>
    </xf>
    <xf numFmtId="164" fontId="16" fillId="0" borderId="49" xfId="4" applyNumberFormat="1" applyFont="1" applyFill="1" applyBorder="1" applyAlignment="1">
      <alignment horizontal="right" wrapText="1"/>
    </xf>
    <xf numFmtId="0" fontId="14" fillId="0" borderId="50" xfId="4" applyFont="1" applyFill="1" applyBorder="1" applyAlignment="1">
      <alignment horizontal="center" wrapText="1"/>
    </xf>
    <xf numFmtId="164" fontId="14" fillId="0" borderId="50" xfId="4" applyNumberFormat="1" applyFont="1" applyFill="1" applyBorder="1" applyAlignment="1">
      <alignment horizontal="right" wrapText="1"/>
    </xf>
    <xf numFmtId="165" fontId="2" fillId="0" borderId="0" xfId="4" applyNumberFormat="1" applyFont="1" applyFill="1" applyAlignment="1">
      <alignment horizontal="center"/>
    </xf>
    <xf numFmtId="0" fontId="13" fillId="4" borderId="54" xfId="4" applyFont="1" applyFill="1" applyBorder="1" applyAlignment="1">
      <alignment vertical="center" wrapText="1"/>
    </xf>
    <xf numFmtId="164" fontId="17" fillId="4" borderId="55" xfId="4" applyNumberFormat="1" applyFont="1" applyFill="1" applyBorder="1" applyAlignment="1">
      <alignment horizontal="right" wrapText="1"/>
    </xf>
    <xf numFmtId="0" fontId="14" fillId="2" borderId="19" xfId="4" applyFont="1" applyFill="1" applyBorder="1" applyAlignment="1">
      <alignment vertical="center" wrapText="1"/>
    </xf>
    <xf numFmtId="164" fontId="16" fillId="2" borderId="20" xfId="4" applyNumberFormat="1" applyFont="1" applyFill="1" applyBorder="1" applyAlignment="1">
      <alignment horizontal="right" wrapText="1"/>
    </xf>
    <xf numFmtId="0" fontId="14" fillId="2" borderId="56" xfId="4" applyFont="1" applyFill="1" applyBorder="1" applyAlignment="1">
      <alignment vertical="center" wrapText="1"/>
    </xf>
    <xf numFmtId="4" fontId="2" fillId="0" borderId="0" xfId="0" applyNumberFormat="1" applyFont="1" applyBorder="1"/>
    <xf numFmtId="164" fontId="16" fillId="2" borderId="57" xfId="4" applyNumberFormat="1" applyFont="1" applyFill="1" applyBorder="1" applyAlignment="1">
      <alignment horizontal="right" wrapText="1"/>
    </xf>
    <xf numFmtId="0" fontId="13" fillId="4" borderId="58" xfId="4" applyFont="1" applyFill="1" applyBorder="1" applyAlignment="1">
      <alignment vertical="center" wrapText="1"/>
    </xf>
    <xf numFmtId="164" fontId="17" fillId="4" borderId="59" xfId="4" applyNumberFormat="1" applyFont="1" applyFill="1" applyBorder="1" applyAlignment="1">
      <alignment horizontal="right" wrapText="1"/>
    </xf>
    <xf numFmtId="0" fontId="4" fillId="2" borderId="19" xfId="4" applyFont="1" applyFill="1" applyBorder="1" applyAlignment="1">
      <alignment vertical="center" wrapText="1"/>
    </xf>
    <xf numFmtId="0" fontId="14" fillId="2" borderId="60" xfId="4" applyFont="1" applyFill="1" applyBorder="1" applyAlignment="1">
      <alignment vertical="center" wrapText="1"/>
    </xf>
    <xf numFmtId="0" fontId="13" fillId="4" borderId="61" xfId="4" applyFont="1" applyFill="1" applyBorder="1" applyAlignment="1">
      <alignment vertical="center" wrapText="1"/>
    </xf>
    <xf numFmtId="164" fontId="17" fillId="4" borderId="62" xfId="4" applyNumberFormat="1" applyFont="1" applyFill="1" applyBorder="1" applyAlignment="1">
      <alignment horizontal="right" wrapText="1"/>
    </xf>
    <xf numFmtId="0" fontId="14" fillId="0" borderId="63" xfId="0" applyFont="1" applyBorder="1" applyAlignment="1">
      <alignment vertical="center" wrapText="1"/>
    </xf>
    <xf numFmtId="164" fontId="16" fillId="0" borderId="20" xfId="4" applyNumberFormat="1" applyFont="1" applyFill="1" applyBorder="1" applyAlignment="1">
      <alignment horizontal="right" wrapText="1"/>
    </xf>
    <xf numFmtId="0" fontId="14" fillId="0" borderId="64" xfId="0" applyFont="1" applyBorder="1" applyAlignment="1">
      <alignment vertical="center" wrapText="1"/>
    </xf>
    <xf numFmtId="0" fontId="14" fillId="0" borderId="65" xfId="0" applyFont="1" applyBorder="1" applyAlignment="1">
      <alignment vertical="center" wrapText="1"/>
    </xf>
    <xf numFmtId="0" fontId="13" fillId="4" borderId="66" xfId="4" applyFont="1" applyFill="1" applyBorder="1" applyAlignment="1">
      <alignment vertical="center" wrapText="1"/>
    </xf>
    <xf numFmtId="0" fontId="14" fillId="2" borderId="64" xfId="4" applyFont="1" applyFill="1" applyBorder="1" applyAlignment="1">
      <alignment vertical="center" wrapText="1"/>
    </xf>
    <xf numFmtId="0" fontId="14" fillId="2" borderId="65" xfId="4" applyFont="1" applyFill="1" applyBorder="1" applyAlignment="1">
      <alignment vertical="center" wrapText="1"/>
    </xf>
    <xf numFmtId="164" fontId="16" fillId="2" borderId="67" xfId="4" applyNumberFormat="1" applyFont="1" applyFill="1" applyBorder="1" applyAlignment="1">
      <alignment horizontal="right" wrapText="1"/>
    </xf>
    <xf numFmtId="164" fontId="17" fillId="4" borderId="20" xfId="4" applyNumberFormat="1" applyFont="1" applyFill="1" applyBorder="1" applyAlignment="1">
      <alignment horizontal="right" wrapText="1"/>
    </xf>
    <xf numFmtId="0" fontId="14" fillId="0" borderId="19" xfId="0" applyFont="1" applyBorder="1" applyAlignment="1">
      <alignment vertical="center" wrapText="1"/>
    </xf>
    <xf numFmtId="164" fontId="17" fillId="0" borderId="20" xfId="4" applyNumberFormat="1" applyFont="1" applyFill="1" applyBorder="1" applyAlignment="1">
      <alignment horizontal="right" wrapText="1"/>
    </xf>
    <xf numFmtId="164" fontId="14" fillId="0" borderId="0" xfId="0" applyNumberFormat="1" applyFont="1" applyBorder="1"/>
    <xf numFmtId="0" fontId="14" fillId="0" borderId="56" xfId="0" applyFont="1" applyBorder="1" applyAlignment="1">
      <alignment vertical="center" wrapText="1"/>
    </xf>
    <xf numFmtId="0" fontId="13" fillId="4" borderId="54" xfId="0" applyFont="1" applyFill="1" applyBorder="1" applyAlignment="1">
      <alignment vertical="center" wrapText="1"/>
    </xf>
    <xf numFmtId="0" fontId="13" fillId="4" borderId="68" xfId="0" applyFont="1" applyFill="1" applyBorder="1" applyAlignment="1">
      <alignment vertical="center" wrapText="1"/>
    </xf>
    <xf numFmtId="164" fontId="17" fillId="4" borderId="69" xfId="4" applyNumberFormat="1" applyFont="1" applyFill="1" applyBorder="1" applyAlignment="1">
      <alignment horizontal="right" wrapText="1"/>
    </xf>
    <xf numFmtId="164" fontId="16" fillId="0" borderId="70" xfId="4" applyNumberFormat="1" applyFont="1" applyFill="1" applyBorder="1" applyAlignment="1">
      <alignment horizontal="right" wrapText="1"/>
    </xf>
    <xf numFmtId="0" fontId="13" fillId="2" borderId="7" xfId="4" applyFont="1" applyFill="1" applyBorder="1" applyAlignment="1">
      <alignment horizontal="center" wrapText="1"/>
    </xf>
    <xf numFmtId="168" fontId="12" fillId="0" borderId="7" xfId="4" applyNumberFormat="1" applyFont="1" applyFill="1" applyBorder="1" applyAlignment="1">
      <alignment horizontal="right"/>
    </xf>
    <xf numFmtId="168" fontId="12" fillId="2" borderId="9" xfId="4" applyNumberFormat="1" applyFont="1" applyFill="1" applyBorder="1" applyAlignment="1">
      <alignment horizontal="right"/>
    </xf>
    <xf numFmtId="168" fontId="2" fillId="0" borderId="13" xfId="7" applyNumberFormat="1" applyFont="1" applyFill="1" applyBorder="1" applyAlignment="1">
      <alignment vertical="center" wrapText="1"/>
    </xf>
    <xf numFmtId="0" fontId="1" fillId="0" borderId="0" xfId="1" applyFont="1" applyFill="1"/>
    <xf numFmtId="0" fontId="1" fillId="0" borderId="0" xfId="1" applyFont="1" applyFill="1" applyAlignment="1">
      <alignment horizontal="right"/>
    </xf>
    <xf numFmtId="0" fontId="1" fillId="0" borderId="4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5" xfId="1" applyFont="1" applyFill="1" applyBorder="1" applyAlignment="1">
      <alignment horizontal="center"/>
    </xf>
    <xf numFmtId="173" fontId="1" fillId="0" borderId="5" xfId="1" applyNumberFormat="1" applyFont="1" applyFill="1" applyBorder="1" applyAlignment="1">
      <alignment horizontal="right"/>
    </xf>
    <xf numFmtId="165" fontId="1" fillId="0" borderId="9" xfId="1" applyNumberFormat="1" applyFont="1" applyFill="1" applyBorder="1" applyAlignment="1">
      <alignment horizontal="right"/>
    </xf>
    <xf numFmtId="168" fontId="4" fillId="0" borderId="0" xfId="1" applyNumberFormat="1" applyFont="1" applyFill="1"/>
    <xf numFmtId="164" fontId="4" fillId="0" borderId="0" xfId="1" applyNumberFormat="1" applyFont="1" applyFill="1"/>
    <xf numFmtId="164" fontId="13" fillId="4" borderId="71" xfId="4" applyNumberFormat="1" applyFont="1" applyFill="1" applyBorder="1" applyAlignment="1">
      <alignment horizontal="right" wrapText="1"/>
    </xf>
    <xf numFmtId="164" fontId="17" fillId="4" borderId="71" xfId="4" applyNumberFormat="1" applyFont="1" applyFill="1" applyBorder="1" applyAlignment="1">
      <alignment horizontal="right"/>
    </xf>
    <xf numFmtId="164" fontId="16" fillId="0" borderId="43" xfId="4" applyNumberFormat="1" applyFont="1" applyFill="1" applyBorder="1" applyAlignment="1">
      <alignment horizontal="right"/>
    </xf>
    <xf numFmtId="0" fontId="24" fillId="0" borderId="0" xfId="0" applyFont="1" applyFill="1" applyAlignment="1">
      <alignment horizontal="center" vertical="center" wrapText="1"/>
    </xf>
    <xf numFmtId="0" fontId="24" fillId="0" borderId="0" xfId="0" applyFont="1" applyFill="1" applyAlignment="1">
      <alignment horizontal="left" vertical="center" wrapText="1"/>
    </xf>
    <xf numFmtId="0" fontId="24" fillId="0" borderId="0" xfId="0" applyFont="1" applyFill="1" applyAlignment="1">
      <alignment vertical="center" wrapText="1"/>
    </xf>
    <xf numFmtId="0" fontId="24" fillId="0" borderId="0" xfId="0" applyFont="1" applyFill="1" applyAlignment="1">
      <alignment wrapText="1"/>
    </xf>
    <xf numFmtId="0" fontId="25" fillId="0" borderId="0" xfId="0" applyFont="1" applyFill="1" applyAlignment="1">
      <alignment horizontal="center" vertical="center" wrapText="1"/>
    </xf>
    <xf numFmtId="0" fontId="25" fillId="0" borderId="0" xfId="0" applyFont="1" applyFill="1" applyAlignment="1">
      <alignment horizontal="left" vertical="center" wrapText="1"/>
    </xf>
    <xf numFmtId="0" fontId="25" fillId="0" borderId="0" xfId="0" applyFont="1" applyFill="1" applyAlignment="1">
      <alignment vertical="center" wrapText="1"/>
    </xf>
    <xf numFmtId="0" fontId="25" fillId="0" borderId="0" xfId="0" applyFont="1" applyFill="1" applyAlignment="1">
      <alignment wrapText="1"/>
    </xf>
    <xf numFmtId="0" fontId="28" fillId="0" borderId="4" xfId="0" applyFont="1" applyFill="1" applyBorder="1" applyAlignment="1">
      <alignment horizontal="center" vertical="center" wrapText="1"/>
    </xf>
    <xf numFmtId="0" fontId="30" fillId="0" borderId="0" xfId="0" applyFont="1" applyFill="1" applyAlignment="1">
      <alignment horizontal="center" vertical="center" wrapText="1"/>
    </xf>
    <xf numFmtId="0" fontId="29" fillId="0" borderId="4" xfId="0" applyFont="1" applyFill="1" applyBorder="1" applyAlignment="1">
      <alignment horizontal="center" vertical="center" wrapText="1"/>
    </xf>
    <xf numFmtId="0" fontId="30" fillId="0" borderId="4" xfId="0" applyFont="1" applyFill="1" applyBorder="1" applyAlignment="1">
      <alignment horizontal="center" vertical="center" wrapText="1"/>
    </xf>
    <xf numFmtId="0" fontId="25" fillId="0" borderId="4" xfId="0" applyFont="1" applyFill="1" applyBorder="1" applyAlignment="1">
      <alignment horizontal="center" vertical="center" wrapText="1"/>
    </xf>
    <xf numFmtId="0" fontId="28" fillId="4" borderId="4" xfId="0" applyFont="1" applyFill="1" applyBorder="1" applyAlignment="1">
      <alignment horizontal="center" vertical="center" wrapText="1"/>
    </xf>
    <xf numFmtId="43" fontId="28" fillId="4" borderId="4" xfId="0" applyNumberFormat="1" applyFont="1" applyFill="1" applyBorder="1" applyAlignment="1">
      <alignment vertical="center" wrapText="1"/>
    </xf>
    <xf numFmtId="0" fontId="24" fillId="4" borderId="4" xfId="0" applyFont="1" applyFill="1" applyBorder="1" applyAlignment="1">
      <alignment wrapText="1"/>
    </xf>
    <xf numFmtId="0" fontId="31" fillId="0" borderId="4" xfId="0" applyFont="1" applyFill="1" applyBorder="1" applyAlignment="1">
      <alignment horizontal="center" vertical="center" wrapText="1"/>
    </xf>
    <xf numFmtId="0" fontId="32" fillId="0" borderId="4" xfId="1" applyFont="1" applyFill="1" applyBorder="1" applyAlignment="1">
      <alignment horizontal="justify" vertical="center" wrapText="1"/>
    </xf>
    <xf numFmtId="0" fontId="33" fillId="0" borderId="4" xfId="1" applyFont="1" applyFill="1" applyBorder="1" applyAlignment="1">
      <alignment horizontal="left" vertical="center" wrapText="1"/>
    </xf>
    <xf numFmtId="164" fontId="25" fillId="0" borderId="4" xfId="0" applyNumberFormat="1" applyFont="1" applyFill="1" applyBorder="1" applyAlignment="1">
      <alignment horizontal="center" vertical="center" wrapText="1"/>
    </xf>
    <xf numFmtId="164" fontId="25" fillId="0" borderId="4" xfId="0" applyNumberFormat="1" applyFont="1" applyFill="1" applyBorder="1" applyAlignment="1">
      <alignment horizontal="center" vertical="center"/>
    </xf>
    <xf numFmtId="0" fontId="24" fillId="0" borderId="4" xfId="0" applyFont="1" applyFill="1" applyBorder="1" applyAlignment="1">
      <alignment wrapText="1"/>
    </xf>
    <xf numFmtId="4" fontId="25" fillId="0" borderId="4" xfId="0" applyNumberFormat="1" applyFont="1" applyFill="1" applyBorder="1" applyAlignment="1">
      <alignment horizontal="center" vertical="center" wrapText="1"/>
    </xf>
    <xf numFmtId="175" fontId="25" fillId="0" borderId="4" xfId="0" applyNumberFormat="1" applyFont="1" applyFill="1" applyBorder="1" applyAlignment="1">
      <alignment horizontal="center" vertical="center" wrapText="1"/>
    </xf>
    <xf numFmtId="0" fontId="23" fillId="0" borderId="4" xfId="0" applyFont="1" applyFill="1" applyBorder="1" applyAlignment="1">
      <alignment vertical="center" wrapText="1"/>
    </xf>
    <xf numFmtId="164" fontId="25" fillId="2" borderId="4" xfId="0" applyNumberFormat="1" applyFont="1" applyFill="1" applyBorder="1" applyAlignment="1">
      <alignment horizontal="center" vertical="center" wrapText="1"/>
    </xf>
    <xf numFmtId="0" fontId="32" fillId="0" borderId="4" xfId="1" applyFont="1" applyFill="1" applyBorder="1" applyAlignment="1">
      <alignment horizontal="left" vertical="center" wrapText="1"/>
    </xf>
    <xf numFmtId="164" fontId="29" fillId="0" borderId="4" xfId="1" applyNumberFormat="1" applyFont="1" applyFill="1" applyBorder="1" applyAlignment="1">
      <alignment horizontal="center" vertical="center" wrapText="1"/>
    </xf>
    <xf numFmtId="176" fontId="32" fillId="0" borderId="4" xfId="1" applyNumberFormat="1" applyFont="1" applyFill="1" applyBorder="1" applyAlignment="1">
      <alignment horizontal="left" vertical="center" wrapText="1"/>
    </xf>
    <xf numFmtId="176" fontId="25" fillId="0" borderId="4" xfId="0" applyNumberFormat="1" applyFont="1" applyFill="1" applyBorder="1" applyAlignment="1">
      <alignment horizontal="center" vertical="center" wrapText="1"/>
    </xf>
    <xf numFmtId="43" fontId="29" fillId="0" borderId="6" xfId="1" applyNumberFormat="1" applyFont="1" applyFill="1" applyBorder="1" applyAlignment="1">
      <alignment horizontal="center" vertical="center" wrapText="1"/>
    </xf>
    <xf numFmtId="43" fontId="28" fillId="0" borderId="4" xfId="0" applyNumberFormat="1" applyFont="1" applyFill="1" applyBorder="1" applyAlignment="1">
      <alignment horizontal="center" vertical="center" wrapText="1"/>
    </xf>
    <xf numFmtId="0" fontId="23" fillId="0" borderId="4" xfId="0" applyFont="1" applyFill="1" applyBorder="1" applyAlignment="1">
      <alignment vertical="top" wrapText="1"/>
    </xf>
    <xf numFmtId="0" fontId="30" fillId="0" borderId="4" xfId="0" applyFont="1" applyFill="1" applyBorder="1" applyAlignment="1">
      <alignment wrapText="1"/>
    </xf>
    <xf numFmtId="0" fontId="24" fillId="0" borderId="4" xfId="0" applyFont="1" applyFill="1" applyBorder="1" applyAlignment="1">
      <alignment vertical="center" wrapText="1"/>
    </xf>
    <xf numFmtId="4" fontId="29" fillId="0" borderId="6" xfId="1" applyNumberFormat="1" applyFont="1" applyFill="1" applyBorder="1" applyAlignment="1">
      <alignment horizontal="center" vertical="center" wrapText="1"/>
    </xf>
    <xf numFmtId="43" fontId="25" fillId="0" borderId="4" xfId="0" applyNumberFormat="1" applyFont="1" applyFill="1" applyBorder="1" applyAlignment="1">
      <alignment vertical="center" wrapText="1"/>
    </xf>
    <xf numFmtId="43" fontId="29" fillId="0" borderId="6" xfId="1" applyNumberFormat="1" applyFont="1" applyFill="1" applyBorder="1" applyAlignment="1">
      <alignment vertical="center" wrapText="1"/>
    </xf>
    <xf numFmtId="4" fontId="25" fillId="0" borderId="4" xfId="0" applyNumberFormat="1" applyFont="1" applyFill="1" applyBorder="1" applyAlignment="1">
      <alignment horizontal="left" vertical="center" wrapText="1"/>
    </xf>
    <xf numFmtId="0" fontId="25" fillId="0" borderId="4" xfId="0" applyFont="1" applyFill="1" applyBorder="1" applyAlignment="1">
      <alignment horizontal="left" vertical="center" wrapText="1"/>
    </xf>
    <xf numFmtId="164" fontId="25" fillId="0" borderId="6" xfId="0" applyNumberFormat="1" applyFont="1" applyFill="1" applyBorder="1" applyAlignment="1">
      <alignment horizontal="center" vertical="center" wrapText="1"/>
    </xf>
    <xf numFmtId="4" fontId="25" fillId="0" borderId="6" xfId="0" applyNumberFormat="1" applyFont="1" applyFill="1" applyBorder="1" applyAlignment="1">
      <alignment horizontal="center" vertical="center" wrapText="1"/>
    </xf>
    <xf numFmtId="3" fontId="25" fillId="0" borderId="4" xfId="0" applyNumberFormat="1" applyFont="1" applyFill="1" applyBorder="1" applyAlignment="1">
      <alignment horizontal="center" vertical="center" wrapText="1"/>
    </xf>
    <xf numFmtId="0" fontId="29" fillId="0" borderId="4" xfId="1" applyFont="1" applyFill="1" applyBorder="1" applyAlignment="1">
      <alignment horizontal="center" vertical="center" wrapText="1"/>
    </xf>
    <xf numFmtId="0" fontId="29" fillId="0" borderId="6" xfId="1" applyFont="1" applyFill="1" applyBorder="1" applyAlignment="1">
      <alignment horizontal="center" vertical="center" wrapText="1"/>
    </xf>
    <xf numFmtId="164" fontId="28" fillId="0" borderId="4" xfId="0" applyNumberFormat="1" applyFont="1" applyFill="1" applyBorder="1" applyAlignment="1">
      <alignment horizontal="center" vertical="center" wrapText="1"/>
    </xf>
    <xf numFmtId="0" fontId="24" fillId="0" borderId="4" xfId="0" applyFont="1" applyFill="1" applyBorder="1" applyAlignment="1">
      <alignment horizontal="center" vertical="center" wrapText="1"/>
    </xf>
    <xf numFmtId="4" fontId="29" fillId="0" borderId="4" xfId="1" applyNumberFormat="1" applyFont="1" applyFill="1" applyBorder="1" applyAlignment="1">
      <alignment horizontal="center" vertical="center" wrapText="1"/>
    </xf>
    <xf numFmtId="0" fontId="24" fillId="0" borderId="4" xfId="0" applyFont="1" applyFill="1" applyBorder="1" applyAlignment="1">
      <alignment horizontal="left" vertical="center" wrapText="1"/>
    </xf>
    <xf numFmtId="164" fontId="29" fillId="0" borderId="4" xfId="1" applyNumberFormat="1" applyFont="1" applyFill="1" applyBorder="1" applyAlignment="1">
      <alignment vertical="center" wrapText="1"/>
    </xf>
    <xf numFmtId="43" fontId="25" fillId="0" borderId="4" xfId="0" applyNumberFormat="1" applyFont="1" applyFill="1" applyBorder="1" applyAlignment="1">
      <alignment horizontal="center" vertical="center" wrapText="1"/>
    </xf>
    <xf numFmtId="43" fontId="25" fillId="0" borderId="6" xfId="0" applyNumberFormat="1" applyFont="1" applyFill="1" applyBorder="1" applyAlignment="1">
      <alignment horizontal="center" vertical="center" wrapText="1"/>
    </xf>
    <xf numFmtId="4" fontId="28" fillId="0" borderId="4" xfId="0" applyNumberFormat="1" applyFont="1" applyFill="1" applyBorder="1" applyAlignment="1">
      <alignment horizontal="center" vertical="center" wrapText="1"/>
    </xf>
    <xf numFmtId="0" fontId="25" fillId="0" borderId="0" xfId="0" applyFont="1" applyFill="1" applyAlignment="1">
      <alignment horizontal="right" wrapText="1"/>
    </xf>
    <xf numFmtId="4" fontId="31" fillId="0" borderId="4" xfId="0" applyNumberFormat="1" applyFont="1" applyFill="1" applyBorder="1" applyAlignment="1">
      <alignment horizontal="left" vertical="center" wrapText="1"/>
    </xf>
    <xf numFmtId="0" fontId="31" fillId="0" borderId="4" xfId="0" applyFont="1" applyFill="1" applyBorder="1" applyAlignment="1">
      <alignment horizontal="left" vertical="center" wrapText="1"/>
    </xf>
    <xf numFmtId="172" fontId="4" fillId="0" borderId="0" xfId="1" applyNumberFormat="1" applyFont="1" applyFill="1" applyAlignment="1">
      <alignment horizontal="right"/>
    </xf>
    <xf numFmtId="0" fontId="11" fillId="0" borderId="0" xfId="1" applyFont="1" applyFill="1" applyBorder="1" applyAlignment="1">
      <alignment horizontal="center" vertical="center" wrapText="1"/>
    </xf>
    <xf numFmtId="0" fontId="6" fillId="0" borderId="17" xfId="1" applyFont="1" applyFill="1" applyBorder="1" applyAlignment="1">
      <alignment horizontal="center" vertical="center" wrapText="1"/>
    </xf>
    <xf numFmtId="0" fontId="6" fillId="0" borderId="18" xfId="1" applyFont="1" applyFill="1" applyBorder="1" applyAlignment="1">
      <alignment horizontal="center" vertical="center" wrapText="1"/>
    </xf>
    <xf numFmtId="0" fontId="6" fillId="0" borderId="19" xfId="1" applyFont="1" applyFill="1" applyBorder="1" applyAlignment="1">
      <alignment horizontal="center"/>
    </xf>
    <xf numFmtId="0" fontId="6" fillId="0" borderId="13" xfId="1" applyFont="1" applyFill="1" applyBorder="1" applyAlignment="1">
      <alignment horizontal="center"/>
    </xf>
    <xf numFmtId="0" fontId="6" fillId="0" borderId="20" xfId="1" applyFont="1" applyFill="1" applyBorder="1" applyAlignment="1">
      <alignment horizontal="center"/>
    </xf>
    <xf numFmtId="0" fontId="6" fillId="0" borderId="16" xfId="1" applyFont="1" applyFill="1" applyBorder="1" applyAlignment="1">
      <alignment horizontal="center" vertical="center" wrapText="1"/>
    </xf>
    <xf numFmtId="0" fontId="6" fillId="0" borderId="19" xfId="1" applyFont="1" applyFill="1" applyBorder="1" applyAlignment="1">
      <alignment horizontal="center" vertical="center" wrapText="1"/>
    </xf>
    <xf numFmtId="4" fontId="6" fillId="0" borderId="19" xfId="1" applyNumberFormat="1" applyFont="1" applyFill="1" applyBorder="1" applyAlignment="1">
      <alignment horizontal="center" vertical="center" wrapText="1"/>
    </xf>
    <xf numFmtId="4" fontId="6" fillId="0" borderId="13" xfId="1" applyNumberFormat="1" applyFont="1" applyFill="1" applyBorder="1" applyAlignment="1">
      <alignment horizontal="center" vertical="center" wrapText="1"/>
    </xf>
    <xf numFmtId="4" fontId="6" fillId="0" borderId="20" xfId="1" applyNumberFormat="1" applyFont="1" applyFill="1" applyBorder="1" applyAlignment="1">
      <alignment horizontal="center" vertical="center" wrapText="1"/>
    </xf>
    <xf numFmtId="0" fontId="6" fillId="0" borderId="3" xfId="1" applyFont="1" applyFill="1" applyBorder="1" applyAlignment="1">
      <alignment horizontal="center"/>
    </xf>
    <xf numFmtId="0" fontId="6" fillId="0" borderId="4" xfId="1" applyFont="1" applyFill="1" applyBorder="1" applyAlignment="1">
      <alignment horizontal="center"/>
    </xf>
    <xf numFmtId="0" fontId="6" fillId="0" borderId="14" xfId="1" applyFont="1" applyFill="1" applyBorder="1" applyAlignment="1">
      <alignment horizontal="center"/>
    </xf>
    <xf numFmtId="0" fontId="6" fillId="0" borderId="5" xfId="1" applyFont="1" applyFill="1" applyBorder="1" applyAlignment="1">
      <alignment horizontal="center"/>
    </xf>
    <xf numFmtId="0" fontId="6" fillId="0" borderId="35" xfId="1" applyFont="1" applyFill="1" applyBorder="1" applyAlignment="1">
      <alignment horizontal="center" vertical="center" wrapText="1"/>
    </xf>
    <xf numFmtId="0" fontId="6" fillId="0" borderId="36" xfId="1" applyFont="1" applyFill="1" applyBorder="1" applyAlignment="1">
      <alignment horizontal="center" vertical="center" wrapText="1"/>
    </xf>
    <xf numFmtId="0" fontId="6" fillId="0" borderId="19" xfId="1" applyFont="1" applyFill="1" applyBorder="1" applyAlignment="1">
      <alignment horizontal="center" wrapText="1"/>
    </xf>
    <xf numFmtId="0" fontId="6" fillId="0" borderId="13" xfId="1" applyFont="1" applyFill="1" applyBorder="1" applyAlignment="1">
      <alignment horizontal="center" wrapText="1"/>
    </xf>
    <xf numFmtId="0" fontId="6" fillId="0" borderId="20" xfId="1" applyFont="1" applyFill="1" applyBorder="1" applyAlignment="1">
      <alignment horizontal="center" wrapText="1"/>
    </xf>
    <xf numFmtId="168" fontId="4" fillId="0" borderId="3" xfId="1" applyNumberFormat="1" applyFont="1" applyFill="1" applyBorder="1" applyAlignment="1">
      <alignment horizontal="center"/>
    </xf>
    <xf numFmtId="168" fontId="4" fillId="0" borderId="4" xfId="1" applyNumberFormat="1" applyFont="1" applyFill="1" applyBorder="1" applyAlignment="1">
      <alignment horizontal="center"/>
    </xf>
    <xf numFmtId="168" fontId="4" fillId="0" borderId="5" xfId="1" applyNumberFormat="1" applyFont="1" applyFill="1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0" fontId="11" fillId="0" borderId="0" xfId="1" applyFont="1" applyFill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2" fillId="0" borderId="1" xfId="9" applyFont="1" applyBorder="1" applyAlignment="1">
      <alignment horizontal="center" vertical="center" wrapText="1"/>
    </xf>
    <xf numFmtId="0" fontId="2" fillId="0" borderId="3" xfId="9" applyFont="1" applyBorder="1" applyAlignment="1">
      <alignment horizontal="center" vertical="center" wrapText="1"/>
    </xf>
    <xf numFmtId="0" fontId="2" fillId="0" borderId="2" xfId="9" applyFont="1" applyBorder="1" applyAlignment="1">
      <alignment horizontal="center" vertical="center" wrapText="1"/>
    </xf>
    <xf numFmtId="0" fontId="2" fillId="0" borderId="4" xfId="9" applyFont="1" applyBorder="1" applyAlignment="1">
      <alignment horizontal="center" vertical="center" wrapText="1"/>
    </xf>
    <xf numFmtId="0" fontId="2" fillId="0" borderId="28" xfId="9" applyFont="1" applyBorder="1" applyAlignment="1">
      <alignment horizontal="center" vertical="center" wrapText="1"/>
    </xf>
    <xf numFmtId="0" fontId="2" fillId="0" borderId="12" xfId="9" applyFont="1" applyBorder="1" applyAlignment="1">
      <alignment horizontal="center" vertical="center" wrapText="1"/>
    </xf>
    <xf numFmtId="0" fontId="2" fillId="0" borderId="0" xfId="9" applyFont="1" applyAlignment="1">
      <alignment horizontal="center"/>
    </xf>
    <xf numFmtId="0" fontId="2" fillId="0" borderId="24" xfId="9" applyFont="1" applyBorder="1" applyAlignment="1">
      <alignment horizontal="center"/>
    </xf>
    <xf numFmtId="0" fontId="2" fillId="0" borderId="25" xfId="9" applyFont="1" applyBorder="1" applyAlignment="1">
      <alignment horizontal="center"/>
    </xf>
    <xf numFmtId="0" fontId="2" fillId="0" borderId="26" xfId="9" applyFont="1" applyBorder="1" applyAlignment="1">
      <alignment horizontal="center"/>
    </xf>
    <xf numFmtId="0" fontId="2" fillId="0" borderId="1" xfId="10" applyFont="1" applyBorder="1" applyAlignment="1">
      <alignment horizontal="center" vertical="center" wrapText="1"/>
    </xf>
    <xf numFmtId="0" fontId="2" fillId="0" borderId="3" xfId="10" applyFont="1" applyBorder="1" applyAlignment="1">
      <alignment horizontal="center" vertical="center" wrapText="1"/>
    </xf>
    <xf numFmtId="0" fontId="2" fillId="0" borderId="0" xfId="10" applyFont="1" applyFill="1" applyAlignment="1">
      <alignment horizontal="center"/>
    </xf>
    <xf numFmtId="0" fontId="2" fillId="0" borderId="2" xfId="10" applyFont="1" applyBorder="1" applyAlignment="1">
      <alignment horizontal="center" vertical="center" wrapText="1"/>
    </xf>
    <xf numFmtId="0" fontId="2" fillId="0" borderId="4" xfId="1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24" xfId="10" applyFont="1" applyBorder="1" applyAlignment="1">
      <alignment horizontal="center"/>
    </xf>
    <xf numFmtId="0" fontId="2" fillId="0" borderId="25" xfId="10" applyFont="1" applyBorder="1" applyAlignment="1">
      <alignment horizontal="center"/>
    </xf>
    <xf numFmtId="0" fontId="2" fillId="0" borderId="26" xfId="10" applyFont="1" applyBorder="1" applyAlignment="1">
      <alignment horizontal="center"/>
    </xf>
    <xf numFmtId="0" fontId="12" fillId="0" borderId="0" xfId="6" applyFont="1" applyBorder="1" applyAlignment="1">
      <alignment horizontal="center" vertical="center" wrapText="1"/>
    </xf>
    <xf numFmtId="0" fontId="12" fillId="0" borderId="13" xfId="7" applyFont="1" applyBorder="1" applyAlignment="1">
      <alignment horizontal="center" vertical="center" wrapText="1"/>
    </xf>
    <xf numFmtId="0" fontId="12" fillId="0" borderId="17" xfId="7" applyFont="1" applyBorder="1" applyAlignment="1">
      <alignment horizontal="center" vertical="center" wrapText="1"/>
    </xf>
    <xf numFmtId="0" fontId="12" fillId="0" borderId="18" xfId="7" applyFont="1" applyBorder="1" applyAlignment="1">
      <alignment horizontal="center" vertical="center" wrapText="1"/>
    </xf>
    <xf numFmtId="0" fontId="12" fillId="0" borderId="20" xfId="7" applyFont="1" applyBorder="1" applyAlignment="1">
      <alignment horizontal="center" vertical="center" wrapText="1"/>
    </xf>
    <xf numFmtId="0" fontId="12" fillId="0" borderId="16" xfId="7" applyFont="1" applyBorder="1" applyAlignment="1">
      <alignment horizontal="center" vertical="center" wrapText="1"/>
    </xf>
    <xf numFmtId="0" fontId="12" fillId="0" borderId="19" xfId="7" applyFont="1" applyBorder="1" applyAlignment="1">
      <alignment horizontal="center" vertical="center" wrapText="1"/>
    </xf>
    <xf numFmtId="0" fontId="12" fillId="2" borderId="17" xfId="7" applyFont="1" applyFill="1" applyBorder="1" applyAlignment="1">
      <alignment horizontal="center" vertical="center" wrapText="1"/>
    </xf>
    <xf numFmtId="0" fontId="12" fillId="2" borderId="13" xfId="7" applyFont="1" applyFill="1" applyBorder="1" applyAlignment="1">
      <alignment horizontal="center" vertical="center" wrapText="1"/>
    </xf>
    <xf numFmtId="0" fontId="18" fillId="2" borderId="0" xfId="5" applyFont="1" applyFill="1" applyBorder="1" applyAlignment="1">
      <alignment horizontal="center" vertical="center" wrapText="1"/>
    </xf>
    <xf numFmtId="0" fontId="2" fillId="2" borderId="0" xfId="4" applyFont="1" applyFill="1" applyBorder="1" applyAlignment="1">
      <alignment horizontal="right"/>
    </xf>
    <xf numFmtId="0" fontId="4" fillId="2" borderId="2" xfId="5" applyNumberFormat="1" applyFont="1" applyFill="1" applyBorder="1" applyAlignment="1">
      <alignment horizontal="center" vertical="top" wrapText="1"/>
    </xf>
    <xf numFmtId="0" fontId="4" fillId="2" borderId="2" xfId="5" applyNumberFormat="1" applyFont="1" applyFill="1" applyBorder="1" applyAlignment="1">
      <alignment horizontal="center" vertical="center" wrapText="1"/>
    </xf>
    <xf numFmtId="0" fontId="4" fillId="2" borderId="4" xfId="5" applyNumberFormat="1" applyFont="1" applyFill="1" applyBorder="1" applyAlignment="1">
      <alignment horizontal="center" vertical="center" wrapText="1"/>
    </xf>
    <xf numFmtId="0" fontId="4" fillId="2" borderId="28" xfId="5" applyNumberFormat="1" applyFont="1" applyFill="1" applyBorder="1" applyAlignment="1">
      <alignment horizontal="center" vertical="center" wrapText="1"/>
    </xf>
    <xf numFmtId="0" fontId="4" fillId="2" borderId="12" xfId="5" applyNumberFormat="1" applyFont="1" applyFill="1" applyBorder="1" applyAlignment="1">
      <alignment horizontal="center" vertical="center" wrapText="1"/>
    </xf>
    <xf numFmtId="0" fontId="4" fillId="0" borderId="28" xfId="5" applyNumberFormat="1" applyFont="1" applyFill="1" applyBorder="1" applyAlignment="1">
      <alignment horizontal="center" vertical="center" wrapText="1"/>
    </xf>
    <xf numFmtId="0" fontId="4" fillId="0" borderId="12" xfId="5" applyNumberFormat="1" applyFont="1" applyFill="1" applyBorder="1" applyAlignment="1">
      <alignment horizontal="center" vertical="center" wrapText="1"/>
    </xf>
    <xf numFmtId="0" fontId="4" fillId="2" borderId="10" xfId="5" applyNumberFormat="1" applyFont="1" applyFill="1" applyBorder="1" applyAlignment="1">
      <alignment horizontal="center" vertical="top" wrapText="1"/>
    </xf>
    <xf numFmtId="0" fontId="13" fillId="2" borderId="1" xfId="4" applyFont="1" applyFill="1" applyBorder="1" applyAlignment="1">
      <alignment horizontal="center" vertical="center" wrapText="1"/>
    </xf>
    <xf numFmtId="0" fontId="13" fillId="2" borderId="3" xfId="4" applyFont="1" applyFill="1" applyBorder="1" applyAlignment="1">
      <alignment horizontal="center" vertical="center" wrapText="1"/>
    </xf>
    <xf numFmtId="0" fontId="13" fillId="2" borderId="2" xfId="4" applyFont="1" applyFill="1" applyBorder="1" applyAlignment="1">
      <alignment horizontal="center" vertical="center" wrapText="1"/>
    </xf>
    <xf numFmtId="0" fontId="13" fillId="2" borderId="4" xfId="4" applyFont="1" applyFill="1" applyBorder="1" applyAlignment="1">
      <alignment horizontal="center" vertical="center" wrapText="1"/>
    </xf>
    <xf numFmtId="0" fontId="12" fillId="0" borderId="29" xfId="0" applyFont="1" applyBorder="1" applyAlignment="1">
      <alignment horizontal="center" vertical="center" wrapText="1"/>
    </xf>
    <xf numFmtId="0" fontId="12" fillId="0" borderId="30" xfId="0" applyFont="1" applyBorder="1" applyAlignment="1">
      <alignment horizontal="center" vertical="center" wrapText="1"/>
    </xf>
    <xf numFmtId="0" fontId="12" fillId="0" borderId="32" xfId="0" applyFont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2" fillId="0" borderId="15" xfId="0" applyFont="1" applyFill="1" applyBorder="1" applyAlignment="1">
      <alignment horizontal="center" vertical="center" wrapText="1"/>
    </xf>
    <xf numFmtId="0" fontId="12" fillId="0" borderId="12" xfId="0" applyFont="1" applyFill="1" applyBorder="1" applyAlignment="1">
      <alignment horizontal="center" vertical="center" wrapText="1"/>
    </xf>
    <xf numFmtId="168" fontId="4" fillId="0" borderId="0" xfId="0" applyNumberFormat="1" applyFont="1" applyFill="1" applyAlignment="1">
      <alignment horizontal="right" vertical="center"/>
    </xf>
    <xf numFmtId="0" fontId="20" fillId="0" borderId="0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0" borderId="14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12" fillId="0" borderId="31" xfId="0" applyFont="1" applyBorder="1" applyAlignment="1">
      <alignment horizontal="center" vertical="center" wrapText="1"/>
    </xf>
    <xf numFmtId="0" fontId="12" fillId="0" borderId="33" xfId="0" applyFont="1" applyBorder="1" applyAlignment="1">
      <alignment horizontal="center" vertical="center" wrapText="1"/>
    </xf>
    <xf numFmtId="14" fontId="12" fillId="0" borderId="15" xfId="0" applyNumberFormat="1" applyFont="1" applyBorder="1" applyAlignment="1">
      <alignment horizontal="center" vertical="center" wrapText="1"/>
    </xf>
    <xf numFmtId="14" fontId="12" fillId="0" borderId="12" xfId="0" applyNumberFormat="1" applyFont="1" applyBorder="1" applyAlignment="1">
      <alignment horizontal="center" vertical="center" wrapText="1"/>
    </xf>
    <xf numFmtId="0" fontId="29" fillId="0" borderId="14" xfId="1" applyFont="1" applyFill="1" applyBorder="1" applyAlignment="1">
      <alignment horizontal="center" vertical="center" wrapText="1"/>
    </xf>
    <xf numFmtId="0" fontId="29" fillId="0" borderId="6" xfId="1" applyFont="1" applyFill="1" applyBorder="1" applyAlignment="1">
      <alignment horizontal="center" vertical="center" wrapText="1"/>
    </xf>
    <xf numFmtId="0" fontId="26" fillId="0" borderId="0" xfId="0" applyFont="1" applyFill="1" applyAlignment="1">
      <alignment horizontal="center" vertical="center" wrapText="1"/>
    </xf>
    <xf numFmtId="0" fontId="27" fillId="0" borderId="0" xfId="0" applyFont="1" applyAlignment="1">
      <alignment horizontal="center" vertical="center" wrapText="1"/>
    </xf>
    <xf numFmtId="0" fontId="28" fillId="0" borderId="4" xfId="0" applyFont="1" applyFill="1" applyBorder="1" applyAlignment="1">
      <alignment horizontal="center" vertical="center" wrapText="1"/>
    </xf>
    <xf numFmtId="0" fontId="28" fillId="0" borderId="15" xfId="0" applyFont="1" applyFill="1" applyBorder="1" applyAlignment="1">
      <alignment horizontal="center" vertical="center" wrapText="1"/>
    </xf>
    <xf numFmtId="0" fontId="28" fillId="0" borderId="12" xfId="0" applyFont="1" applyFill="1" applyBorder="1" applyAlignment="1">
      <alignment horizontal="center" vertical="center" wrapText="1"/>
    </xf>
    <xf numFmtId="0" fontId="28" fillId="0" borderId="14" xfId="0" applyFont="1" applyFill="1" applyBorder="1" applyAlignment="1">
      <alignment horizontal="center" vertical="center" wrapText="1"/>
    </xf>
    <xf numFmtId="0" fontId="28" fillId="0" borderId="72" xfId="0" applyFont="1" applyFill="1" applyBorder="1" applyAlignment="1">
      <alignment horizontal="center" vertical="center" wrapText="1"/>
    </xf>
    <xf numFmtId="0" fontId="28" fillId="0" borderId="6" xfId="0" applyFont="1" applyFill="1" applyBorder="1" applyAlignment="1">
      <alignment horizontal="center" vertical="center" wrapText="1"/>
    </xf>
    <xf numFmtId="0" fontId="29" fillId="0" borderId="15" xfId="0" applyFont="1" applyFill="1" applyBorder="1" applyAlignment="1">
      <alignment horizontal="center" vertical="center" wrapText="1"/>
    </xf>
    <xf numFmtId="0" fontId="29" fillId="0" borderId="12" xfId="0" applyFont="1" applyFill="1" applyBorder="1" applyAlignment="1">
      <alignment horizontal="center" vertical="center" wrapText="1"/>
    </xf>
    <xf numFmtId="0" fontId="31" fillId="0" borderId="15" xfId="0" applyFont="1" applyFill="1" applyBorder="1" applyAlignment="1">
      <alignment horizontal="center" vertical="center" wrapText="1"/>
    </xf>
    <xf numFmtId="0" fontId="31" fillId="0" borderId="73" xfId="0" applyFont="1" applyFill="1" applyBorder="1" applyAlignment="1">
      <alignment horizontal="center" vertical="center" wrapText="1"/>
    </xf>
    <xf numFmtId="0" fontId="31" fillId="0" borderId="12" xfId="0" applyFont="1" applyFill="1" applyBorder="1" applyAlignment="1">
      <alignment horizontal="center" vertical="center" wrapText="1"/>
    </xf>
    <xf numFmtId="0" fontId="32" fillId="0" borderId="15" xfId="1" applyFont="1" applyFill="1" applyBorder="1" applyAlignment="1">
      <alignment horizontal="left" vertical="center" wrapText="1"/>
    </xf>
    <xf numFmtId="0" fontId="32" fillId="0" borderId="73" xfId="1" applyFont="1" applyFill="1" applyBorder="1" applyAlignment="1">
      <alignment horizontal="left" vertical="center" wrapText="1"/>
    </xf>
    <xf numFmtId="0" fontId="32" fillId="0" borderId="12" xfId="1" applyFont="1" applyFill="1" applyBorder="1" applyAlignment="1">
      <alignment horizontal="left" vertical="center" wrapText="1"/>
    </xf>
    <xf numFmtId="0" fontId="29" fillId="0" borderId="72" xfId="1" applyFont="1" applyFill="1" applyBorder="1" applyAlignment="1">
      <alignment horizontal="center" vertical="center" wrapText="1"/>
    </xf>
    <xf numFmtId="0" fontId="25" fillId="0" borderId="15" xfId="0" applyFont="1" applyFill="1" applyBorder="1" applyAlignment="1">
      <alignment horizontal="center" vertical="center" wrapText="1"/>
    </xf>
    <xf numFmtId="0" fontId="25" fillId="0" borderId="73" xfId="0" applyFont="1" applyFill="1" applyBorder="1" applyAlignment="1">
      <alignment horizontal="center" vertical="center" wrapText="1"/>
    </xf>
    <xf numFmtId="0" fontId="25" fillId="0" borderId="12" xfId="0" applyFont="1" applyFill="1" applyBorder="1" applyAlignment="1">
      <alignment horizontal="center" vertical="center" wrapText="1"/>
    </xf>
    <xf numFmtId="0" fontId="32" fillId="0" borderId="74" xfId="1" applyFont="1" applyFill="1" applyBorder="1" applyAlignment="1">
      <alignment horizontal="left" vertical="center" wrapText="1"/>
    </xf>
    <xf numFmtId="0" fontId="0" fillId="0" borderId="75" xfId="0" applyBorder="1" applyAlignment="1">
      <alignment vertical="center" wrapText="1"/>
    </xf>
    <xf numFmtId="0" fontId="0" fillId="0" borderId="76" xfId="0" applyBorder="1" applyAlignment="1">
      <alignment vertical="center" wrapText="1"/>
    </xf>
    <xf numFmtId="4" fontId="25" fillId="0" borderId="15" xfId="0" applyNumberFormat="1" applyFont="1" applyFill="1" applyBorder="1" applyAlignment="1">
      <alignment horizontal="center" vertical="center" wrapText="1"/>
    </xf>
    <xf numFmtId="4" fontId="25" fillId="0" borderId="12" xfId="0" applyNumberFormat="1" applyFont="1" applyFill="1" applyBorder="1" applyAlignment="1">
      <alignment horizontal="center" vertical="center" wrapText="1"/>
    </xf>
    <xf numFmtId="164" fontId="25" fillId="0" borderId="15" xfId="0" applyNumberFormat="1" applyFont="1" applyFill="1" applyBorder="1" applyAlignment="1">
      <alignment horizontal="center" vertical="center" wrapText="1"/>
    </xf>
    <xf numFmtId="164" fontId="25" fillId="0" borderId="12" xfId="0" applyNumberFormat="1" applyFont="1" applyFill="1" applyBorder="1" applyAlignment="1">
      <alignment horizontal="center" vertical="center" wrapText="1"/>
    </xf>
    <xf numFmtId="0" fontId="31" fillId="0" borderId="4" xfId="0" applyFont="1" applyFill="1" applyBorder="1" applyAlignment="1">
      <alignment horizontal="center" vertical="center" wrapText="1"/>
    </xf>
    <xf numFmtId="0" fontId="29" fillId="0" borderId="4" xfId="1" applyFont="1" applyFill="1" applyBorder="1" applyAlignment="1">
      <alignment horizontal="center" vertical="center" wrapText="1"/>
    </xf>
  </cellXfs>
  <cellStyles count="12">
    <cellStyle name="Обычный" xfId="0" builtinId="0"/>
    <cellStyle name="Обычный 10" xfId="6"/>
    <cellStyle name="Обычный 2" xfId="1"/>
    <cellStyle name="Обычный 2 2" xfId="11"/>
    <cellStyle name="Обычный 3" xfId="2"/>
    <cellStyle name="Обычный 3 2" xfId="5"/>
    <cellStyle name="Обычный 5" xfId="3"/>
    <cellStyle name="Обычный 5 2" xfId="7"/>
    <cellStyle name="Обычный 7" xfId="4"/>
    <cellStyle name="Обычный 8" xfId="10"/>
    <cellStyle name="Обычный 9" xfId="9"/>
    <cellStyle name="Процентный" xfId="8" builtinId="5"/>
  </cellStyles>
  <dxfs count="2">
    <dxf>
      <font>
        <color theme="0"/>
      </font>
    </dxf>
    <dxf>
      <font>
        <color theme="0"/>
      </font>
    </dxf>
  </dxfs>
  <tableStyles count="0" defaultTableStyle="TableStyleMedium2" defaultPivotStyle="PivotStyleLight16"/>
  <colors>
    <mruColors>
      <color rgb="FF99FFCC"/>
      <color rgb="FFFFCCFF"/>
      <color rgb="FFFFFFCC"/>
      <color rgb="FF66FFFF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  <pageSetUpPr fitToPage="1"/>
  </sheetPr>
  <dimension ref="A1:S46"/>
  <sheetViews>
    <sheetView zoomScale="115" zoomScaleNormal="115" zoomScaleSheetLayoutView="100" workbookViewId="0">
      <pane xSplit="1" ySplit="5" topLeftCell="B6" activePane="bottomRight" state="frozen"/>
      <selection activeCell="E9" sqref="E9"/>
      <selection pane="topRight" activeCell="E9" sqref="E9"/>
      <selection pane="bottomLeft" activeCell="E9" sqref="E9"/>
      <selection pane="bottomRight" activeCell="D4" sqref="D4:Q4"/>
    </sheetView>
  </sheetViews>
  <sheetFormatPr defaultColWidth="9.1796875" defaultRowHeight="12.5" x14ac:dyDescent="0.25"/>
  <cols>
    <col min="1" max="1" width="23.7265625" style="5" customWidth="1"/>
    <col min="2" max="2" width="13.7265625" style="6" customWidth="1"/>
    <col min="3" max="3" width="14.453125" style="6" customWidth="1"/>
    <col min="4" max="4" width="10.7265625" style="3" hidden="1" customWidth="1"/>
    <col min="5" max="5" width="10.7265625" style="6" hidden="1" customWidth="1"/>
    <col min="6" max="6" width="12.26953125" style="6" hidden="1" customWidth="1"/>
    <col min="7" max="7" width="13.26953125" style="6" hidden="1" customWidth="1"/>
    <col min="8" max="8" width="12.54296875" style="6" customWidth="1"/>
    <col min="9" max="9" width="12.81640625" style="6" customWidth="1"/>
    <col min="10" max="10" width="11.81640625" style="6" customWidth="1"/>
    <col min="11" max="11" width="11.26953125" style="6" customWidth="1"/>
    <col min="12" max="12" width="11.54296875" style="6" customWidth="1"/>
    <col min="13" max="13" width="10.7265625" style="6" hidden="1" customWidth="1"/>
    <col min="14" max="14" width="12.26953125" style="6" hidden="1" customWidth="1"/>
    <col min="15" max="16" width="13.1796875" style="6" hidden="1" customWidth="1"/>
    <col min="17" max="17" width="0.453125" style="6" customWidth="1"/>
    <col min="18" max="16384" width="9.1796875" style="5"/>
  </cols>
  <sheetData>
    <row r="1" spans="1:19" x14ac:dyDescent="0.25">
      <c r="C1" s="77"/>
      <c r="J1" s="413" t="s">
        <v>441</v>
      </c>
      <c r="K1" s="413"/>
      <c r="L1" s="413"/>
      <c r="O1" s="413" t="s">
        <v>442</v>
      </c>
      <c r="P1" s="413"/>
      <c r="Q1" s="413"/>
    </row>
    <row r="2" spans="1:19" ht="38.25" customHeight="1" x14ac:dyDescent="0.25">
      <c r="A2" s="414" t="s">
        <v>447</v>
      </c>
      <c r="B2" s="414"/>
      <c r="C2" s="414"/>
      <c r="D2" s="414"/>
      <c r="E2" s="414"/>
      <c r="F2" s="414"/>
      <c r="G2" s="414"/>
      <c r="H2" s="414"/>
      <c r="I2" s="414"/>
      <c r="J2" s="414"/>
      <c r="K2" s="414"/>
      <c r="L2" s="414"/>
      <c r="M2" s="414"/>
      <c r="N2" s="414"/>
      <c r="O2" s="414"/>
      <c r="P2" s="414"/>
      <c r="Q2" s="414"/>
    </row>
    <row r="3" spans="1:19" ht="14.5" thickBot="1" x14ac:dyDescent="0.3">
      <c r="A3" s="4"/>
      <c r="B3" s="7"/>
      <c r="C3" s="7"/>
      <c r="D3" s="4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</row>
    <row r="4" spans="1:19" s="8" customFormat="1" ht="101.15" customHeight="1" thickTop="1" x14ac:dyDescent="0.35">
      <c r="A4" s="420" t="s">
        <v>0</v>
      </c>
      <c r="B4" s="429" t="s">
        <v>443</v>
      </c>
      <c r="C4" s="430"/>
      <c r="D4" s="415" t="s">
        <v>444</v>
      </c>
      <c r="E4" s="415"/>
      <c r="F4" s="415"/>
      <c r="G4" s="415"/>
      <c r="H4" s="415"/>
      <c r="I4" s="415"/>
      <c r="J4" s="415"/>
      <c r="K4" s="415"/>
      <c r="L4" s="415"/>
      <c r="M4" s="415"/>
      <c r="N4" s="415"/>
      <c r="O4" s="415"/>
      <c r="P4" s="415"/>
      <c r="Q4" s="416"/>
    </row>
    <row r="5" spans="1:19" s="8" customFormat="1" ht="24.75" customHeight="1" x14ac:dyDescent="0.35">
      <c r="A5" s="421"/>
      <c r="B5" s="79" t="s">
        <v>450</v>
      </c>
      <c r="C5" s="79" t="s">
        <v>21</v>
      </c>
      <c r="D5" s="78" t="s">
        <v>14</v>
      </c>
      <c r="E5" s="79" t="s">
        <v>226</v>
      </c>
      <c r="F5" s="79" t="s">
        <v>15</v>
      </c>
      <c r="G5" s="79" t="s">
        <v>16</v>
      </c>
      <c r="H5" s="79" t="s">
        <v>449</v>
      </c>
      <c r="I5" s="79" t="s">
        <v>448</v>
      </c>
      <c r="J5" s="79" t="s">
        <v>227</v>
      </c>
      <c r="K5" s="79" t="s">
        <v>419</v>
      </c>
      <c r="L5" s="79" t="s">
        <v>445</v>
      </c>
      <c r="M5" s="79" t="s">
        <v>417</v>
      </c>
      <c r="N5" s="79" t="s">
        <v>418</v>
      </c>
      <c r="O5" s="79" t="s">
        <v>21</v>
      </c>
      <c r="P5" s="79" t="s">
        <v>227</v>
      </c>
      <c r="Q5" s="80" t="s">
        <v>419</v>
      </c>
    </row>
    <row r="6" spans="1:19" x14ac:dyDescent="0.25">
      <c r="A6" s="81" t="s">
        <v>17</v>
      </c>
      <c r="B6" s="83">
        <v>1</v>
      </c>
      <c r="C6" s="83">
        <v>2</v>
      </c>
      <c r="D6" s="82">
        <v>3</v>
      </c>
      <c r="E6" s="83">
        <v>3</v>
      </c>
      <c r="F6" s="83">
        <v>4</v>
      </c>
      <c r="G6" s="83">
        <v>5</v>
      </c>
      <c r="H6" s="83">
        <v>3</v>
      </c>
      <c r="I6" s="83">
        <v>4</v>
      </c>
      <c r="J6" s="83">
        <v>5</v>
      </c>
      <c r="K6" s="83">
        <v>6</v>
      </c>
      <c r="L6" s="83">
        <v>7</v>
      </c>
      <c r="M6" s="83">
        <v>3</v>
      </c>
      <c r="N6" s="83">
        <v>4</v>
      </c>
      <c r="O6" s="83">
        <v>5</v>
      </c>
      <c r="P6" s="83">
        <v>6</v>
      </c>
      <c r="Q6" s="84">
        <v>7</v>
      </c>
    </row>
    <row r="7" spans="1:19" ht="13" x14ac:dyDescent="0.3">
      <c r="A7" s="417" t="s">
        <v>18</v>
      </c>
      <c r="B7" s="418"/>
      <c r="C7" s="418"/>
      <c r="D7" s="418"/>
      <c r="E7" s="418"/>
      <c r="F7" s="418"/>
      <c r="G7" s="418"/>
      <c r="H7" s="418"/>
      <c r="I7" s="418"/>
      <c r="J7" s="418"/>
      <c r="K7" s="418"/>
      <c r="L7" s="418"/>
      <c r="M7" s="418"/>
      <c r="N7" s="418"/>
      <c r="O7" s="418"/>
      <c r="P7" s="418"/>
      <c r="Q7" s="419"/>
    </row>
    <row r="8" spans="1:19" x14ac:dyDescent="0.25">
      <c r="A8" s="85" t="s">
        <v>1</v>
      </c>
      <c r="B8" s="88">
        <v>502.85</v>
      </c>
      <c r="C8" s="88">
        <v>538.59</v>
      </c>
      <c r="D8" s="89">
        <v>342.35899999999998</v>
      </c>
      <c r="E8" s="90">
        <v>436.6</v>
      </c>
      <c r="F8" s="88">
        <v>401.07400000000001</v>
      </c>
      <c r="G8" s="88">
        <v>431.84500000000003</v>
      </c>
      <c r="H8" s="88">
        <v>501.45299999999997</v>
      </c>
      <c r="I8" s="88">
        <v>535.69000000000005</v>
      </c>
      <c r="J8" s="88">
        <v>577.91999999999996</v>
      </c>
      <c r="K8" s="88">
        <v>620.07399999999996</v>
      </c>
      <c r="L8" s="88">
        <v>668.12800000000004</v>
      </c>
      <c r="M8" s="88">
        <v>471.9</v>
      </c>
      <c r="N8" s="88">
        <v>502.8</v>
      </c>
      <c r="O8" s="88">
        <v>538.6</v>
      </c>
      <c r="P8" s="88">
        <v>579</v>
      </c>
      <c r="Q8" s="91">
        <v>615.29999999999995</v>
      </c>
      <c r="R8" s="17"/>
      <c r="S8" s="17"/>
    </row>
    <row r="9" spans="1:19" x14ac:dyDescent="0.25">
      <c r="A9" s="85" t="s">
        <v>2</v>
      </c>
      <c r="B9" s="92">
        <v>101164</v>
      </c>
      <c r="C9" s="92">
        <v>105820</v>
      </c>
      <c r="D9" s="87">
        <v>71406</v>
      </c>
      <c r="E9" s="93">
        <v>86044</v>
      </c>
      <c r="F9" s="93">
        <v>73515</v>
      </c>
      <c r="G9" s="92">
        <v>78673</v>
      </c>
      <c r="H9" s="92">
        <v>103876</v>
      </c>
      <c r="I9" s="92">
        <v>108414</v>
      </c>
      <c r="J9" s="92">
        <v>112863</v>
      </c>
      <c r="K9" s="92">
        <v>120364</v>
      </c>
      <c r="L9" s="92">
        <v>128508</v>
      </c>
      <c r="M9" s="92">
        <v>92037</v>
      </c>
      <c r="N9" s="92">
        <v>101164</v>
      </c>
      <c r="O9" s="92">
        <v>105820</v>
      </c>
      <c r="P9" s="92">
        <v>110732</v>
      </c>
      <c r="Q9" s="94">
        <v>118409</v>
      </c>
      <c r="R9" s="17"/>
      <c r="S9" s="17"/>
    </row>
    <row r="10" spans="1:19" ht="13" x14ac:dyDescent="0.3">
      <c r="A10" s="431" t="s">
        <v>19</v>
      </c>
      <c r="B10" s="432"/>
      <c r="C10" s="432"/>
      <c r="D10" s="432"/>
      <c r="E10" s="432"/>
      <c r="F10" s="432"/>
      <c r="G10" s="432"/>
      <c r="H10" s="432"/>
      <c r="I10" s="432"/>
      <c r="J10" s="432"/>
      <c r="K10" s="432"/>
      <c r="L10" s="432"/>
      <c r="M10" s="432"/>
      <c r="N10" s="432"/>
      <c r="O10" s="432"/>
      <c r="P10" s="432"/>
      <c r="Q10" s="433"/>
      <c r="R10" s="17"/>
      <c r="S10" s="17"/>
    </row>
    <row r="11" spans="1:19" x14ac:dyDescent="0.25">
      <c r="A11" s="85" t="s">
        <v>1</v>
      </c>
      <c r="B11" s="88">
        <v>102.4</v>
      </c>
      <c r="C11" s="88">
        <v>102.22</v>
      </c>
      <c r="D11" s="89">
        <v>94.04</v>
      </c>
      <c r="E11" s="90">
        <v>102.2</v>
      </c>
      <c r="F11" s="88">
        <v>98.63</v>
      </c>
      <c r="G11" s="88">
        <v>101.14</v>
      </c>
      <c r="H11" s="88">
        <v>102.9</v>
      </c>
      <c r="I11" s="88">
        <v>102.5</v>
      </c>
      <c r="J11" s="88">
        <v>103.34</v>
      </c>
      <c r="K11" s="88">
        <v>102.55</v>
      </c>
      <c r="L11" s="88">
        <v>103.46</v>
      </c>
      <c r="M11" s="88">
        <v>103.23</v>
      </c>
      <c r="N11" s="88">
        <v>102.4</v>
      </c>
      <c r="O11" s="88">
        <v>102.22</v>
      </c>
      <c r="P11" s="88">
        <v>102.81</v>
      </c>
      <c r="Q11" s="91">
        <v>102.47</v>
      </c>
      <c r="R11" s="17"/>
      <c r="S11" s="17"/>
    </row>
    <row r="12" spans="1:19" x14ac:dyDescent="0.25">
      <c r="A12" s="85" t="s">
        <v>2</v>
      </c>
      <c r="B12" s="92">
        <v>101.8</v>
      </c>
      <c r="C12" s="92">
        <v>101.3</v>
      </c>
      <c r="D12" s="95">
        <v>100.6</v>
      </c>
      <c r="E12" s="92">
        <v>99.8</v>
      </c>
      <c r="F12" s="92">
        <v>96.1</v>
      </c>
      <c r="G12" s="92">
        <v>100.7</v>
      </c>
      <c r="H12" s="92">
        <v>102.3</v>
      </c>
      <c r="I12" s="92">
        <v>101.3</v>
      </c>
      <c r="J12" s="92">
        <v>101.7</v>
      </c>
      <c r="K12" s="92">
        <v>103.1</v>
      </c>
      <c r="L12" s="92">
        <v>103.2</v>
      </c>
      <c r="M12" s="92">
        <v>101.5</v>
      </c>
      <c r="N12" s="92">
        <v>101.8</v>
      </c>
      <c r="O12" s="92">
        <v>101.3</v>
      </c>
      <c r="P12" s="92">
        <v>102</v>
      </c>
      <c r="Q12" s="94">
        <v>103.1</v>
      </c>
      <c r="R12" s="17"/>
      <c r="S12" s="17"/>
    </row>
    <row r="13" spans="1:19" ht="13" x14ac:dyDescent="0.3">
      <c r="A13" s="417" t="s">
        <v>3</v>
      </c>
      <c r="B13" s="418"/>
      <c r="C13" s="418"/>
      <c r="D13" s="418"/>
      <c r="E13" s="418"/>
      <c r="F13" s="418"/>
      <c r="G13" s="418"/>
      <c r="H13" s="418"/>
      <c r="I13" s="418"/>
      <c r="J13" s="418"/>
      <c r="K13" s="418"/>
      <c r="L13" s="418"/>
      <c r="M13" s="418"/>
      <c r="N13" s="418"/>
      <c r="O13" s="418"/>
      <c r="P13" s="418"/>
      <c r="Q13" s="419"/>
      <c r="R13" s="17"/>
      <c r="S13" s="17"/>
    </row>
    <row r="14" spans="1:19" x14ac:dyDescent="0.25">
      <c r="A14" s="85" t="s">
        <v>1</v>
      </c>
      <c r="B14" s="99">
        <v>103.08</v>
      </c>
      <c r="C14" s="99">
        <v>104.32</v>
      </c>
      <c r="D14" s="97">
        <v>113</v>
      </c>
      <c r="E14" s="99">
        <v>104.77</v>
      </c>
      <c r="F14" s="99">
        <v>110.88</v>
      </c>
      <c r="G14" s="99">
        <v>106.92</v>
      </c>
      <c r="H14" s="99">
        <v>103.95</v>
      </c>
      <c r="I14" s="99">
        <v>103.7</v>
      </c>
      <c r="J14" s="99">
        <v>103</v>
      </c>
      <c r="K14" s="99">
        <v>104</v>
      </c>
      <c r="L14" s="99">
        <v>104</v>
      </c>
      <c r="M14" s="99">
        <v>101.53</v>
      </c>
      <c r="N14" s="99">
        <v>103.08</v>
      </c>
      <c r="O14" s="99">
        <v>104.32</v>
      </c>
      <c r="P14" s="99">
        <v>103.81</v>
      </c>
      <c r="Q14" s="100">
        <v>103.97</v>
      </c>
      <c r="R14" s="17"/>
      <c r="S14" s="17"/>
    </row>
    <row r="15" spans="1:19" x14ac:dyDescent="0.25">
      <c r="A15" s="85" t="s">
        <v>2</v>
      </c>
      <c r="B15" s="92">
        <v>103.4</v>
      </c>
      <c r="C15" s="92">
        <v>104.3</v>
      </c>
      <c r="D15" s="96">
        <v>111.4</v>
      </c>
      <c r="E15" s="98">
        <v>105.4</v>
      </c>
      <c r="F15" s="98">
        <v>112.2</v>
      </c>
      <c r="G15" s="98">
        <v>106.4</v>
      </c>
      <c r="H15" s="92">
        <v>104.3</v>
      </c>
      <c r="I15" s="92">
        <v>103.8</v>
      </c>
      <c r="J15" s="92">
        <v>103</v>
      </c>
      <c r="K15" s="92">
        <v>104</v>
      </c>
      <c r="L15" s="92">
        <v>104</v>
      </c>
      <c r="M15" s="92">
        <v>102.5</v>
      </c>
      <c r="N15" s="92">
        <v>103.4</v>
      </c>
      <c r="O15" s="92">
        <v>104.3</v>
      </c>
      <c r="P15" s="92">
        <v>103.8</v>
      </c>
      <c r="Q15" s="94">
        <v>104</v>
      </c>
      <c r="R15" s="17"/>
      <c r="S15" s="17"/>
    </row>
    <row r="16" spans="1:19" ht="13" x14ac:dyDescent="0.3">
      <c r="A16" s="417" t="s">
        <v>4</v>
      </c>
      <c r="B16" s="418"/>
      <c r="C16" s="418"/>
      <c r="D16" s="418"/>
      <c r="E16" s="418"/>
      <c r="F16" s="418"/>
      <c r="G16" s="418"/>
      <c r="H16" s="418"/>
      <c r="I16" s="418"/>
      <c r="J16" s="418"/>
      <c r="K16" s="418"/>
      <c r="L16" s="418"/>
      <c r="M16" s="418"/>
      <c r="N16" s="418"/>
      <c r="O16" s="418"/>
      <c r="P16" s="418"/>
      <c r="Q16" s="419"/>
      <c r="R16" s="17"/>
      <c r="S16" s="17"/>
    </row>
    <row r="17" spans="1:19" x14ac:dyDescent="0.25">
      <c r="A17" s="85" t="s">
        <v>1</v>
      </c>
      <c r="B17" s="99">
        <v>102.62</v>
      </c>
      <c r="C17" s="99">
        <v>103.16</v>
      </c>
      <c r="D17" s="97">
        <v>64.36</v>
      </c>
      <c r="E17" s="99">
        <v>140.69999999999999</v>
      </c>
      <c r="F17" s="99">
        <v>67.39</v>
      </c>
      <c r="G17" s="99">
        <v>87.39</v>
      </c>
      <c r="H17" s="99">
        <v>87.6</v>
      </c>
      <c r="I17" s="99">
        <v>87</v>
      </c>
      <c r="J17" s="99">
        <v>110.7</v>
      </c>
      <c r="K17" s="99">
        <v>105.2</v>
      </c>
      <c r="L17" s="99">
        <v>104.55</v>
      </c>
      <c r="M17" s="99">
        <v>124.4</v>
      </c>
      <c r="N17" s="99">
        <v>102.62</v>
      </c>
      <c r="O17" s="99">
        <v>103.16</v>
      </c>
      <c r="P17" s="99">
        <v>102.94</v>
      </c>
      <c r="Q17" s="100">
        <v>104.34</v>
      </c>
      <c r="R17" s="17"/>
      <c r="S17" s="17"/>
    </row>
    <row r="18" spans="1:19" x14ac:dyDescent="0.25">
      <c r="A18" s="85" t="s">
        <v>2</v>
      </c>
      <c r="B18" s="98">
        <v>102.9</v>
      </c>
      <c r="C18" s="98">
        <v>103.1</v>
      </c>
      <c r="D18" s="96">
        <v>97.3</v>
      </c>
      <c r="E18" s="98">
        <v>99.1</v>
      </c>
      <c r="F18" s="98">
        <v>90.1</v>
      </c>
      <c r="G18" s="98">
        <v>98.4</v>
      </c>
      <c r="H18" s="98">
        <v>104.3</v>
      </c>
      <c r="I18" s="98">
        <v>102</v>
      </c>
      <c r="J18" s="98">
        <v>105</v>
      </c>
      <c r="K18" s="98">
        <v>106.5</v>
      </c>
      <c r="L18" s="98">
        <v>105.8</v>
      </c>
      <c r="M18" s="98">
        <v>104.4</v>
      </c>
      <c r="N18" s="98">
        <v>102.9</v>
      </c>
      <c r="O18" s="98">
        <v>103.1</v>
      </c>
      <c r="P18" s="98">
        <v>107.6</v>
      </c>
      <c r="Q18" s="101">
        <v>106.9</v>
      </c>
      <c r="R18" s="17"/>
      <c r="S18" s="17"/>
    </row>
    <row r="19" spans="1:19" ht="13" x14ac:dyDescent="0.3">
      <c r="A19" s="417" t="s">
        <v>5</v>
      </c>
      <c r="B19" s="418"/>
      <c r="C19" s="418"/>
      <c r="D19" s="418"/>
      <c r="E19" s="418"/>
      <c r="F19" s="418"/>
      <c r="G19" s="418"/>
      <c r="H19" s="418"/>
      <c r="I19" s="418"/>
      <c r="J19" s="418"/>
      <c r="K19" s="418"/>
      <c r="L19" s="418"/>
      <c r="M19" s="418"/>
      <c r="N19" s="418"/>
      <c r="O19" s="418"/>
      <c r="P19" s="418"/>
      <c r="Q19" s="419"/>
      <c r="R19" s="17"/>
      <c r="S19" s="17"/>
    </row>
    <row r="20" spans="1:19" x14ac:dyDescent="0.25">
      <c r="A20" s="85" t="s">
        <v>1</v>
      </c>
      <c r="B20" s="88">
        <v>102.73</v>
      </c>
      <c r="C20" s="88">
        <v>102.33</v>
      </c>
      <c r="D20" s="86">
        <v>103.9</v>
      </c>
      <c r="E20" s="88">
        <v>96.6</v>
      </c>
      <c r="F20" s="88">
        <v>92.14</v>
      </c>
      <c r="G20" s="88">
        <v>101.53</v>
      </c>
      <c r="H20" s="88">
        <v>103.6</v>
      </c>
      <c r="I20" s="88">
        <v>100.4</v>
      </c>
      <c r="J20" s="88">
        <v>100.8</v>
      </c>
      <c r="K20" s="88">
        <v>102.4</v>
      </c>
      <c r="L20" s="88">
        <v>102.7</v>
      </c>
      <c r="M20" s="88">
        <v>102.7</v>
      </c>
      <c r="N20" s="88">
        <v>102.73</v>
      </c>
      <c r="O20" s="88">
        <v>102.33</v>
      </c>
      <c r="P20" s="88">
        <v>102.1</v>
      </c>
      <c r="Q20" s="91">
        <v>101.89</v>
      </c>
      <c r="R20" s="17"/>
      <c r="S20" s="17"/>
    </row>
    <row r="21" spans="1:19" x14ac:dyDescent="0.25">
      <c r="A21" s="85" t="s">
        <v>2</v>
      </c>
      <c r="B21" s="92">
        <v>102.9</v>
      </c>
      <c r="C21" s="92">
        <v>101.7</v>
      </c>
      <c r="D21" s="95">
        <v>102.7</v>
      </c>
      <c r="E21" s="92">
        <v>95.4</v>
      </c>
      <c r="F21" s="92">
        <v>91.5</v>
      </c>
      <c r="G21" s="92">
        <v>100.4</v>
      </c>
      <c r="H21" s="92">
        <v>102.8</v>
      </c>
      <c r="I21" s="92">
        <v>101.3</v>
      </c>
      <c r="J21" s="92">
        <v>100.6</v>
      </c>
      <c r="K21" s="92">
        <v>102.2</v>
      </c>
      <c r="L21" s="92">
        <v>102.5</v>
      </c>
      <c r="M21" s="92">
        <v>101.3</v>
      </c>
      <c r="N21" s="92">
        <v>102.9</v>
      </c>
      <c r="O21" s="92">
        <v>101.7</v>
      </c>
      <c r="P21" s="92">
        <v>102</v>
      </c>
      <c r="Q21" s="94">
        <v>102.6</v>
      </c>
      <c r="R21" s="17"/>
      <c r="S21" s="17"/>
    </row>
    <row r="22" spans="1:19" ht="13" x14ac:dyDescent="0.3">
      <c r="A22" s="417" t="s">
        <v>6</v>
      </c>
      <c r="B22" s="418"/>
      <c r="C22" s="418"/>
      <c r="D22" s="418"/>
      <c r="E22" s="418"/>
      <c r="F22" s="418"/>
      <c r="G22" s="418"/>
      <c r="H22" s="418"/>
      <c r="I22" s="418"/>
      <c r="J22" s="418"/>
      <c r="K22" s="418"/>
      <c r="L22" s="418"/>
      <c r="M22" s="418"/>
      <c r="N22" s="418"/>
      <c r="O22" s="418"/>
      <c r="P22" s="418"/>
      <c r="Q22" s="419"/>
      <c r="R22" s="17"/>
      <c r="S22" s="17"/>
    </row>
    <row r="23" spans="1:19" x14ac:dyDescent="0.25">
      <c r="A23" s="85" t="s">
        <v>1</v>
      </c>
      <c r="B23" s="88">
        <v>100.2</v>
      </c>
      <c r="C23" s="88">
        <v>100.5</v>
      </c>
      <c r="D23" s="86">
        <v>104.7</v>
      </c>
      <c r="E23" s="88">
        <v>92.1</v>
      </c>
      <c r="F23" s="88">
        <v>92.95</v>
      </c>
      <c r="G23" s="88">
        <v>100.89</v>
      </c>
      <c r="H23" s="88">
        <v>99.4</v>
      </c>
      <c r="I23" s="88">
        <v>99.69</v>
      </c>
      <c r="J23" s="88">
        <v>101.25</v>
      </c>
      <c r="K23" s="88">
        <v>101.51</v>
      </c>
      <c r="L23" s="88">
        <v>101.4</v>
      </c>
      <c r="M23" s="88">
        <v>97.87</v>
      </c>
      <c r="N23" s="88">
        <v>100.2</v>
      </c>
      <c r="O23" s="88">
        <v>100.5</v>
      </c>
      <c r="P23" s="88">
        <v>100.9</v>
      </c>
      <c r="Q23" s="91">
        <v>101</v>
      </c>
      <c r="R23" s="17"/>
      <c r="S23" s="17"/>
    </row>
    <row r="24" spans="1:19" x14ac:dyDescent="0.25">
      <c r="A24" s="85" t="s">
        <v>2</v>
      </c>
      <c r="B24" s="92">
        <v>103.4</v>
      </c>
      <c r="C24" s="92">
        <v>101</v>
      </c>
      <c r="D24" s="95">
        <v>99.3</v>
      </c>
      <c r="E24" s="92">
        <v>94.9</v>
      </c>
      <c r="F24" s="92">
        <v>96</v>
      </c>
      <c r="G24" s="92">
        <v>99.3</v>
      </c>
      <c r="H24" s="92">
        <v>100.1</v>
      </c>
      <c r="I24" s="92">
        <v>100.1</v>
      </c>
      <c r="J24" s="92">
        <v>101.5</v>
      </c>
      <c r="K24" s="92">
        <v>102.2</v>
      </c>
      <c r="L24" s="92">
        <v>102.3</v>
      </c>
      <c r="M24" s="92">
        <v>99.3</v>
      </c>
      <c r="N24" s="92">
        <v>103.4</v>
      </c>
      <c r="O24" s="92">
        <v>101</v>
      </c>
      <c r="P24" s="92">
        <v>101.7</v>
      </c>
      <c r="Q24" s="94">
        <v>102.2</v>
      </c>
      <c r="R24" s="17"/>
      <c r="S24" s="17"/>
    </row>
    <row r="25" spans="1:19" ht="13" x14ac:dyDescent="0.3">
      <c r="A25" s="417" t="s">
        <v>7</v>
      </c>
      <c r="B25" s="418"/>
      <c r="C25" s="418"/>
      <c r="D25" s="418"/>
      <c r="E25" s="418"/>
      <c r="F25" s="418"/>
      <c r="G25" s="418"/>
      <c r="H25" s="418"/>
      <c r="I25" s="418"/>
      <c r="J25" s="418"/>
      <c r="K25" s="418"/>
      <c r="L25" s="418"/>
      <c r="M25" s="418"/>
      <c r="N25" s="418"/>
      <c r="O25" s="418"/>
      <c r="P25" s="418"/>
      <c r="Q25" s="419"/>
      <c r="R25" s="17"/>
      <c r="S25" s="17"/>
    </row>
    <row r="26" spans="1:19" x14ac:dyDescent="0.25">
      <c r="A26" s="85" t="s">
        <v>1</v>
      </c>
      <c r="B26" s="90">
        <v>1106.25</v>
      </c>
      <c r="C26" s="90">
        <v>1096.95</v>
      </c>
      <c r="D26" s="89">
        <v>1144.3599999999999</v>
      </c>
      <c r="E26" s="90">
        <v>1126.03</v>
      </c>
      <c r="F26" s="90">
        <v>1135.1600000000001</v>
      </c>
      <c r="G26" s="90">
        <v>1125.8</v>
      </c>
      <c r="H26" s="90">
        <v>1105.6600000000001</v>
      </c>
      <c r="I26" s="90">
        <v>1095.18</v>
      </c>
      <c r="J26" s="90">
        <v>1084.8599999999999</v>
      </c>
      <c r="K26" s="90">
        <v>1074.3900000000001</v>
      </c>
      <c r="L26" s="90">
        <v>1063.94</v>
      </c>
      <c r="M26" s="90">
        <v>1116.42</v>
      </c>
      <c r="N26" s="90">
        <v>1106.25</v>
      </c>
      <c r="O26" s="90">
        <v>1096.95</v>
      </c>
      <c r="P26" s="90">
        <v>1087.92</v>
      </c>
      <c r="Q26" s="102">
        <v>1079.3399999999999</v>
      </c>
      <c r="R26" s="17"/>
      <c r="S26" s="17"/>
    </row>
    <row r="27" spans="1:19" x14ac:dyDescent="0.25">
      <c r="A27" s="85" t="s">
        <v>2</v>
      </c>
      <c r="B27" s="92">
        <v>146900</v>
      </c>
      <c r="C27" s="92">
        <v>147000</v>
      </c>
      <c r="D27" s="95">
        <v>143800</v>
      </c>
      <c r="E27" s="92">
        <v>146700</v>
      </c>
      <c r="F27" s="92">
        <v>146500</v>
      </c>
      <c r="G27" s="92">
        <v>146900</v>
      </c>
      <c r="H27" s="92">
        <v>146800</v>
      </c>
      <c r="I27" s="92">
        <v>146800</v>
      </c>
      <c r="J27" s="92">
        <v>147100</v>
      </c>
      <c r="K27" s="92">
        <v>147300</v>
      </c>
      <c r="L27" s="92">
        <v>147700</v>
      </c>
      <c r="M27" s="92">
        <v>146800</v>
      </c>
      <c r="N27" s="92">
        <v>146900</v>
      </c>
      <c r="O27" s="92">
        <v>147000</v>
      </c>
      <c r="P27" s="92">
        <v>147100</v>
      </c>
      <c r="Q27" s="94">
        <v>147300</v>
      </c>
      <c r="R27" s="17"/>
      <c r="S27" s="17"/>
    </row>
    <row r="28" spans="1:19" ht="13" x14ac:dyDescent="0.3">
      <c r="A28" s="431" t="s">
        <v>8</v>
      </c>
      <c r="B28" s="432"/>
      <c r="C28" s="432"/>
      <c r="D28" s="432"/>
      <c r="E28" s="432"/>
      <c r="F28" s="432"/>
      <c r="G28" s="432"/>
      <c r="H28" s="432"/>
      <c r="I28" s="432"/>
      <c r="J28" s="432"/>
      <c r="K28" s="432"/>
      <c r="L28" s="432"/>
      <c r="M28" s="432"/>
      <c r="N28" s="432"/>
      <c r="O28" s="432"/>
      <c r="P28" s="432"/>
      <c r="Q28" s="433"/>
      <c r="R28" s="17"/>
      <c r="S28" s="17"/>
    </row>
    <row r="29" spans="1:19" x14ac:dyDescent="0.25">
      <c r="A29" s="85" t="s">
        <v>1</v>
      </c>
      <c r="B29" s="99">
        <v>13.8</v>
      </c>
      <c r="C29" s="99">
        <v>13.5</v>
      </c>
      <c r="D29" s="97">
        <v>13.8</v>
      </c>
      <c r="E29" s="99">
        <v>14.3</v>
      </c>
      <c r="F29" s="99">
        <v>13.9</v>
      </c>
      <c r="G29" s="99">
        <v>13.9</v>
      </c>
      <c r="H29" s="99">
        <v>12.6</v>
      </c>
      <c r="I29" s="99">
        <v>11.8</v>
      </c>
      <c r="J29" s="99">
        <v>11</v>
      </c>
      <c r="K29" s="99">
        <v>10.199999999999999</v>
      </c>
      <c r="L29" s="99">
        <v>9.6</v>
      </c>
      <c r="M29" s="99">
        <v>14.1</v>
      </c>
      <c r="N29" s="99">
        <v>13.8</v>
      </c>
      <c r="O29" s="99">
        <v>13.5</v>
      </c>
      <c r="P29" s="99">
        <v>13.4</v>
      </c>
      <c r="Q29" s="100">
        <v>13.1</v>
      </c>
      <c r="R29" s="17"/>
      <c r="S29" s="17"/>
    </row>
    <row r="30" spans="1:19" x14ac:dyDescent="0.25">
      <c r="A30" s="85" t="s">
        <v>2</v>
      </c>
      <c r="B30" s="98">
        <v>11</v>
      </c>
      <c r="C30" s="98">
        <v>10.5</v>
      </c>
      <c r="D30" s="96">
        <v>11.2</v>
      </c>
      <c r="E30" s="98">
        <v>13.5</v>
      </c>
      <c r="F30" s="98">
        <v>13.2</v>
      </c>
      <c r="G30" s="98">
        <v>13.1</v>
      </c>
      <c r="H30" s="98">
        <v>12.6</v>
      </c>
      <c r="I30" s="98">
        <v>12.5</v>
      </c>
      <c r="J30" s="98">
        <v>11.7</v>
      </c>
      <c r="K30" s="98">
        <v>10.8</v>
      </c>
      <c r="L30" s="98">
        <v>9.4</v>
      </c>
      <c r="M30" s="98">
        <v>13.2</v>
      </c>
      <c r="N30" s="98">
        <v>11</v>
      </c>
      <c r="O30" s="98">
        <v>10.5</v>
      </c>
      <c r="P30" s="98">
        <v>10</v>
      </c>
      <c r="Q30" s="101">
        <v>9.5</v>
      </c>
      <c r="R30" s="17"/>
      <c r="S30" s="17"/>
    </row>
    <row r="31" spans="1:19" ht="13" x14ac:dyDescent="0.3">
      <c r="A31" s="417" t="s">
        <v>9</v>
      </c>
      <c r="B31" s="418"/>
      <c r="C31" s="418"/>
      <c r="D31" s="418"/>
      <c r="E31" s="418"/>
      <c r="F31" s="418"/>
      <c r="G31" s="418"/>
      <c r="H31" s="418"/>
      <c r="I31" s="418"/>
      <c r="J31" s="418"/>
      <c r="K31" s="418"/>
      <c r="L31" s="418"/>
      <c r="M31" s="418"/>
      <c r="N31" s="418"/>
      <c r="O31" s="418"/>
      <c r="P31" s="418"/>
      <c r="Q31" s="419"/>
      <c r="R31" s="17"/>
      <c r="S31" s="17"/>
    </row>
    <row r="32" spans="1:19" x14ac:dyDescent="0.25">
      <c r="A32" s="85" t="s">
        <v>1</v>
      </c>
      <c r="B32" s="104">
        <f>B8*1000/B26</f>
        <v>454.55367231638417</v>
      </c>
      <c r="C32" s="104">
        <f t="shared" ref="C32" si="0">C8*1000/C26</f>
        <v>490.98865034869408</v>
      </c>
      <c r="D32" s="103">
        <f t="shared" ref="C32:Q33" si="1">D8*1000/D26</f>
        <v>299.17071550910555</v>
      </c>
      <c r="E32" s="104">
        <f t="shared" si="1"/>
        <v>387.73389696544496</v>
      </c>
      <c r="F32" s="104">
        <f t="shared" si="1"/>
        <v>353.3193558617287</v>
      </c>
      <c r="G32" s="104">
        <f t="shared" si="1"/>
        <v>383.58944750399718</v>
      </c>
      <c r="H32" s="104">
        <f>H8*1000/H26</f>
        <v>453.532731581137</v>
      </c>
      <c r="I32" s="104">
        <f>I8*1000/I26</f>
        <v>489.13420624920104</v>
      </c>
      <c r="J32" s="104">
        <f t="shared" ref="J32:L32" si="2">J8*1000/J26</f>
        <v>532.71389856755718</v>
      </c>
      <c r="K32" s="104">
        <f t="shared" si="2"/>
        <v>577.1405169444987</v>
      </c>
      <c r="L32" s="104">
        <f t="shared" si="2"/>
        <v>627.97526176288136</v>
      </c>
      <c r="M32" s="104">
        <f>M8*1000/M26</f>
        <v>422.69038533885094</v>
      </c>
      <c r="N32" s="104">
        <f>N8*1000/N26</f>
        <v>454.50847457627117</v>
      </c>
      <c r="O32" s="104">
        <f t="shared" si="1"/>
        <v>490.99776653448197</v>
      </c>
      <c r="P32" s="104">
        <f t="shared" si="1"/>
        <v>532.2082506066622</v>
      </c>
      <c r="Q32" s="105">
        <f t="shared" si="1"/>
        <v>570.07059869920511</v>
      </c>
      <c r="R32" s="17"/>
      <c r="S32" s="17"/>
    </row>
    <row r="33" spans="1:19" x14ac:dyDescent="0.25">
      <c r="A33" s="85" t="s">
        <v>2</v>
      </c>
      <c r="B33" s="104">
        <f>B9*1000/B27</f>
        <v>688.65895166780126</v>
      </c>
      <c r="C33" s="104">
        <f t="shared" si="1"/>
        <v>719.86394557823132</v>
      </c>
      <c r="D33" s="103">
        <f t="shared" si="1"/>
        <v>496.5646731571627</v>
      </c>
      <c r="E33" s="104">
        <f t="shared" si="1"/>
        <v>586.53033401499658</v>
      </c>
      <c r="F33" s="104">
        <f t="shared" si="1"/>
        <v>501.80887372013655</v>
      </c>
      <c r="G33" s="104">
        <f t="shared" si="1"/>
        <v>535.55479918311778</v>
      </c>
      <c r="H33" s="104">
        <f>H9*1000/H27</f>
        <v>707.60217983651228</v>
      </c>
      <c r="I33" s="104">
        <f t="shared" ref="I33:L33" si="3">I9*1000/I27</f>
        <v>738.51498637602185</v>
      </c>
      <c r="J33" s="104">
        <f t="shared" si="3"/>
        <v>767.25356900067982</v>
      </c>
      <c r="K33" s="104">
        <f t="shared" si="3"/>
        <v>817.13509843856082</v>
      </c>
      <c r="L33" s="104">
        <f t="shared" si="3"/>
        <v>870.06093432633713</v>
      </c>
      <c r="M33" s="104">
        <f>M9*1000/M27</f>
        <v>626.95504087193456</v>
      </c>
      <c r="N33" s="104">
        <f>N9*1000/N27</f>
        <v>688.65895166780126</v>
      </c>
      <c r="O33" s="104">
        <f t="shared" si="1"/>
        <v>719.86394557823132</v>
      </c>
      <c r="P33" s="104">
        <f t="shared" si="1"/>
        <v>752.76682528891911</v>
      </c>
      <c r="Q33" s="105">
        <f t="shared" si="1"/>
        <v>803.86286490156147</v>
      </c>
      <c r="R33" s="17"/>
      <c r="S33" s="17"/>
    </row>
    <row r="34" spans="1:19" ht="50" x14ac:dyDescent="0.25">
      <c r="A34" s="106" t="s">
        <v>10</v>
      </c>
      <c r="B34" s="104">
        <f>+B32/B33</f>
        <v>0.6600562894238744</v>
      </c>
      <c r="C34" s="104">
        <f>+C32/C33</f>
        <v>0.68205756568945408</v>
      </c>
      <c r="D34" s="107">
        <f>+D32/D33</f>
        <v>0.60248086841735116</v>
      </c>
      <c r="E34" s="104">
        <f>+E32/E33</f>
        <v>0.66106367306065239</v>
      </c>
      <c r="F34" s="104">
        <f t="shared" ref="F34:Q34" si="4">+F32/F33</f>
        <v>0.70409148655027209</v>
      </c>
      <c r="G34" s="104">
        <f t="shared" si="4"/>
        <v>0.71624686790051462</v>
      </c>
      <c r="H34" s="104">
        <f t="shared" si="4"/>
        <v>0.64094309557656159</v>
      </c>
      <c r="I34" s="104">
        <f t="shared" si="4"/>
        <v>0.66232130054589544</v>
      </c>
      <c r="J34" s="104">
        <f t="shared" si="4"/>
        <v>0.6943127019420684</v>
      </c>
      <c r="K34" s="104">
        <f t="shared" si="4"/>
        <v>0.70629754865179495</v>
      </c>
      <c r="L34" s="104">
        <f t="shared" si="4"/>
        <v>0.72176009402043129</v>
      </c>
      <c r="M34" s="104">
        <f t="shared" si="4"/>
        <v>0.67419568833994292</v>
      </c>
      <c r="N34" s="104">
        <f t="shared" si="4"/>
        <v>0.65999065789464861</v>
      </c>
      <c r="O34" s="104">
        <f t="shared" si="4"/>
        <v>0.682070229451605</v>
      </c>
      <c r="P34" s="104">
        <f t="shared" si="4"/>
        <v>0.70700279651988596</v>
      </c>
      <c r="Q34" s="105">
        <f t="shared" si="4"/>
        <v>0.70916399250388829</v>
      </c>
      <c r="R34" s="17"/>
      <c r="S34" s="17"/>
    </row>
    <row r="35" spans="1:19" ht="13" x14ac:dyDescent="0.3">
      <c r="A35" s="417" t="s">
        <v>11</v>
      </c>
      <c r="B35" s="418"/>
      <c r="C35" s="418"/>
      <c r="D35" s="418"/>
      <c r="E35" s="418"/>
      <c r="F35" s="418"/>
      <c r="G35" s="418"/>
      <c r="H35" s="418"/>
      <c r="I35" s="418"/>
      <c r="J35" s="418"/>
      <c r="K35" s="418"/>
      <c r="L35" s="418"/>
      <c r="M35" s="418"/>
      <c r="N35" s="418"/>
      <c r="O35" s="418"/>
      <c r="P35" s="418"/>
      <c r="Q35" s="419"/>
      <c r="R35" s="17"/>
      <c r="S35" s="17"/>
    </row>
    <row r="36" spans="1:19" x14ac:dyDescent="0.25">
      <c r="A36" s="85" t="s">
        <v>2</v>
      </c>
      <c r="B36" s="92">
        <f>B15</f>
        <v>103.4</v>
      </c>
      <c r="C36" s="92">
        <f>C15</f>
        <v>104.3</v>
      </c>
      <c r="D36" s="95">
        <v>111.4</v>
      </c>
      <c r="E36" s="92">
        <v>105.4</v>
      </c>
      <c r="F36" s="92">
        <v>112.2</v>
      </c>
      <c r="G36" s="92">
        <v>106.4</v>
      </c>
      <c r="H36" s="92">
        <f>H15</f>
        <v>104.3</v>
      </c>
      <c r="I36" s="92">
        <f t="shared" ref="I36:L36" si="5">I15</f>
        <v>103.8</v>
      </c>
      <c r="J36" s="92">
        <f t="shared" si="5"/>
        <v>103</v>
      </c>
      <c r="K36" s="92">
        <f t="shared" si="5"/>
        <v>104</v>
      </c>
      <c r="L36" s="92">
        <f t="shared" si="5"/>
        <v>104</v>
      </c>
      <c r="M36" s="92">
        <f>M15</f>
        <v>102.5</v>
      </c>
      <c r="N36" s="92">
        <f>N15</f>
        <v>103.4</v>
      </c>
      <c r="O36" s="92">
        <f t="shared" ref="O36:Q36" si="6">O15</f>
        <v>104.3</v>
      </c>
      <c r="P36" s="92">
        <f t="shared" si="6"/>
        <v>103.8</v>
      </c>
      <c r="Q36" s="94">
        <f t="shared" si="6"/>
        <v>104</v>
      </c>
      <c r="R36" s="17"/>
      <c r="S36" s="17"/>
    </row>
    <row r="37" spans="1:19" ht="13" x14ac:dyDescent="0.25">
      <c r="A37" s="422" t="s">
        <v>446</v>
      </c>
      <c r="B37" s="423"/>
      <c r="C37" s="423"/>
      <c r="D37" s="423"/>
      <c r="E37" s="423"/>
      <c r="F37" s="423"/>
      <c r="G37" s="423"/>
      <c r="H37" s="423"/>
      <c r="I37" s="423"/>
      <c r="J37" s="423"/>
      <c r="K37" s="423"/>
      <c r="L37" s="423"/>
      <c r="M37" s="423"/>
      <c r="N37" s="423"/>
      <c r="O37" s="423"/>
      <c r="P37" s="423"/>
      <c r="Q37" s="424"/>
      <c r="R37" s="17"/>
      <c r="S37" s="17"/>
    </row>
    <row r="38" spans="1:19" x14ac:dyDescent="0.25">
      <c r="A38" s="85" t="s">
        <v>1</v>
      </c>
      <c r="B38" s="92">
        <v>43983.79</v>
      </c>
      <c r="C38" s="92">
        <v>46226.96</v>
      </c>
      <c r="D38" s="95">
        <v>33124.800000000003</v>
      </c>
      <c r="E38" s="92">
        <v>38117.96</v>
      </c>
      <c r="F38" s="92">
        <v>35127.129999999997</v>
      </c>
      <c r="G38" s="92">
        <v>36539.26</v>
      </c>
      <c r="H38" s="92">
        <v>45426.7</v>
      </c>
      <c r="I38" s="92">
        <v>48379.44</v>
      </c>
      <c r="J38" s="92">
        <v>51189.62</v>
      </c>
      <c r="K38" s="92">
        <v>54647.56</v>
      </c>
      <c r="L38" s="92">
        <v>58373.7</v>
      </c>
      <c r="M38" s="92">
        <v>40352.1</v>
      </c>
      <c r="N38" s="92">
        <v>43983.79</v>
      </c>
      <c r="O38" s="92">
        <v>46226.96</v>
      </c>
      <c r="P38" s="92">
        <v>48630.76</v>
      </c>
      <c r="Q38" s="94">
        <v>51743.13</v>
      </c>
      <c r="R38" s="17"/>
      <c r="S38" s="17"/>
    </row>
    <row r="39" spans="1:19" x14ac:dyDescent="0.25">
      <c r="A39" s="108" t="s">
        <v>2</v>
      </c>
      <c r="B39" s="92">
        <v>43008</v>
      </c>
      <c r="C39" s="92">
        <v>45639</v>
      </c>
      <c r="D39" s="95">
        <v>32495</v>
      </c>
      <c r="E39" s="92">
        <v>36709</v>
      </c>
      <c r="F39" s="92">
        <v>34352</v>
      </c>
      <c r="G39" s="92">
        <v>36838</v>
      </c>
      <c r="H39" s="92">
        <v>43724</v>
      </c>
      <c r="I39" s="92">
        <v>46432</v>
      </c>
      <c r="J39" s="92">
        <v>48942</v>
      </c>
      <c r="K39" s="92">
        <v>51904</v>
      </c>
      <c r="L39" s="92">
        <v>55295</v>
      </c>
      <c r="M39" s="92">
        <v>39167</v>
      </c>
      <c r="N39" s="92">
        <v>43008</v>
      </c>
      <c r="O39" s="92">
        <v>45639</v>
      </c>
      <c r="P39" s="92">
        <v>48099</v>
      </c>
      <c r="Q39" s="94">
        <v>51256</v>
      </c>
      <c r="R39" s="17"/>
      <c r="S39" s="17"/>
    </row>
    <row r="40" spans="1:19" ht="88" thickBot="1" x14ac:dyDescent="0.3">
      <c r="A40" s="109" t="s">
        <v>20</v>
      </c>
      <c r="B40" s="111">
        <f>+B38/B39</f>
        <v>1.0226885695684524</v>
      </c>
      <c r="C40" s="111">
        <f t="shared" ref="C40" si="7">+C38/C39</f>
        <v>1.0128828414294793</v>
      </c>
      <c r="D40" s="110">
        <f t="shared" ref="D40:Q40" si="8">+D38/D39</f>
        <v>1.0193814432989692</v>
      </c>
      <c r="E40" s="111">
        <f>+E38/E39</f>
        <v>1.0383818682067067</v>
      </c>
      <c r="F40" s="111">
        <f t="shared" si="8"/>
        <v>1.0225643339543549</v>
      </c>
      <c r="G40" s="111">
        <f t="shared" si="8"/>
        <v>0.99189043922037035</v>
      </c>
      <c r="H40" s="111">
        <f>+H38/H39</f>
        <v>1.0389419998170342</v>
      </c>
      <c r="I40" s="111">
        <f>+I38/I39</f>
        <v>1.0419417643004825</v>
      </c>
      <c r="J40" s="111">
        <f>+J38/J39</f>
        <v>1.0459241551223899</v>
      </c>
      <c r="K40" s="111">
        <f t="shared" ref="K40" si="9">+K38/K39</f>
        <v>1.0528583538840937</v>
      </c>
      <c r="L40" s="111">
        <f>+L38/L39</f>
        <v>1.0556777285468848</v>
      </c>
      <c r="M40" s="111">
        <f>+M38/M39</f>
        <v>1.0302576148288098</v>
      </c>
      <c r="N40" s="111">
        <f>+N38/N39</f>
        <v>1.0226885695684524</v>
      </c>
      <c r="O40" s="111">
        <f t="shared" si="8"/>
        <v>1.0128828414294793</v>
      </c>
      <c r="P40" s="111">
        <f t="shared" si="8"/>
        <v>1.0110555313000271</v>
      </c>
      <c r="Q40" s="112">
        <f t="shared" si="8"/>
        <v>1.0095038629623849</v>
      </c>
      <c r="R40" s="17"/>
      <c r="S40" s="17"/>
    </row>
    <row r="41" spans="1:19" ht="13.5" hidden="1" thickTop="1" x14ac:dyDescent="0.3">
      <c r="A41" s="1" t="s">
        <v>2</v>
      </c>
      <c r="B41" s="14"/>
      <c r="C41" s="14" t="e">
        <f>C9/#REF!</f>
        <v>#REF!</v>
      </c>
      <c r="D41" s="13" t="e">
        <f>D9/#REF!</f>
        <v>#REF!</v>
      </c>
      <c r="E41" s="9"/>
      <c r="F41" s="9" t="e">
        <f>F9/#REF!</f>
        <v>#REF!</v>
      </c>
      <c r="G41" s="14" t="e">
        <f>G9/#REF!</f>
        <v>#REF!</v>
      </c>
      <c r="H41" s="14"/>
      <c r="I41" s="14"/>
      <c r="J41" s="14" t="e">
        <f>J9/#REF!</f>
        <v>#REF!</v>
      </c>
      <c r="K41" s="14" t="e">
        <f>K9/#REF!</f>
        <v>#REF!</v>
      </c>
      <c r="L41" s="14" t="e">
        <f>L9/#REF!</f>
        <v>#REF!</v>
      </c>
      <c r="M41" s="14"/>
      <c r="N41" s="14"/>
      <c r="O41" s="14" t="e">
        <f>O9/#REF!</f>
        <v>#REF!</v>
      </c>
      <c r="P41" s="14" t="e">
        <f>P9/#REF!</f>
        <v>#REF!</v>
      </c>
      <c r="Q41" s="14" t="e">
        <f>Q9/#REF!</f>
        <v>#REF!</v>
      </c>
    </row>
    <row r="42" spans="1:19" ht="50.5" hidden="1" thickTop="1" x14ac:dyDescent="0.25">
      <c r="A42" s="12" t="s">
        <v>10</v>
      </c>
      <c r="B42" s="9"/>
      <c r="C42" s="9" t="e">
        <f t="shared" ref="C42:Q42" si="10">+C40/C41</f>
        <v>#REF!</v>
      </c>
      <c r="D42" s="13" t="e">
        <f t="shared" si="10"/>
        <v>#REF!</v>
      </c>
      <c r="E42" s="9"/>
      <c r="F42" s="9" t="e">
        <f t="shared" si="10"/>
        <v>#REF!</v>
      </c>
      <c r="G42" s="9" t="e">
        <f t="shared" si="10"/>
        <v>#REF!</v>
      </c>
      <c r="H42" s="9"/>
      <c r="I42" s="9"/>
      <c r="J42" s="9" t="e">
        <f t="shared" ref="J42:L42" si="11">+J40/J41</f>
        <v>#REF!</v>
      </c>
      <c r="K42" s="9" t="e">
        <f t="shared" si="11"/>
        <v>#REF!</v>
      </c>
      <c r="L42" s="9" t="e">
        <f t="shared" si="11"/>
        <v>#REF!</v>
      </c>
      <c r="M42" s="9"/>
      <c r="N42" s="9"/>
      <c r="O42" s="9" t="e">
        <f t="shared" si="10"/>
        <v>#REF!</v>
      </c>
      <c r="P42" s="9" t="e">
        <f t="shared" si="10"/>
        <v>#REF!</v>
      </c>
      <c r="Q42" s="9" t="e">
        <f t="shared" si="10"/>
        <v>#REF!</v>
      </c>
    </row>
    <row r="43" spans="1:19" ht="13.5" hidden="1" thickTop="1" x14ac:dyDescent="0.3">
      <c r="A43" s="425" t="s">
        <v>11</v>
      </c>
      <c r="B43" s="426"/>
      <c r="C43" s="426"/>
      <c r="D43" s="426"/>
      <c r="E43" s="426"/>
      <c r="F43" s="426"/>
      <c r="G43" s="426"/>
      <c r="H43" s="426"/>
      <c r="I43" s="426"/>
      <c r="J43" s="426"/>
      <c r="K43" s="426"/>
      <c r="L43" s="426"/>
      <c r="M43" s="426"/>
      <c r="N43" s="426"/>
      <c r="O43" s="426"/>
      <c r="P43" s="427"/>
      <c r="Q43" s="428"/>
    </row>
    <row r="44" spans="1:19" ht="13.5" hidden="1" thickTop="1" thickBot="1" x14ac:dyDescent="0.3">
      <c r="A44" s="1" t="s">
        <v>2</v>
      </c>
      <c r="B44" s="10"/>
      <c r="C44" s="10" t="s">
        <v>229</v>
      </c>
      <c r="D44" s="15">
        <v>106.6</v>
      </c>
      <c r="E44" s="16"/>
      <c r="F44" s="10">
        <v>106</v>
      </c>
      <c r="G44" s="10" t="s">
        <v>228</v>
      </c>
      <c r="H44" s="10"/>
      <c r="I44" s="10"/>
      <c r="J44" s="10" t="s">
        <v>229</v>
      </c>
      <c r="K44" s="11" t="s">
        <v>229</v>
      </c>
      <c r="L44" s="11" t="s">
        <v>229</v>
      </c>
      <c r="M44" s="10"/>
      <c r="N44" s="10"/>
      <c r="O44" s="10" t="s">
        <v>229</v>
      </c>
      <c r="P44" s="11" t="s">
        <v>229</v>
      </c>
      <c r="Q44" s="11" t="s">
        <v>229</v>
      </c>
    </row>
    <row r="45" spans="1:19" ht="13" thickTop="1" x14ac:dyDescent="0.25">
      <c r="B45" s="17"/>
      <c r="C45" s="17"/>
      <c r="D45" s="5"/>
      <c r="E45" s="17"/>
      <c r="F45" s="17"/>
      <c r="G45" s="17"/>
      <c r="H45" s="17"/>
      <c r="I45" s="17"/>
      <c r="J45" s="17">
        <f>J38/I38</f>
        <v>1.0580862449007264</v>
      </c>
      <c r="K45" s="17">
        <f>K38/J38</f>
        <v>1.0675515856534976</v>
      </c>
      <c r="L45" s="17">
        <f>L38/K38</f>
        <v>1.0681849290251935</v>
      </c>
      <c r="M45" s="17"/>
      <c r="N45" s="17"/>
      <c r="O45" s="17"/>
      <c r="P45" s="17"/>
      <c r="Q45" s="17"/>
    </row>
    <row r="46" spans="1:19" hidden="1" x14ac:dyDescent="0.25">
      <c r="C46" s="6">
        <f>B39*108/100</f>
        <v>46448.639999999999</v>
      </c>
      <c r="J46" s="6">
        <f>I39*108/100</f>
        <v>50146.559999999998</v>
      </c>
      <c r="K46" s="6">
        <f>J39*105.3/100</f>
        <v>51535.925999999999</v>
      </c>
      <c r="L46" s="6">
        <f>K39*105.6/100</f>
        <v>54810.623999999996</v>
      </c>
      <c r="O46" s="6">
        <f>N39*108/100</f>
        <v>46448.639999999999</v>
      </c>
      <c r="P46" s="6">
        <f>O39*105.3/100</f>
        <v>48057.866999999998</v>
      </c>
      <c r="Q46" s="6">
        <f>P39*105.6/100</f>
        <v>50792.543999999994</v>
      </c>
    </row>
  </sheetData>
  <mergeCells count="18">
    <mergeCell ref="A31:Q31"/>
    <mergeCell ref="A35:Q35"/>
    <mergeCell ref="A37:Q37"/>
    <mergeCell ref="A43:Q43"/>
    <mergeCell ref="B4:C4"/>
    <mergeCell ref="A10:Q10"/>
    <mergeCell ref="A13:Q13"/>
    <mergeCell ref="A16:Q16"/>
    <mergeCell ref="A19:Q19"/>
    <mergeCell ref="A22:Q22"/>
    <mergeCell ref="A25:Q25"/>
    <mergeCell ref="A28:Q28"/>
    <mergeCell ref="O1:Q1"/>
    <mergeCell ref="A2:Q2"/>
    <mergeCell ref="D4:Q4"/>
    <mergeCell ref="A7:Q7"/>
    <mergeCell ref="A4:A5"/>
    <mergeCell ref="J1:L1"/>
  </mergeCells>
  <dataValidations count="1">
    <dataValidation type="decimal" allowBlank="1" showInputMessage="1" showErrorMessage="1" errorTitle="Вводить можно только числа!" error="Ошибка ввода данных, см. методические рекомендации Раздел 1." sqref="D27:E27 D31:E31">
      <formula1>0</formula1>
      <formula2>9.99999999999999E+132</formula2>
    </dataValidation>
  </dataValidations>
  <pageMargins left="0.78740157480314965" right="0.15748031496062992" top="0.59055118110236227" bottom="0.59055118110236227" header="0.51181102362204722" footer="0.31496062992125984"/>
  <pageSetup paperSize="9" scale="82" fitToHeight="0" orientation="portrait" r:id="rId1"/>
  <headerFooter alignWithMargins="0">
    <oddFooter>&amp;C&amp;P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H74"/>
  <sheetViews>
    <sheetView topLeftCell="A4" zoomScaleNormal="100" workbookViewId="0">
      <pane xSplit="1" ySplit="4" topLeftCell="B8" activePane="bottomRight" state="frozen"/>
      <selection activeCell="A4" sqref="A4"/>
      <selection pane="topRight" activeCell="B4" sqref="B4"/>
      <selection pane="bottomLeft" activeCell="A8" sqref="A8"/>
      <selection pane="bottomRight" activeCell="C18" sqref="C18"/>
    </sheetView>
  </sheetViews>
  <sheetFormatPr defaultRowHeight="12.5" x14ac:dyDescent="0.25"/>
  <cols>
    <col min="1" max="1" width="48.26953125" style="5" customWidth="1"/>
    <col min="2" max="2" width="12.1796875" style="5" bestFit="1" customWidth="1"/>
    <col min="3" max="3" width="12.81640625" style="5" customWidth="1"/>
    <col min="4" max="4" width="13.81640625" style="5" customWidth="1"/>
    <col min="5" max="5" width="11.81640625" style="5" customWidth="1"/>
    <col min="6" max="6" width="13.54296875" style="5" bestFit="1" customWidth="1"/>
    <col min="7" max="7" width="12" style="5" customWidth="1"/>
    <col min="8" max="8" width="12" style="344" customWidth="1"/>
    <col min="9" max="246" width="8.7265625" style="344"/>
    <col min="247" max="247" width="46.453125" style="344" customWidth="1"/>
    <col min="248" max="250" width="11.1796875" style="344" bestFit="1" customWidth="1"/>
    <col min="251" max="251" width="12.81640625" style="344" customWidth="1"/>
    <col min="252" max="252" width="12.1796875" style="344" customWidth="1"/>
    <col min="253" max="253" width="11.81640625" style="344" customWidth="1"/>
    <col min="254" max="254" width="10.54296875" style="344" customWidth="1"/>
    <col min="255" max="255" width="10.453125" style="344" customWidth="1"/>
    <col min="256" max="256" width="11.453125" style="344" customWidth="1"/>
    <col min="257" max="257" width="11.81640625" style="344" customWidth="1"/>
    <col min="258" max="258" width="0.1796875" style="344" customWidth="1"/>
    <col min="259" max="263" width="0" style="344" hidden="1" customWidth="1"/>
    <col min="264" max="502" width="8.7265625" style="344"/>
    <col min="503" max="503" width="46.453125" style="344" customWidth="1"/>
    <col min="504" max="506" width="11.1796875" style="344" bestFit="1" customWidth="1"/>
    <col min="507" max="507" width="12.81640625" style="344" customWidth="1"/>
    <col min="508" max="508" width="12.1796875" style="344" customWidth="1"/>
    <col min="509" max="509" width="11.81640625" style="344" customWidth="1"/>
    <col min="510" max="510" width="10.54296875" style="344" customWidth="1"/>
    <col min="511" max="511" width="10.453125" style="344" customWidth="1"/>
    <col min="512" max="512" width="11.453125" style="344" customWidth="1"/>
    <col min="513" max="513" width="11.81640625" style="344" customWidth="1"/>
    <col min="514" max="514" width="0.1796875" style="344" customWidth="1"/>
    <col min="515" max="519" width="0" style="344" hidden="1" customWidth="1"/>
    <col min="520" max="758" width="8.7265625" style="344"/>
    <col min="759" max="759" width="46.453125" style="344" customWidth="1"/>
    <col min="760" max="762" width="11.1796875" style="344" bestFit="1" customWidth="1"/>
    <col min="763" max="763" width="12.81640625" style="344" customWidth="1"/>
    <col min="764" max="764" width="12.1796875" style="344" customWidth="1"/>
    <col min="765" max="765" width="11.81640625" style="344" customWidth="1"/>
    <col min="766" max="766" width="10.54296875" style="344" customWidth="1"/>
    <col min="767" max="767" width="10.453125" style="344" customWidth="1"/>
    <col min="768" max="768" width="11.453125" style="344" customWidth="1"/>
    <col min="769" max="769" width="11.81640625" style="344" customWidth="1"/>
    <col min="770" max="770" width="0.1796875" style="344" customWidth="1"/>
    <col min="771" max="775" width="0" style="344" hidden="1" customWidth="1"/>
    <col min="776" max="1014" width="8.7265625" style="344"/>
    <col min="1015" max="1015" width="46.453125" style="344" customWidth="1"/>
    <col min="1016" max="1018" width="11.1796875" style="344" bestFit="1" customWidth="1"/>
    <col min="1019" max="1019" width="12.81640625" style="344" customWidth="1"/>
    <col min="1020" max="1020" width="12.1796875" style="344" customWidth="1"/>
    <col min="1021" max="1021" width="11.81640625" style="344" customWidth="1"/>
    <col min="1022" max="1022" width="10.54296875" style="344" customWidth="1"/>
    <col min="1023" max="1023" width="10.453125" style="344" customWidth="1"/>
    <col min="1024" max="1024" width="11.453125" style="344" customWidth="1"/>
    <col min="1025" max="1025" width="11.81640625" style="344" customWidth="1"/>
    <col min="1026" max="1026" width="0.1796875" style="344" customWidth="1"/>
    <col min="1027" max="1031" width="0" style="344" hidden="1" customWidth="1"/>
    <col min="1032" max="1270" width="8.7265625" style="344"/>
    <col min="1271" max="1271" width="46.453125" style="344" customWidth="1"/>
    <col min="1272" max="1274" width="11.1796875" style="344" bestFit="1" customWidth="1"/>
    <col min="1275" max="1275" width="12.81640625" style="344" customWidth="1"/>
    <col min="1276" max="1276" width="12.1796875" style="344" customWidth="1"/>
    <col min="1277" max="1277" width="11.81640625" style="344" customWidth="1"/>
    <col min="1278" max="1278" width="10.54296875" style="344" customWidth="1"/>
    <col min="1279" max="1279" width="10.453125" style="344" customWidth="1"/>
    <col min="1280" max="1280" width="11.453125" style="344" customWidth="1"/>
    <col min="1281" max="1281" width="11.81640625" style="344" customWidth="1"/>
    <col min="1282" max="1282" width="0.1796875" style="344" customWidth="1"/>
    <col min="1283" max="1287" width="0" style="344" hidden="1" customWidth="1"/>
    <col min="1288" max="1526" width="8.7265625" style="344"/>
    <col min="1527" max="1527" width="46.453125" style="344" customWidth="1"/>
    <col min="1528" max="1530" width="11.1796875" style="344" bestFit="1" customWidth="1"/>
    <col min="1531" max="1531" width="12.81640625" style="344" customWidth="1"/>
    <col min="1532" max="1532" width="12.1796875" style="344" customWidth="1"/>
    <col min="1533" max="1533" width="11.81640625" style="344" customWidth="1"/>
    <col min="1534" max="1534" width="10.54296875" style="344" customWidth="1"/>
    <col min="1535" max="1535" width="10.453125" style="344" customWidth="1"/>
    <col min="1536" max="1536" width="11.453125" style="344" customWidth="1"/>
    <col min="1537" max="1537" width="11.81640625" style="344" customWidth="1"/>
    <col min="1538" max="1538" width="0.1796875" style="344" customWidth="1"/>
    <col min="1539" max="1543" width="0" style="344" hidden="1" customWidth="1"/>
    <col min="1544" max="1782" width="8.7265625" style="344"/>
    <col min="1783" max="1783" width="46.453125" style="344" customWidth="1"/>
    <col min="1784" max="1786" width="11.1796875" style="344" bestFit="1" customWidth="1"/>
    <col min="1787" max="1787" width="12.81640625" style="344" customWidth="1"/>
    <col min="1788" max="1788" width="12.1796875" style="344" customWidth="1"/>
    <col min="1789" max="1789" width="11.81640625" style="344" customWidth="1"/>
    <col min="1790" max="1790" width="10.54296875" style="344" customWidth="1"/>
    <col min="1791" max="1791" width="10.453125" style="344" customWidth="1"/>
    <col min="1792" max="1792" width="11.453125" style="344" customWidth="1"/>
    <col min="1793" max="1793" width="11.81640625" style="344" customWidth="1"/>
    <col min="1794" max="1794" width="0.1796875" style="344" customWidth="1"/>
    <col min="1795" max="1799" width="0" style="344" hidden="1" customWidth="1"/>
    <col min="1800" max="2038" width="8.7265625" style="344"/>
    <col min="2039" max="2039" width="46.453125" style="344" customWidth="1"/>
    <col min="2040" max="2042" width="11.1796875" style="344" bestFit="1" customWidth="1"/>
    <col min="2043" max="2043" width="12.81640625" style="344" customWidth="1"/>
    <col min="2044" max="2044" width="12.1796875" style="344" customWidth="1"/>
    <col min="2045" max="2045" width="11.81640625" style="344" customWidth="1"/>
    <col min="2046" max="2046" width="10.54296875" style="344" customWidth="1"/>
    <col min="2047" max="2047" width="10.453125" style="344" customWidth="1"/>
    <col min="2048" max="2048" width="11.453125" style="344" customWidth="1"/>
    <col min="2049" max="2049" width="11.81640625" style="344" customWidth="1"/>
    <col min="2050" max="2050" width="0.1796875" style="344" customWidth="1"/>
    <col min="2051" max="2055" width="0" style="344" hidden="1" customWidth="1"/>
    <col min="2056" max="2294" width="8.7265625" style="344"/>
    <col min="2295" max="2295" width="46.453125" style="344" customWidth="1"/>
    <col min="2296" max="2298" width="11.1796875" style="344" bestFit="1" customWidth="1"/>
    <col min="2299" max="2299" width="12.81640625" style="344" customWidth="1"/>
    <col min="2300" max="2300" width="12.1796875" style="344" customWidth="1"/>
    <col min="2301" max="2301" width="11.81640625" style="344" customWidth="1"/>
    <col min="2302" max="2302" width="10.54296875" style="344" customWidth="1"/>
    <col min="2303" max="2303" width="10.453125" style="344" customWidth="1"/>
    <col min="2304" max="2304" width="11.453125" style="344" customWidth="1"/>
    <col min="2305" max="2305" width="11.81640625" style="344" customWidth="1"/>
    <col min="2306" max="2306" width="0.1796875" style="344" customWidth="1"/>
    <col min="2307" max="2311" width="0" style="344" hidden="1" customWidth="1"/>
    <col min="2312" max="2550" width="8.7265625" style="344"/>
    <col min="2551" max="2551" width="46.453125" style="344" customWidth="1"/>
    <col min="2552" max="2554" width="11.1796875" style="344" bestFit="1" customWidth="1"/>
    <col min="2555" max="2555" width="12.81640625" style="344" customWidth="1"/>
    <col min="2556" max="2556" width="12.1796875" style="344" customWidth="1"/>
    <col min="2557" max="2557" width="11.81640625" style="344" customWidth="1"/>
    <col min="2558" max="2558" width="10.54296875" style="344" customWidth="1"/>
    <col min="2559" max="2559" width="10.453125" style="344" customWidth="1"/>
    <col min="2560" max="2560" width="11.453125" style="344" customWidth="1"/>
    <col min="2561" max="2561" width="11.81640625" style="344" customWidth="1"/>
    <col min="2562" max="2562" width="0.1796875" style="344" customWidth="1"/>
    <col min="2563" max="2567" width="0" style="344" hidden="1" customWidth="1"/>
    <col min="2568" max="2806" width="8.7265625" style="344"/>
    <col min="2807" max="2807" width="46.453125" style="344" customWidth="1"/>
    <col min="2808" max="2810" width="11.1796875" style="344" bestFit="1" customWidth="1"/>
    <col min="2811" max="2811" width="12.81640625" style="344" customWidth="1"/>
    <col min="2812" max="2812" width="12.1796875" style="344" customWidth="1"/>
    <col min="2813" max="2813" width="11.81640625" style="344" customWidth="1"/>
    <col min="2814" max="2814" width="10.54296875" style="344" customWidth="1"/>
    <col min="2815" max="2815" width="10.453125" style="344" customWidth="1"/>
    <col min="2816" max="2816" width="11.453125" style="344" customWidth="1"/>
    <col min="2817" max="2817" width="11.81640625" style="344" customWidth="1"/>
    <col min="2818" max="2818" width="0.1796875" style="344" customWidth="1"/>
    <col min="2819" max="2823" width="0" style="344" hidden="1" customWidth="1"/>
    <col min="2824" max="3062" width="8.7265625" style="344"/>
    <col min="3063" max="3063" width="46.453125" style="344" customWidth="1"/>
    <col min="3064" max="3066" width="11.1796875" style="344" bestFit="1" customWidth="1"/>
    <col min="3067" max="3067" width="12.81640625" style="344" customWidth="1"/>
    <col min="3068" max="3068" width="12.1796875" style="344" customWidth="1"/>
    <col min="3069" max="3069" width="11.81640625" style="344" customWidth="1"/>
    <col min="3070" max="3070" width="10.54296875" style="344" customWidth="1"/>
    <col min="3071" max="3071" width="10.453125" style="344" customWidth="1"/>
    <col min="3072" max="3072" width="11.453125" style="344" customWidth="1"/>
    <col min="3073" max="3073" width="11.81640625" style="344" customWidth="1"/>
    <col min="3074" max="3074" width="0.1796875" style="344" customWidth="1"/>
    <col min="3075" max="3079" width="0" style="344" hidden="1" customWidth="1"/>
    <col min="3080" max="3318" width="8.7265625" style="344"/>
    <col min="3319" max="3319" width="46.453125" style="344" customWidth="1"/>
    <col min="3320" max="3322" width="11.1796875" style="344" bestFit="1" customWidth="1"/>
    <col min="3323" max="3323" width="12.81640625" style="344" customWidth="1"/>
    <col min="3324" max="3324" width="12.1796875" style="344" customWidth="1"/>
    <col min="3325" max="3325" width="11.81640625" style="344" customWidth="1"/>
    <col min="3326" max="3326" width="10.54296875" style="344" customWidth="1"/>
    <col min="3327" max="3327" width="10.453125" style="344" customWidth="1"/>
    <col min="3328" max="3328" width="11.453125" style="344" customWidth="1"/>
    <col min="3329" max="3329" width="11.81640625" style="344" customWidth="1"/>
    <col min="3330" max="3330" width="0.1796875" style="344" customWidth="1"/>
    <col min="3331" max="3335" width="0" style="344" hidden="1" customWidth="1"/>
    <col min="3336" max="3574" width="8.7265625" style="344"/>
    <col min="3575" max="3575" width="46.453125" style="344" customWidth="1"/>
    <col min="3576" max="3578" width="11.1796875" style="344" bestFit="1" customWidth="1"/>
    <col min="3579" max="3579" width="12.81640625" style="344" customWidth="1"/>
    <col min="3580" max="3580" width="12.1796875" style="344" customWidth="1"/>
    <col min="3581" max="3581" width="11.81640625" style="344" customWidth="1"/>
    <col min="3582" max="3582" width="10.54296875" style="344" customWidth="1"/>
    <col min="3583" max="3583" width="10.453125" style="344" customWidth="1"/>
    <col min="3584" max="3584" width="11.453125" style="344" customWidth="1"/>
    <col min="3585" max="3585" width="11.81640625" style="344" customWidth="1"/>
    <col min="3586" max="3586" width="0.1796875" style="344" customWidth="1"/>
    <col min="3587" max="3591" width="0" style="344" hidden="1" customWidth="1"/>
    <col min="3592" max="3830" width="8.7265625" style="344"/>
    <col min="3831" max="3831" width="46.453125" style="344" customWidth="1"/>
    <col min="3832" max="3834" width="11.1796875" style="344" bestFit="1" customWidth="1"/>
    <col min="3835" max="3835" width="12.81640625" style="344" customWidth="1"/>
    <col min="3836" max="3836" width="12.1796875" style="344" customWidth="1"/>
    <col min="3837" max="3837" width="11.81640625" style="344" customWidth="1"/>
    <col min="3838" max="3838" width="10.54296875" style="344" customWidth="1"/>
    <col min="3839" max="3839" width="10.453125" style="344" customWidth="1"/>
    <col min="3840" max="3840" width="11.453125" style="344" customWidth="1"/>
    <col min="3841" max="3841" width="11.81640625" style="344" customWidth="1"/>
    <col min="3842" max="3842" width="0.1796875" style="344" customWidth="1"/>
    <col min="3843" max="3847" width="0" style="344" hidden="1" customWidth="1"/>
    <col min="3848" max="4086" width="8.7265625" style="344"/>
    <col min="4087" max="4087" width="46.453125" style="344" customWidth="1"/>
    <col min="4088" max="4090" width="11.1796875" style="344" bestFit="1" customWidth="1"/>
    <col min="4091" max="4091" width="12.81640625" style="344" customWidth="1"/>
    <col min="4092" max="4092" width="12.1796875" style="344" customWidth="1"/>
    <col min="4093" max="4093" width="11.81640625" style="344" customWidth="1"/>
    <col min="4094" max="4094" width="10.54296875" style="344" customWidth="1"/>
    <col min="4095" max="4095" width="10.453125" style="344" customWidth="1"/>
    <col min="4096" max="4096" width="11.453125" style="344" customWidth="1"/>
    <col min="4097" max="4097" width="11.81640625" style="344" customWidth="1"/>
    <col min="4098" max="4098" width="0.1796875" style="344" customWidth="1"/>
    <col min="4099" max="4103" width="0" style="344" hidden="1" customWidth="1"/>
    <col min="4104" max="4342" width="8.7265625" style="344"/>
    <col min="4343" max="4343" width="46.453125" style="344" customWidth="1"/>
    <col min="4344" max="4346" width="11.1796875" style="344" bestFit="1" customWidth="1"/>
    <col min="4347" max="4347" width="12.81640625" style="344" customWidth="1"/>
    <col min="4348" max="4348" width="12.1796875" style="344" customWidth="1"/>
    <col min="4349" max="4349" width="11.81640625" style="344" customWidth="1"/>
    <col min="4350" max="4350" width="10.54296875" style="344" customWidth="1"/>
    <col min="4351" max="4351" width="10.453125" style="344" customWidth="1"/>
    <col min="4352" max="4352" width="11.453125" style="344" customWidth="1"/>
    <col min="4353" max="4353" width="11.81640625" style="344" customWidth="1"/>
    <col min="4354" max="4354" width="0.1796875" style="344" customWidth="1"/>
    <col min="4355" max="4359" width="0" style="344" hidden="1" customWidth="1"/>
    <col min="4360" max="4598" width="8.7265625" style="344"/>
    <col min="4599" max="4599" width="46.453125" style="344" customWidth="1"/>
    <col min="4600" max="4602" width="11.1796875" style="344" bestFit="1" customWidth="1"/>
    <col min="4603" max="4603" width="12.81640625" style="344" customWidth="1"/>
    <col min="4604" max="4604" width="12.1796875" style="344" customWidth="1"/>
    <col min="4605" max="4605" width="11.81640625" style="344" customWidth="1"/>
    <col min="4606" max="4606" width="10.54296875" style="344" customWidth="1"/>
    <col min="4607" max="4607" width="10.453125" style="344" customWidth="1"/>
    <col min="4608" max="4608" width="11.453125" style="344" customWidth="1"/>
    <col min="4609" max="4609" width="11.81640625" style="344" customWidth="1"/>
    <col min="4610" max="4610" width="0.1796875" style="344" customWidth="1"/>
    <col min="4611" max="4615" width="0" style="344" hidden="1" customWidth="1"/>
    <col min="4616" max="4854" width="8.7265625" style="344"/>
    <col min="4855" max="4855" width="46.453125" style="344" customWidth="1"/>
    <col min="4856" max="4858" width="11.1796875" style="344" bestFit="1" customWidth="1"/>
    <col min="4859" max="4859" width="12.81640625" style="344" customWidth="1"/>
    <col min="4860" max="4860" width="12.1796875" style="344" customWidth="1"/>
    <col min="4861" max="4861" width="11.81640625" style="344" customWidth="1"/>
    <col min="4862" max="4862" width="10.54296875" style="344" customWidth="1"/>
    <col min="4863" max="4863" width="10.453125" style="344" customWidth="1"/>
    <col min="4864" max="4864" width="11.453125" style="344" customWidth="1"/>
    <col min="4865" max="4865" width="11.81640625" style="344" customWidth="1"/>
    <col min="4866" max="4866" width="0.1796875" style="344" customWidth="1"/>
    <col min="4867" max="4871" width="0" style="344" hidden="1" customWidth="1"/>
    <col min="4872" max="5110" width="8.7265625" style="344"/>
    <col min="5111" max="5111" width="46.453125" style="344" customWidth="1"/>
    <col min="5112" max="5114" width="11.1796875" style="344" bestFit="1" customWidth="1"/>
    <col min="5115" max="5115" width="12.81640625" style="344" customWidth="1"/>
    <col min="5116" max="5116" width="12.1796875" style="344" customWidth="1"/>
    <col min="5117" max="5117" width="11.81640625" style="344" customWidth="1"/>
    <col min="5118" max="5118" width="10.54296875" style="344" customWidth="1"/>
    <col min="5119" max="5119" width="10.453125" style="344" customWidth="1"/>
    <col min="5120" max="5120" width="11.453125" style="344" customWidth="1"/>
    <col min="5121" max="5121" width="11.81640625" style="344" customWidth="1"/>
    <col min="5122" max="5122" width="0.1796875" style="344" customWidth="1"/>
    <col min="5123" max="5127" width="0" style="344" hidden="1" customWidth="1"/>
    <col min="5128" max="5366" width="8.7265625" style="344"/>
    <col min="5367" max="5367" width="46.453125" style="344" customWidth="1"/>
    <col min="5368" max="5370" width="11.1796875" style="344" bestFit="1" customWidth="1"/>
    <col min="5371" max="5371" width="12.81640625" style="344" customWidth="1"/>
    <col min="5372" max="5372" width="12.1796875" style="344" customWidth="1"/>
    <col min="5373" max="5373" width="11.81640625" style="344" customWidth="1"/>
    <col min="5374" max="5374" width="10.54296875" style="344" customWidth="1"/>
    <col min="5375" max="5375" width="10.453125" style="344" customWidth="1"/>
    <col min="5376" max="5376" width="11.453125" style="344" customWidth="1"/>
    <col min="5377" max="5377" width="11.81640625" style="344" customWidth="1"/>
    <col min="5378" max="5378" width="0.1796875" style="344" customWidth="1"/>
    <col min="5379" max="5383" width="0" style="344" hidden="1" customWidth="1"/>
    <col min="5384" max="5622" width="8.7265625" style="344"/>
    <col min="5623" max="5623" width="46.453125" style="344" customWidth="1"/>
    <col min="5624" max="5626" width="11.1796875" style="344" bestFit="1" customWidth="1"/>
    <col min="5627" max="5627" width="12.81640625" style="344" customWidth="1"/>
    <col min="5628" max="5628" width="12.1796875" style="344" customWidth="1"/>
    <col min="5629" max="5629" width="11.81640625" style="344" customWidth="1"/>
    <col min="5630" max="5630" width="10.54296875" style="344" customWidth="1"/>
    <col min="5631" max="5631" width="10.453125" style="344" customWidth="1"/>
    <col min="5632" max="5632" width="11.453125" style="344" customWidth="1"/>
    <col min="5633" max="5633" width="11.81640625" style="344" customWidth="1"/>
    <col min="5634" max="5634" width="0.1796875" style="344" customWidth="1"/>
    <col min="5635" max="5639" width="0" style="344" hidden="1" customWidth="1"/>
    <col min="5640" max="5878" width="8.7265625" style="344"/>
    <col min="5879" max="5879" width="46.453125" style="344" customWidth="1"/>
    <col min="5880" max="5882" width="11.1796875" style="344" bestFit="1" customWidth="1"/>
    <col min="5883" max="5883" width="12.81640625" style="344" customWidth="1"/>
    <col min="5884" max="5884" width="12.1796875" style="344" customWidth="1"/>
    <col min="5885" max="5885" width="11.81640625" style="344" customWidth="1"/>
    <col min="5886" max="5886" width="10.54296875" style="344" customWidth="1"/>
    <col min="5887" max="5887" width="10.453125" style="344" customWidth="1"/>
    <col min="5888" max="5888" width="11.453125" style="344" customWidth="1"/>
    <col min="5889" max="5889" width="11.81640625" style="344" customWidth="1"/>
    <col min="5890" max="5890" width="0.1796875" style="344" customWidth="1"/>
    <col min="5891" max="5895" width="0" style="344" hidden="1" customWidth="1"/>
    <col min="5896" max="6134" width="8.7265625" style="344"/>
    <col min="6135" max="6135" width="46.453125" style="344" customWidth="1"/>
    <col min="6136" max="6138" width="11.1796875" style="344" bestFit="1" customWidth="1"/>
    <col min="6139" max="6139" width="12.81640625" style="344" customWidth="1"/>
    <col min="6140" max="6140" width="12.1796875" style="344" customWidth="1"/>
    <col min="6141" max="6141" width="11.81640625" style="344" customWidth="1"/>
    <col min="6142" max="6142" width="10.54296875" style="344" customWidth="1"/>
    <col min="6143" max="6143" width="10.453125" style="344" customWidth="1"/>
    <col min="6144" max="6144" width="11.453125" style="344" customWidth="1"/>
    <col min="6145" max="6145" width="11.81640625" style="344" customWidth="1"/>
    <col min="6146" max="6146" width="0.1796875" style="344" customWidth="1"/>
    <col min="6147" max="6151" width="0" style="344" hidden="1" customWidth="1"/>
    <col min="6152" max="6390" width="8.7265625" style="344"/>
    <col min="6391" max="6391" width="46.453125" style="344" customWidth="1"/>
    <col min="6392" max="6394" width="11.1796875" style="344" bestFit="1" customWidth="1"/>
    <col min="6395" max="6395" width="12.81640625" style="344" customWidth="1"/>
    <col min="6396" max="6396" width="12.1796875" style="344" customWidth="1"/>
    <col min="6397" max="6397" width="11.81640625" style="344" customWidth="1"/>
    <col min="6398" max="6398" width="10.54296875" style="344" customWidth="1"/>
    <col min="6399" max="6399" width="10.453125" style="344" customWidth="1"/>
    <col min="6400" max="6400" width="11.453125" style="344" customWidth="1"/>
    <col min="6401" max="6401" width="11.81640625" style="344" customWidth="1"/>
    <col min="6402" max="6402" width="0.1796875" style="344" customWidth="1"/>
    <col min="6403" max="6407" width="0" style="344" hidden="1" customWidth="1"/>
    <col min="6408" max="6646" width="8.7265625" style="344"/>
    <col min="6647" max="6647" width="46.453125" style="344" customWidth="1"/>
    <col min="6648" max="6650" width="11.1796875" style="344" bestFit="1" customWidth="1"/>
    <col min="6651" max="6651" width="12.81640625" style="344" customWidth="1"/>
    <col min="6652" max="6652" width="12.1796875" style="344" customWidth="1"/>
    <col min="6653" max="6653" width="11.81640625" style="344" customWidth="1"/>
    <col min="6654" max="6654" width="10.54296875" style="344" customWidth="1"/>
    <col min="6655" max="6655" width="10.453125" style="344" customWidth="1"/>
    <col min="6656" max="6656" width="11.453125" style="344" customWidth="1"/>
    <col min="6657" max="6657" width="11.81640625" style="344" customWidth="1"/>
    <col min="6658" max="6658" width="0.1796875" style="344" customWidth="1"/>
    <col min="6659" max="6663" width="0" style="344" hidden="1" customWidth="1"/>
    <col min="6664" max="6902" width="8.7265625" style="344"/>
    <col min="6903" max="6903" width="46.453125" style="344" customWidth="1"/>
    <col min="6904" max="6906" width="11.1796875" style="344" bestFit="1" customWidth="1"/>
    <col min="6907" max="6907" width="12.81640625" style="344" customWidth="1"/>
    <col min="6908" max="6908" width="12.1796875" style="344" customWidth="1"/>
    <col min="6909" max="6909" width="11.81640625" style="344" customWidth="1"/>
    <col min="6910" max="6910" width="10.54296875" style="344" customWidth="1"/>
    <col min="6911" max="6911" width="10.453125" style="344" customWidth="1"/>
    <col min="6912" max="6912" width="11.453125" style="344" customWidth="1"/>
    <col min="6913" max="6913" width="11.81640625" style="344" customWidth="1"/>
    <col min="6914" max="6914" width="0.1796875" style="344" customWidth="1"/>
    <col min="6915" max="6919" width="0" style="344" hidden="1" customWidth="1"/>
    <col min="6920" max="7158" width="8.7265625" style="344"/>
    <col min="7159" max="7159" width="46.453125" style="344" customWidth="1"/>
    <col min="7160" max="7162" width="11.1796875" style="344" bestFit="1" customWidth="1"/>
    <col min="7163" max="7163" width="12.81640625" style="344" customWidth="1"/>
    <col min="7164" max="7164" width="12.1796875" style="344" customWidth="1"/>
    <col min="7165" max="7165" width="11.81640625" style="344" customWidth="1"/>
    <col min="7166" max="7166" width="10.54296875" style="344" customWidth="1"/>
    <col min="7167" max="7167" width="10.453125" style="344" customWidth="1"/>
    <col min="7168" max="7168" width="11.453125" style="344" customWidth="1"/>
    <col min="7169" max="7169" width="11.81640625" style="344" customWidth="1"/>
    <col min="7170" max="7170" width="0.1796875" style="344" customWidth="1"/>
    <col min="7171" max="7175" width="0" style="344" hidden="1" customWidth="1"/>
    <col min="7176" max="7414" width="8.7265625" style="344"/>
    <col min="7415" max="7415" width="46.453125" style="344" customWidth="1"/>
    <col min="7416" max="7418" width="11.1796875" style="344" bestFit="1" customWidth="1"/>
    <col min="7419" max="7419" width="12.81640625" style="344" customWidth="1"/>
    <col min="7420" max="7420" width="12.1796875" style="344" customWidth="1"/>
    <col min="7421" max="7421" width="11.81640625" style="344" customWidth="1"/>
    <col min="7422" max="7422" width="10.54296875" style="344" customWidth="1"/>
    <col min="7423" max="7423" width="10.453125" style="344" customWidth="1"/>
    <col min="7424" max="7424" width="11.453125" style="344" customWidth="1"/>
    <col min="7425" max="7425" width="11.81640625" style="344" customWidth="1"/>
    <col min="7426" max="7426" width="0.1796875" style="344" customWidth="1"/>
    <col min="7427" max="7431" width="0" style="344" hidden="1" customWidth="1"/>
    <col min="7432" max="7670" width="8.7265625" style="344"/>
    <col min="7671" max="7671" width="46.453125" style="344" customWidth="1"/>
    <col min="7672" max="7674" width="11.1796875" style="344" bestFit="1" customWidth="1"/>
    <col min="7675" max="7675" width="12.81640625" style="344" customWidth="1"/>
    <col min="7676" max="7676" width="12.1796875" style="344" customWidth="1"/>
    <col min="7677" max="7677" width="11.81640625" style="344" customWidth="1"/>
    <col min="7678" max="7678" width="10.54296875" style="344" customWidth="1"/>
    <col min="7679" max="7679" width="10.453125" style="344" customWidth="1"/>
    <col min="7680" max="7680" width="11.453125" style="344" customWidth="1"/>
    <col min="7681" max="7681" width="11.81640625" style="344" customWidth="1"/>
    <col min="7682" max="7682" width="0.1796875" style="344" customWidth="1"/>
    <col min="7683" max="7687" width="0" style="344" hidden="1" customWidth="1"/>
    <col min="7688" max="7926" width="8.7265625" style="344"/>
    <col min="7927" max="7927" width="46.453125" style="344" customWidth="1"/>
    <col min="7928" max="7930" width="11.1796875" style="344" bestFit="1" customWidth="1"/>
    <col min="7931" max="7931" width="12.81640625" style="344" customWidth="1"/>
    <col min="7932" max="7932" width="12.1796875" style="344" customWidth="1"/>
    <col min="7933" max="7933" width="11.81640625" style="344" customWidth="1"/>
    <col min="7934" max="7934" width="10.54296875" style="344" customWidth="1"/>
    <col min="7935" max="7935" width="10.453125" style="344" customWidth="1"/>
    <col min="7936" max="7936" width="11.453125" style="344" customWidth="1"/>
    <col min="7937" max="7937" width="11.81640625" style="344" customWidth="1"/>
    <col min="7938" max="7938" width="0.1796875" style="344" customWidth="1"/>
    <col min="7939" max="7943" width="0" style="344" hidden="1" customWidth="1"/>
    <col min="7944" max="8182" width="8.7265625" style="344"/>
    <col min="8183" max="8183" width="46.453125" style="344" customWidth="1"/>
    <col min="8184" max="8186" width="11.1796875" style="344" bestFit="1" customWidth="1"/>
    <col min="8187" max="8187" width="12.81640625" style="344" customWidth="1"/>
    <col min="8188" max="8188" width="12.1796875" style="344" customWidth="1"/>
    <col min="8189" max="8189" width="11.81640625" style="344" customWidth="1"/>
    <col min="8190" max="8190" width="10.54296875" style="344" customWidth="1"/>
    <col min="8191" max="8191" width="10.453125" style="344" customWidth="1"/>
    <col min="8192" max="8192" width="11.453125" style="344" customWidth="1"/>
    <col min="8193" max="8193" width="11.81640625" style="344" customWidth="1"/>
    <col min="8194" max="8194" width="0.1796875" style="344" customWidth="1"/>
    <col min="8195" max="8199" width="0" style="344" hidden="1" customWidth="1"/>
    <col min="8200" max="8438" width="8.7265625" style="344"/>
    <col min="8439" max="8439" width="46.453125" style="344" customWidth="1"/>
    <col min="8440" max="8442" width="11.1796875" style="344" bestFit="1" customWidth="1"/>
    <col min="8443" max="8443" width="12.81640625" style="344" customWidth="1"/>
    <col min="8444" max="8444" width="12.1796875" style="344" customWidth="1"/>
    <col min="8445" max="8445" width="11.81640625" style="344" customWidth="1"/>
    <col min="8446" max="8446" width="10.54296875" style="344" customWidth="1"/>
    <col min="8447" max="8447" width="10.453125" style="344" customWidth="1"/>
    <col min="8448" max="8448" width="11.453125" style="344" customWidth="1"/>
    <col min="8449" max="8449" width="11.81640625" style="344" customWidth="1"/>
    <col min="8450" max="8450" width="0.1796875" style="344" customWidth="1"/>
    <col min="8451" max="8455" width="0" style="344" hidden="1" customWidth="1"/>
    <col min="8456" max="8694" width="8.7265625" style="344"/>
    <col min="8695" max="8695" width="46.453125" style="344" customWidth="1"/>
    <col min="8696" max="8698" width="11.1796875" style="344" bestFit="1" customWidth="1"/>
    <col min="8699" max="8699" width="12.81640625" style="344" customWidth="1"/>
    <col min="8700" max="8700" width="12.1796875" style="344" customWidth="1"/>
    <col min="8701" max="8701" width="11.81640625" style="344" customWidth="1"/>
    <col min="8702" max="8702" width="10.54296875" style="344" customWidth="1"/>
    <col min="8703" max="8703" width="10.453125" style="344" customWidth="1"/>
    <col min="8704" max="8704" width="11.453125" style="344" customWidth="1"/>
    <col min="8705" max="8705" width="11.81640625" style="344" customWidth="1"/>
    <col min="8706" max="8706" width="0.1796875" style="344" customWidth="1"/>
    <col min="8707" max="8711" width="0" style="344" hidden="1" customWidth="1"/>
    <col min="8712" max="8950" width="8.7265625" style="344"/>
    <col min="8951" max="8951" width="46.453125" style="344" customWidth="1"/>
    <col min="8952" max="8954" width="11.1796875" style="344" bestFit="1" customWidth="1"/>
    <col min="8955" max="8955" width="12.81640625" style="344" customWidth="1"/>
    <col min="8956" max="8956" width="12.1796875" style="344" customWidth="1"/>
    <col min="8957" max="8957" width="11.81640625" style="344" customWidth="1"/>
    <col min="8958" max="8958" width="10.54296875" style="344" customWidth="1"/>
    <col min="8959" max="8959" width="10.453125" style="344" customWidth="1"/>
    <col min="8960" max="8960" width="11.453125" style="344" customWidth="1"/>
    <col min="8961" max="8961" width="11.81640625" style="344" customWidth="1"/>
    <col min="8962" max="8962" width="0.1796875" style="344" customWidth="1"/>
    <col min="8963" max="8967" width="0" style="344" hidden="1" customWidth="1"/>
    <col min="8968" max="9206" width="8.7265625" style="344"/>
    <col min="9207" max="9207" width="46.453125" style="344" customWidth="1"/>
    <col min="9208" max="9210" width="11.1796875" style="344" bestFit="1" customWidth="1"/>
    <col min="9211" max="9211" width="12.81640625" style="344" customWidth="1"/>
    <col min="9212" max="9212" width="12.1796875" style="344" customWidth="1"/>
    <col min="9213" max="9213" width="11.81640625" style="344" customWidth="1"/>
    <col min="9214" max="9214" width="10.54296875" style="344" customWidth="1"/>
    <col min="9215" max="9215" width="10.453125" style="344" customWidth="1"/>
    <col min="9216" max="9216" width="11.453125" style="344" customWidth="1"/>
    <col min="9217" max="9217" width="11.81640625" style="344" customWidth="1"/>
    <col min="9218" max="9218" width="0.1796875" style="344" customWidth="1"/>
    <col min="9219" max="9223" width="0" style="344" hidden="1" customWidth="1"/>
    <col min="9224" max="9462" width="8.7265625" style="344"/>
    <col min="9463" max="9463" width="46.453125" style="344" customWidth="1"/>
    <col min="9464" max="9466" width="11.1796875" style="344" bestFit="1" customWidth="1"/>
    <col min="9467" max="9467" width="12.81640625" style="344" customWidth="1"/>
    <col min="9468" max="9468" width="12.1796875" style="344" customWidth="1"/>
    <col min="9469" max="9469" width="11.81640625" style="344" customWidth="1"/>
    <col min="9470" max="9470" width="10.54296875" style="344" customWidth="1"/>
    <col min="9471" max="9471" width="10.453125" style="344" customWidth="1"/>
    <col min="9472" max="9472" width="11.453125" style="344" customWidth="1"/>
    <col min="9473" max="9473" width="11.81640625" style="344" customWidth="1"/>
    <col min="9474" max="9474" width="0.1796875" style="344" customWidth="1"/>
    <col min="9475" max="9479" width="0" style="344" hidden="1" customWidth="1"/>
    <col min="9480" max="9718" width="8.7265625" style="344"/>
    <col min="9719" max="9719" width="46.453125" style="344" customWidth="1"/>
    <col min="9720" max="9722" width="11.1796875" style="344" bestFit="1" customWidth="1"/>
    <col min="9723" max="9723" width="12.81640625" style="344" customWidth="1"/>
    <col min="9724" max="9724" width="12.1796875" style="344" customWidth="1"/>
    <col min="9725" max="9725" width="11.81640625" style="344" customWidth="1"/>
    <col min="9726" max="9726" width="10.54296875" style="344" customWidth="1"/>
    <col min="9727" max="9727" width="10.453125" style="344" customWidth="1"/>
    <col min="9728" max="9728" width="11.453125" style="344" customWidth="1"/>
    <col min="9729" max="9729" width="11.81640625" style="344" customWidth="1"/>
    <col min="9730" max="9730" width="0.1796875" style="344" customWidth="1"/>
    <col min="9731" max="9735" width="0" style="344" hidden="1" customWidth="1"/>
    <col min="9736" max="9974" width="8.7265625" style="344"/>
    <col min="9975" max="9975" width="46.453125" style="344" customWidth="1"/>
    <col min="9976" max="9978" width="11.1796875" style="344" bestFit="1" customWidth="1"/>
    <col min="9979" max="9979" width="12.81640625" style="344" customWidth="1"/>
    <col min="9980" max="9980" width="12.1796875" style="344" customWidth="1"/>
    <col min="9981" max="9981" width="11.81640625" style="344" customWidth="1"/>
    <col min="9982" max="9982" width="10.54296875" style="344" customWidth="1"/>
    <col min="9983" max="9983" width="10.453125" style="344" customWidth="1"/>
    <col min="9984" max="9984" width="11.453125" style="344" customWidth="1"/>
    <col min="9985" max="9985" width="11.81640625" style="344" customWidth="1"/>
    <col min="9986" max="9986" width="0.1796875" style="344" customWidth="1"/>
    <col min="9987" max="9991" width="0" style="344" hidden="1" customWidth="1"/>
    <col min="9992" max="10230" width="8.7265625" style="344"/>
    <col min="10231" max="10231" width="46.453125" style="344" customWidth="1"/>
    <col min="10232" max="10234" width="11.1796875" style="344" bestFit="1" customWidth="1"/>
    <col min="10235" max="10235" width="12.81640625" style="344" customWidth="1"/>
    <col min="10236" max="10236" width="12.1796875" style="344" customWidth="1"/>
    <col min="10237" max="10237" width="11.81640625" style="344" customWidth="1"/>
    <col min="10238" max="10238" width="10.54296875" style="344" customWidth="1"/>
    <col min="10239" max="10239" width="10.453125" style="344" customWidth="1"/>
    <col min="10240" max="10240" width="11.453125" style="344" customWidth="1"/>
    <col min="10241" max="10241" width="11.81640625" style="344" customWidth="1"/>
    <col min="10242" max="10242" width="0.1796875" style="344" customWidth="1"/>
    <col min="10243" max="10247" width="0" style="344" hidden="1" customWidth="1"/>
    <col min="10248" max="10486" width="8.7265625" style="344"/>
    <col min="10487" max="10487" width="46.453125" style="344" customWidth="1"/>
    <col min="10488" max="10490" width="11.1796875" style="344" bestFit="1" customWidth="1"/>
    <col min="10491" max="10491" width="12.81640625" style="344" customWidth="1"/>
    <col min="10492" max="10492" width="12.1796875" style="344" customWidth="1"/>
    <col min="10493" max="10493" width="11.81640625" style="344" customWidth="1"/>
    <col min="10494" max="10494" width="10.54296875" style="344" customWidth="1"/>
    <col min="10495" max="10495" width="10.453125" style="344" customWidth="1"/>
    <col min="10496" max="10496" width="11.453125" style="344" customWidth="1"/>
    <col min="10497" max="10497" width="11.81640625" style="344" customWidth="1"/>
    <col min="10498" max="10498" width="0.1796875" style="344" customWidth="1"/>
    <col min="10499" max="10503" width="0" style="344" hidden="1" customWidth="1"/>
    <col min="10504" max="10742" width="8.7265625" style="344"/>
    <col min="10743" max="10743" width="46.453125" style="344" customWidth="1"/>
    <col min="10744" max="10746" width="11.1796875" style="344" bestFit="1" customWidth="1"/>
    <col min="10747" max="10747" width="12.81640625" style="344" customWidth="1"/>
    <col min="10748" max="10748" width="12.1796875" style="344" customWidth="1"/>
    <col min="10749" max="10749" width="11.81640625" style="344" customWidth="1"/>
    <col min="10750" max="10750" width="10.54296875" style="344" customWidth="1"/>
    <col min="10751" max="10751" width="10.453125" style="344" customWidth="1"/>
    <col min="10752" max="10752" width="11.453125" style="344" customWidth="1"/>
    <col min="10753" max="10753" width="11.81640625" style="344" customWidth="1"/>
    <col min="10754" max="10754" width="0.1796875" style="344" customWidth="1"/>
    <col min="10755" max="10759" width="0" style="344" hidden="1" customWidth="1"/>
    <col min="10760" max="10998" width="8.7265625" style="344"/>
    <col min="10999" max="10999" width="46.453125" style="344" customWidth="1"/>
    <col min="11000" max="11002" width="11.1796875" style="344" bestFit="1" customWidth="1"/>
    <col min="11003" max="11003" width="12.81640625" style="344" customWidth="1"/>
    <col min="11004" max="11004" width="12.1796875" style="344" customWidth="1"/>
    <col min="11005" max="11005" width="11.81640625" style="344" customWidth="1"/>
    <col min="11006" max="11006" width="10.54296875" style="344" customWidth="1"/>
    <col min="11007" max="11007" width="10.453125" style="344" customWidth="1"/>
    <col min="11008" max="11008" width="11.453125" style="344" customWidth="1"/>
    <col min="11009" max="11009" width="11.81640625" style="344" customWidth="1"/>
    <col min="11010" max="11010" width="0.1796875" style="344" customWidth="1"/>
    <col min="11011" max="11015" width="0" style="344" hidden="1" customWidth="1"/>
    <col min="11016" max="11254" width="8.7265625" style="344"/>
    <col min="11255" max="11255" width="46.453125" style="344" customWidth="1"/>
    <col min="11256" max="11258" width="11.1796875" style="344" bestFit="1" customWidth="1"/>
    <col min="11259" max="11259" width="12.81640625" style="344" customWidth="1"/>
    <col min="11260" max="11260" width="12.1796875" style="344" customWidth="1"/>
    <col min="11261" max="11261" width="11.81640625" style="344" customWidth="1"/>
    <col min="11262" max="11262" width="10.54296875" style="344" customWidth="1"/>
    <col min="11263" max="11263" width="10.453125" style="344" customWidth="1"/>
    <col min="11264" max="11264" width="11.453125" style="344" customWidth="1"/>
    <col min="11265" max="11265" width="11.81640625" style="344" customWidth="1"/>
    <col min="11266" max="11266" width="0.1796875" style="344" customWidth="1"/>
    <col min="11267" max="11271" width="0" style="344" hidden="1" customWidth="1"/>
    <col min="11272" max="11510" width="8.7265625" style="344"/>
    <col min="11511" max="11511" width="46.453125" style="344" customWidth="1"/>
    <col min="11512" max="11514" width="11.1796875" style="344" bestFit="1" customWidth="1"/>
    <col min="11515" max="11515" width="12.81640625" style="344" customWidth="1"/>
    <col min="11516" max="11516" width="12.1796875" style="344" customWidth="1"/>
    <col min="11517" max="11517" width="11.81640625" style="344" customWidth="1"/>
    <col min="11518" max="11518" width="10.54296875" style="344" customWidth="1"/>
    <col min="11519" max="11519" width="10.453125" style="344" customWidth="1"/>
    <col min="11520" max="11520" width="11.453125" style="344" customWidth="1"/>
    <col min="11521" max="11521" width="11.81640625" style="344" customWidth="1"/>
    <col min="11522" max="11522" width="0.1796875" style="344" customWidth="1"/>
    <col min="11523" max="11527" width="0" style="344" hidden="1" customWidth="1"/>
    <col min="11528" max="11766" width="8.7265625" style="344"/>
    <col min="11767" max="11767" width="46.453125" style="344" customWidth="1"/>
    <col min="11768" max="11770" width="11.1796875" style="344" bestFit="1" customWidth="1"/>
    <col min="11771" max="11771" width="12.81640625" style="344" customWidth="1"/>
    <col min="11772" max="11772" width="12.1796875" style="344" customWidth="1"/>
    <col min="11773" max="11773" width="11.81640625" style="344" customWidth="1"/>
    <col min="11774" max="11774" width="10.54296875" style="344" customWidth="1"/>
    <col min="11775" max="11775" width="10.453125" style="344" customWidth="1"/>
    <col min="11776" max="11776" width="11.453125" style="344" customWidth="1"/>
    <col min="11777" max="11777" width="11.81640625" style="344" customWidth="1"/>
    <col min="11778" max="11778" width="0.1796875" style="344" customWidth="1"/>
    <col min="11779" max="11783" width="0" style="344" hidden="1" customWidth="1"/>
    <col min="11784" max="12022" width="8.7265625" style="344"/>
    <col min="12023" max="12023" width="46.453125" style="344" customWidth="1"/>
    <col min="12024" max="12026" width="11.1796875" style="344" bestFit="1" customWidth="1"/>
    <col min="12027" max="12027" width="12.81640625" style="344" customWidth="1"/>
    <col min="12028" max="12028" width="12.1796875" style="344" customWidth="1"/>
    <col min="12029" max="12029" width="11.81640625" style="344" customWidth="1"/>
    <col min="12030" max="12030" width="10.54296875" style="344" customWidth="1"/>
    <col min="12031" max="12031" width="10.453125" style="344" customWidth="1"/>
    <col min="12032" max="12032" width="11.453125" style="344" customWidth="1"/>
    <col min="12033" max="12033" width="11.81640625" style="344" customWidth="1"/>
    <col min="12034" max="12034" width="0.1796875" style="344" customWidth="1"/>
    <col min="12035" max="12039" width="0" style="344" hidden="1" customWidth="1"/>
    <col min="12040" max="12278" width="8.7265625" style="344"/>
    <col min="12279" max="12279" width="46.453125" style="344" customWidth="1"/>
    <col min="12280" max="12282" width="11.1796875" style="344" bestFit="1" customWidth="1"/>
    <col min="12283" max="12283" width="12.81640625" style="344" customWidth="1"/>
    <col min="12284" max="12284" width="12.1796875" style="344" customWidth="1"/>
    <col min="12285" max="12285" width="11.81640625" style="344" customWidth="1"/>
    <col min="12286" max="12286" width="10.54296875" style="344" customWidth="1"/>
    <col min="12287" max="12287" width="10.453125" style="344" customWidth="1"/>
    <col min="12288" max="12288" width="11.453125" style="344" customWidth="1"/>
    <col min="12289" max="12289" width="11.81640625" style="344" customWidth="1"/>
    <col min="12290" max="12290" width="0.1796875" style="344" customWidth="1"/>
    <col min="12291" max="12295" width="0" style="344" hidden="1" customWidth="1"/>
    <col min="12296" max="12534" width="8.7265625" style="344"/>
    <col min="12535" max="12535" width="46.453125" style="344" customWidth="1"/>
    <col min="12536" max="12538" width="11.1796875" style="344" bestFit="1" customWidth="1"/>
    <col min="12539" max="12539" width="12.81640625" style="344" customWidth="1"/>
    <col min="12540" max="12540" width="12.1796875" style="344" customWidth="1"/>
    <col min="12541" max="12541" width="11.81640625" style="344" customWidth="1"/>
    <col min="12542" max="12542" width="10.54296875" style="344" customWidth="1"/>
    <col min="12543" max="12543" width="10.453125" style="344" customWidth="1"/>
    <col min="12544" max="12544" width="11.453125" style="344" customWidth="1"/>
    <col min="12545" max="12545" width="11.81640625" style="344" customWidth="1"/>
    <col min="12546" max="12546" width="0.1796875" style="344" customWidth="1"/>
    <col min="12547" max="12551" width="0" style="344" hidden="1" customWidth="1"/>
    <col min="12552" max="12790" width="8.7265625" style="344"/>
    <col min="12791" max="12791" width="46.453125" style="344" customWidth="1"/>
    <col min="12792" max="12794" width="11.1796875" style="344" bestFit="1" customWidth="1"/>
    <col min="12795" max="12795" width="12.81640625" style="344" customWidth="1"/>
    <col min="12796" max="12796" width="12.1796875" style="344" customWidth="1"/>
    <col min="12797" max="12797" width="11.81640625" style="344" customWidth="1"/>
    <col min="12798" max="12798" width="10.54296875" style="344" customWidth="1"/>
    <col min="12799" max="12799" width="10.453125" style="344" customWidth="1"/>
    <col min="12800" max="12800" width="11.453125" style="344" customWidth="1"/>
    <col min="12801" max="12801" width="11.81640625" style="344" customWidth="1"/>
    <col min="12802" max="12802" width="0.1796875" style="344" customWidth="1"/>
    <col min="12803" max="12807" width="0" style="344" hidden="1" customWidth="1"/>
    <col min="12808" max="13046" width="8.7265625" style="344"/>
    <col min="13047" max="13047" width="46.453125" style="344" customWidth="1"/>
    <col min="13048" max="13050" width="11.1796875" style="344" bestFit="1" customWidth="1"/>
    <col min="13051" max="13051" width="12.81640625" style="344" customWidth="1"/>
    <col min="13052" max="13052" width="12.1796875" style="344" customWidth="1"/>
    <col min="13053" max="13053" width="11.81640625" style="344" customWidth="1"/>
    <col min="13054" max="13054" width="10.54296875" style="344" customWidth="1"/>
    <col min="13055" max="13055" width="10.453125" style="344" customWidth="1"/>
    <col min="13056" max="13056" width="11.453125" style="344" customWidth="1"/>
    <col min="13057" max="13057" width="11.81640625" style="344" customWidth="1"/>
    <col min="13058" max="13058" width="0.1796875" style="344" customWidth="1"/>
    <col min="13059" max="13063" width="0" style="344" hidden="1" customWidth="1"/>
    <col min="13064" max="13302" width="8.7265625" style="344"/>
    <col min="13303" max="13303" width="46.453125" style="344" customWidth="1"/>
    <col min="13304" max="13306" width="11.1796875" style="344" bestFit="1" customWidth="1"/>
    <col min="13307" max="13307" width="12.81640625" style="344" customWidth="1"/>
    <col min="13308" max="13308" width="12.1796875" style="344" customWidth="1"/>
    <col min="13309" max="13309" width="11.81640625" style="344" customWidth="1"/>
    <col min="13310" max="13310" width="10.54296875" style="344" customWidth="1"/>
    <col min="13311" max="13311" width="10.453125" style="344" customWidth="1"/>
    <col min="13312" max="13312" width="11.453125" style="344" customWidth="1"/>
    <col min="13313" max="13313" width="11.81640625" style="344" customWidth="1"/>
    <col min="13314" max="13314" width="0.1796875" style="344" customWidth="1"/>
    <col min="13315" max="13319" width="0" style="344" hidden="1" customWidth="1"/>
    <col min="13320" max="13558" width="8.7265625" style="344"/>
    <col min="13559" max="13559" width="46.453125" style="344" customWidth="1"/>
    <col min="13560" max="13562" width="11.1796875" style="344" bestFit="1" customWidth="1"/>
    <col min="13563" max="13563" width="12.81640625" style="344" customWidth="1"/>
    <col min="13564" max="13564" width="12.1796875" style="344" customWidth="1"/>
    <col min="13565" max="13565" width="11.81640625" style="344" customWidth="1"/>
    <col min="13566" max="13566" width="10.54296875" style="344" customWidth="1"/>
    <col min="13567" max="13567" width="10.453125" style="344" customWidth="1"/>
    <col min="13568" max="13568" width="11.453125" style="344" customWidth="1"/>
    <col min="13569" max="13569" width="11.81640625" style="344" customWidth="1"/>
    <col min="13570" max="13570" width="0.1796875" style="344" customWidth="1"/>
    <col min="13571" max="13575" width="0" style="344" hidden="1" customWidth="1"/>
    <col min="13576" max="13814" width="8.7265625" style="344"/>
    <col min="13815" max="13815" width="46.453125" style="344" customWidth="1"/>
    <col min="13816" max="13818" width="11.1796875" style="344" bestFit="1" customWidth="1"/>
    <col min="13819" max="13819" width="12.81640625" style="344" customWidth="1"/>
    <col min="13820" max="13820" width="12.1796875" style="344" customWidth="1"/>
    <col min="13821" max="13821" width="11.81640625" style="344" customWidth="1"/>
    <col min="13822" max="13822" width="10.54296875" style="344" customWidth="1"/>
    <col min="13823" max="13823" width="10.453125" style="344" customWidth="1"/>
    <col min="13824" max="13824" width="11.453125" style="344" customWidth="1"/>
    <col min="13825" max="13825" width="11.81640625" style="344" customWidth="1"/>
    <col min="13826" max="13826" width="0.1796875" style="344" customWidth="1"/>
    <col min="13827" max="13831" width="0" style="344" hidden="1" customWidth="1"/>
    <col min="13832" max="14070" width="8.7265625" style="344"/>
    <col min="14071" max="14071" width="46.453125" style="344" customWidth="1"/>
    <col min="14072" max="14074" width="11.1796875" style="344" bestFit="1" customWidth="1"/>
    <col min="14075" max="14075" width="12.81640625" style="344" customWidth="1"/>
    <col min="14076" max="14076" width="12.1796875" style="344" customWidth="1"/>
    <col min="14077" max="14077" width="11.81640625" style="344" customWidth="1"/>
    <col min="14078" max="14078" width="10.54296875" style="344" customWidth="1"/>
    <col min="14079" max="14079" width="10.453125" style="344" customWidth="1"/>
    <col min="14080" max="14080" width="11.453125" style="344" customWidth="1"/>
    <col min="14081" max="14081" width="11.81640625" style="344" customWidth="1"/>
    <col min="14082" max="14082" width="0.1796875" style="344" customWidth="1"/>
    <col min="14083" max="14087" width="0" style="344" hidden="1" customWidth="1"/>
    <col min="14088" max="14326" width="8.7265625" style="344"/>
    <col min="14327" max="14327" width="46.453125" style="344" customWidth="1"/>
    <col min="14328" max="14330" width="11.1796875" style="344" bestFit="1" customWidth="1"/>
    <col min="14331" max="14331" width="12.81640625" style="344" customWidth="1"/>
    <col min="14332" max="14332" width="12.1796875" style="344" customWidth="1"/>
    <col min="14333" max="14333" width="11.81640625" style="344" customWidth="1"/>
    <col min="14334" max="14334" width="10.54296875" style="344" customWidth="1"/>
    <col min="14335" max="14335" width="10.453125" style="344" customWidth="1"/>
    <col min="14336" max="14336" width="11.453125" style="344" customWidth="1"/>
    <col min="14337" max="14337" width="11.81640625" style="344" customWidth="1"/>
    <col min="14338" max="14338" width="0.1796875" style="344" customWidth="1"/>
    <col min="14339" max="14343" width="0" style="344" hidden="1" customWidth="1"/>
    <col min="14344" max="14582" width="8.7265625" style="344"/>
    <col min="14583" max="14583" width="46.453125" style="344" customWidth="1"/>
    <col min="14584" max="14586" width="11.1796875" style="344" bestFit="1" customWidth="1"/>
    <col min="14587" max="14587" width="12.81640625" style="344" customWidth="1"/>
    <col min="14588" max="14588" width="12.1796875" style="344" customWidth="1"/>
    <col min="14589" max="14589" width="11.81640625" style="344" customWidth="1"/>
    <col min="14590" max="14590" width="10.54296875" style="344" customWidth="1"/>
    <col min="14591" max="14591" width="10.453125" style="344" customWidth="1"/>
    <col min="14592" max="14592" width="11.453125" style="344" customWidth="1"/>
    <col min="14593" max="14593" width="11.81640625" style="344" customWidth="1"/>
    <col min="14594" max="14594" width="0.1796875" style="344" customWidth="1"/>
    <col min="14595" max="14599" width="0" style="344" hidden="1" customWidth="1"/>
    <col min="14600" max="14838" width="8.7265625" style="344"/>
    <col min="14839" max="14839" width="46.453125" style="344" customWidth="1"/>
    <col min="14840" max="14842" width="11.1796875" style="344" bestFit="1" customWidth="1"/>
    <col min="14843" max="14843" width="12.81640625" style="344" customWidth="1"/>
    <col min="14844" max="14844" width="12.1796875" style="344" customWidth="1"/>
    <col min="14845" max="14845" width="11.81640625" style="344" customWidth="1"/>
    <col min="14846" max="14846" width="10.54296875" style="344" customWidth="1"/>
    <col min="14847" max="14847" width="10.453125" style="344" customWidth="1"/>
    <col min="14848" max="14848" width="11.453125" style="344" customWidth="1"/>
    <col min="14849" max="14849" width="11.81640625" style="344" customWidth="1"/>
    <col min="14850" max="14850" width="0.1796875" style="344" customWidth="1"/>
    <col min="14851" max="14855" width="0" style="344" hidden="1" customWidth="1"/>
    <col min="14856" max="15094" width="8.7265625" style="344"/>
    <col min="15095" max="15095" width="46.453125" style="344" customWidth="1"/>
    <col min="15096" max="15098" width="11.1796875" style="344" bestFit="1" customWidth="1"/>
    <col min="15099" max="15099" width="12.81640625" style="344" customWidth="1"/>
    <col min="15100" max="15100" width="12.1796875" style="344" customWidth="1"/>
    <col min="15101" max="15101" width="11.81640625" style="344" customWidth="1"/>
    <col min="15102" max="15102" width="10.54296875" style="344" customWidth="1"/>
    <col min="15103" max="15103" width="10.453125" style="344" customWidth="1"/>
    <col min="15104" max="15104" width="11.453125" style="344" customWidth="1"/>
    <col min="15105" max="15105" width="11.81640625" style="344" customWidth="1"/>
    <col min="15106" max="15106" width="0.1796875" style="344" customWidth="1"/>
    <col min="15107" max="15111" width="0" style="344" hidden="1" customWidth="1"/>
    <col min="15112" max="15350" width="8.7265625" style="344"/>
    <col min="15351" max="15351" width="46.453125" style="344" customWidth="1"/>
    <col min="15352" max="15354" width="11.1796875" style="344" bestFit="1" customWidth="1"/>
    <col min="15355" max="15355" width="12.81640625" style="344" customWidth="1"/>
    <col min="15356" max="15356" width="12.1796875" style="344" customWidth="1"/>
    <col min="15357" max="15357" width="11.81640625" style="344" customWidth="1"/>
    <col min="15358" max="15358" width="10.54296875" style="344" customWidth="1"/>
    <col min="15359" max="15359" width="10.453125" style="344" customWidth="1"/>
    <col min="15360" max="15360" width="11.453125" style="344" customWidth="1"/>
    <col min="15361" max="15361" width="11.81640625" style="344" customWidth="1"/>
    <col min="15362" max="15362" width="0.1796875" style="344" customWidth="1"/>
    <col min="15363" max="15367" width="0" style="344" hidden="1" customWidth="1"/>
    <col min="15368" max="15606" width="8.7265625" style="344"/>
    <col min="15607" max="15607" width="46.453125" style="344" customWidth="1"/>
    <col min="15608" max="15610" width="11.1796875" style="344" bestFit="1" customWidth="1"/>
    <col min="15611" max="15611" width="12.81640625" style="344" customWidth="1"/>
    <col min="15612" max="15612" width="12.1796875" style="344" customWidth="1"/>
    <col min="15613" max="15613" width="11.81640625" style="344" customWidth="1"/>
    <col min="15614" max="15614" width="10.54296875" style="344" customWidth="1"/>
    <col min="15615" max="15615" width="10.453125" style="344" customWidth="1"/>
    <col min="15616" max="15616" width="11.453125" style="344" customWidth="1"/>
    <col min="15617" max="15617" width="11.81640625" style="344" customWidth="1"/>
    <col min="15618" max="15618" width="0.1796875" style="344" customWidth="1"/>
    <col min="15619" max="15623" width="0" style="344" hidden="1" customWidth="1"/>
    <col min="15624" max="15862" width="8.7265625" style="344"/>
    <col min="15863" max="15863" width="46.453125" style="344" customWidth="1"/>
    <col min="15864" max="15866" width="11.1796875" style="344" bestFit="1" customWidth="1"/>
    <col min="15867" max="15867" width="12.81640625" style="344" customWidth="1"/>
    <col min="15868" max="15868" width="12.1796875" style="344" customWidth="1"/>
    <col min="15869" max="15869" width="11.81640625" style="344" customWidth="1"/>
    <col min="15870" max="15870" width="10.54296875" style="344" customWidth="1"/>
    <col min="15871" max="15871" width="10.453125" style="344" customWidth="1"/>
    <col min="15872" max="15872" width="11.453125" style="344" customWidth="1"/>
    <col min="15873" max="15873" width="11.81640625" style="344" customWidth="1"/>
    <col min="15874" max="15874" width="0.1796875" style="344" customWidth="1"/>
    <col min="15875" max="15879" width="0" style="344" hidden="1" customWidth="1"/>
    <col min="15880" max="16118" width="8.7265625" style="344"/>
    <col min="16119" max="16119" width="46.453125" style="344" customWidth="1"/>
    <col min="16120" max="16122" width="11.1796875" style="344" bestFit="1" customWidth="1"/>
    <col min="16123" max="16123" width="12.81640625" style="344" customWidth="1"/>
    <col min="16124" max="16124" width="12.1796875" style="344" customWidth="1"/>
    <col min="16125" max="16125" width="11.81640625" style="344" customWidth="1"/>
    <col min="16126" max="16126" width="10.54296875" style="344" customWidth="1"/>
    <col min="16127" max="16127" width="10.453125" style="344" customWidth="1"/>
    <col min="16128" max="16128" width="11.453125" style="344" customWidth="1"/>
    <col min="16129" max="16129" width="11.81640625" style="344" customWidth="1"/>
    <col min="16130" max="16130" width="0.1796875" style="344" customWidth="1"/>
    <col min="16131" max="16135" width="0" style="344" hidden="1" customWidth="1"/>
    <col min="16136" max="16384" width="8.7265625" style="344"/>
  </cols>
  <sheetData>
    <row r="1" spans="1:8" x14ac:dyDescent="0.25">
      <c r="H1" s="77" t="s">
        <v>558</v>
      </c>
    </row>
    <row r="3" spans="1:8" ht="14" x14ac:dyDescent="0.3">
      <c r="A3" s="441" t="s">
        <v>557</v>
      </c>
      <c r="B3" s="441"/>
      <c r="C3" s="441"/>
      <c r="D3" s="441"/>
      <c r="E3" s="441"/>
      <c r="F3" s="441"/>
      <c r="G3" s="441"/>
      <c r="H3" s="441"/>
    </row>
    <row r="4" spans="1:8" ht="13" x14ac:dyDescent="0.3">
      <c r="A4" s="19"/>
      <c r="B4" s="19"/>
      <c r="C4" s="19"/>
      <c r="D4" s="19"/>
      <c r="E4" s="19"/>
      <c r="F4" s="19"/>
      <c r="G4" s="19"/>
    </row>
    <row r="5" spans="1:8" ht="13" thickBot="1" x14ac:dyDescent="0.3">
      <c r="A5" s="344"/>
      <c r="B5" s="344"/>
      <c r="C5" s="344"/>
      <c r="D5" s="344"/>
      <c r="E5" s="344"/>
      <c r="F5" s="344"/>
      <c r="H5" s="345" t="s">
        <v>225</v>
      </c>
    </row>
    <row r="6" spans="1:8" ht="15" customHeight="1" thickTop="1" x14ac:dyDescent="0.25">
      <c r="A6" s="439" t="s">
        <v>0</v>
      </c>
      <c r="B6" s="437" t="s">
        <v>554</v>
      </c>
      <c r="C6" s="442" t="s">
        <v>57</v>
      </c>
      <c r="D6" s="442"/>
      <c r="E6" s="442"/>
      <c r="F6" s="442"/>
      <c r="G6" s="442"/>
      <c r="H6" s="443"/>
    </row>
    <row r="7" spans="1:8" ht="54.65" customHeight="1" x14ac:dyDescent="0.25">
      <c r="A7" s="440"/>
      <c r="B7" s="438"/>
      <c r="C7" s="346">
        <v>2020</v>
      </c>
      <c r="D7" s="347" t="s">
        <v>555</v>
      </c>
      <c r="E7" s="75">
        <v>2021</v>
      </c>
      <c r="F7" s="75" t="s">
        <v>255</v>
      </c>
      <c r="G7" s="75">
        <v>2022</v>
      </c>
      <c r="H7" s="348" t="s">
        <v>466</v>
      </c>
    </row>
    <row r="8" spans="1:8" x14ac:dyDescent="0.25">
      <c r="A8" s="20" t="s">
        <v>17</v>
      </c>
      <c r="B8" s="22">
        <v>2</v>
      </c>
      <c r="C8" s="22">
        <v>3</v>
      </c>
      <c r="D8" s="22" t="s">
        <v>231</v>
      </c>
      <c r="E8" s="22">
        <v>5</v>
      </c>
      <c r="F8" s="21" t="s">
        <v>232</v>
      </c>
      <c r="G8" s="21">
        <v>7</v>
      </c>
      <c r="H8" s="349" t="s">
        <v>233</v>
      </c>
    </row>
    <row r="9" spans="1:8" ht="13" x14ac:dyDescent="0.25">
      <c r="A9" s="33" t="s">
        <v>256</v>
      </c>
      <c r="B9" s="34">
        <f>+B11+B18+B20+B22+B26+B30+B34+B39+B43+B46+B47+B48+B49</f>
        <v>59894.497100000001</v>
      </c>
      <c r="C9" s="34">
        <f>+C11+C18+C20+C22+C26+C30+C34+C39+C43+C46+C47+C48+C49</f>
        <v>63632.256099999991</v>
      </c>
      <c r="D9" s="38">
        <f>+C9/B9*100</f>
        <v>106.24057164009477</v>
      </c>
      <c r="E9" s="34">
        <f>+E11+E18+E20+E22+E26+E30+E34+E39+E43+E46+E47+E48</f>
        <v>69571.166799999992</v>
      </c>
      <c r="F9" s="38">
        <f>+E9/C9*100</f>
        <v>109.33317638567902</v>
      </c>
      <c r="G9" s="34">
        <f>+G11+G18+G20+G22+G26+G30+G34+G39+G43+G46+G47+G48</f>
        <v>74041.068100000004</v>
      </c>
      <c r="H9" s="40">
        <f>+G9/E9*100</f>
        <v>106.42493364075649</v>
      </c>
    </row>
    <row r="10" spans="1:8" x14ac:dyDescent="0.25">
      <c r="A10" s="23" t="s">
        <v>381</v>
      </c>
      <c r="B10" s="24"/>
      <c r="C10" s="24"/>
      <c r="D10" s="2"/>
      <c r="E10" s="24"/>
      <c r="F10" s="2"/>
      <c r="G10" s="24"/>
      <c r="H10" s="41"/>
    </row>
    <row r="11" spans="1:8" x14ac:dyDescent="0.25">
      <c r="A11" s="23" t="s">
        <v>257</v>
      </c>
      <c r="B11" s="24">
        <f>+B14+B17</f>
        <v>37350</v>
      </c>
      <c r="C11" s="24">
        <f t="shared" ref="C11" si="0">+C14+C17</f>
        <v>38972.774900000004</v>
      </c>
      <c r="D11" s="2">
        <f>+C11/B11*100</f>
        <v>104.34477884872825</v>
      </c>
      <c r="E11" s="24">
        <f t="shared" ref="E11" si="1">+E14+E17</f>
        <v>41662.215500000006</v>
      </c>
      <c r="F11" s="2">
        <f>+E11/C11*100</f>
        <v>106.90081885855143</v>
      </c>
      <c r="G11" s="24">
        <f t="shared" ref="G11" si="2">+G14+G17</f>
        <v>44058.457999999999</v>
      </c>
      <c r="H11" s="41">
        <f t="shared" ref="F11:H62" si="3">+G11/E11*100</f>
        <v>105.75159643154358</v>
      </c>
    </row>
    <row r="12" spans="1:8" ht="26" hidden="1" x14ac:dyDescent="0.25">
      <c r="A12" s="27" t="s">
        <v>258</v>
      </c>
      <c r="B12" s="76"/>
      <c r="C12" s="26">
        <v>11273.796</v>
      </c>
      <c r="D12" s="2" t="e">
        <f t="shared" ref="D12:D59" si="4">+C12/B12*100</f>
        <v>#DIV/0!</v>
      </c>
      <c r="E12" s="24">
        <v>11711.558999999999</v>
      </c>
      <c r="F12" s="2">
        <f t="shared" si="3"/>
        <v>103.88301331689875</v>
      </c>
      <c r="G12" s="24">
        <v>11983.334000000001</v>
      </c>
      <c r="H12" s="41">
        <f t="shared" si="3"/>
        <v>102.32057064307152</v>
      </c>
    </row>
    <row r="13" spans="1:8" ht="13" hidden="1" x14ac:dyDescent="0.25">
      <c r="A13" s="27" t="s">
        <v>259</v>
      </c>
      <c r="B13" s="76"/>
      <c r="C13" s="26">
        <v>5929.9740000000002</v>
      </c>
      <c r="D13" s="2" t="e">
        <f t="shared" si="4"/>
        <v>#DIV/0!</v>
      </c>
      <c r="E13" s="24">
        <v>6640.0209999999997</v>
      </c>
      <c r="F13" s="2">
        <f t="shared" si="3"/>
        <v>111.97386362908168</v>
      </c>
      <c r="G13" s="24">
        <v>8075.9250000000002</v>
      </c>
      <c r="H13" s="41">
        <f t="shared" si="3"/>
        <v>121.62499184867038</v>
      </c>
    </row>
    <row r="14" spans="1:8" x14ac:dyDescent="0.25">
      <c r="A14" s="28" t="s">
        <v>260</v>
      </c>
      <c r="B14" s="24">
        <v>18000</v>
      </c>
      <c r="C14" s="24">
        <v>18600.065999999999</v>
      </c>
      <c r="D14" s="2">
        <f t="shared" si="4"/>
        <v>103.33369999999999</v>
      </c>
      <c r="E14" s="24">
        <v>20025.878000000001</v>
      </c>
      <c r="F14" s="2">
        <f t="shared" si="3"/>
        <v>107.66562871336049</v>
      </c>
      <c r="G14" s="24">
        <v>20956.36</v>
      </c>
      <c r="H14" s="41">
        <f t="shared" si="3"/>
        <v>104.64639802559468</v>
      </c>
    </row>
    <row r="15" spans="1:8" ht="39" hidden="1" x14ac:dyDescent="0.25">
      <c r="A15" s="29" t="s">
        <v>261</v>
      </c>
      <c r="B15" s="76"/>
      <c r="C15" s="26">
        <v>17760.8171</v>
      </c>
      <c r="D15" s="2" t="e">
        <f t="shared" si="4"/>
        <v>#DIV/0!</v>
      </c>
      <c r="E15" s="24">
        <v>18641.027999999998</v>
      </c>
      <c r="F15" s="2">
        <f t="shared" si="3"/>
        <v>104.95591444382364</v>
      </c>
      <c r="G15" s="24">
        <v>19735.4136</v>
      </c>
      <c r="H15" s="41">
        <f t="shared" si="3"/>
        <v>105.87084360368968</v>
      </c>
    </row>
    <row r="16" spans="1:8" ht="26" hidden="1" x14ac:dyDescent="0.25">
      <c r="A16" s="29" t="s">
        <v>262</v>
      </c>
      <c r="B16" s="76"/>
      <c r="C16" s="26">
        <v>1538.9907000000001</v>
      </c>
      <c r="D16" s="2" t="e">
        <f t="shared" si="4"/>
        <v>#DIV/0!</v>
      </c>
      <c r="E16" s="24">
        <v>1623.3895</v>
      </c>
      <c r="F16" s="2">
        <f t="shared" si="3"/>
        <v>105.48403573848756</v>
      </c>
      <c r="G16" s="24">
        <v>1731.95</v>
      </c>
      <c r="H16" s="41">
        <f t="shared" si="3"/>
        <v>106.68727375654457</v>
      </c>
    </row>
    <row r="17" spans="1:8" x14ac:dyDescent="0.25">
      <c r="A17" s="28" t="s">
        <v>263</v>
      </c>
      <c r="B17" s="24">
        <v>19350</v>
      </c>
      <c r="C17" s="24">
        <v>20372.708900000001</v>
      </c>
      <c r="D17" s="2">
        <f t="shared" si="4"/>
        <v>105.2853173126615</v>
      </c>
      <c r="E17" s="24">
        <v>21636.337500000001</v>
      </c>
      <c r="F17" s="2">
        <f t="shared" si="3"/>
        <v>106.20255561595935</v>
      </c>
      <c r="G17" s="24">
        <v>23102.098000000002</v>
      </c>
      <c r="H17" s="41">
        <f t="shared" si="3"/>
        <v>106.77453150284792</v>
      </c>
    </row>
    <row r="18" spans="1:8" ht="37.5" x14ac:dyDescent="0.25">
      <c r="A18" s="30" t="s">
        <v>264</v>
      </c>
      <c r="B18" s="24">
        <f t="shared" ref="B18:G18" si="5">+B19</f>
        <v>4510.9112999999998</v>
      </c>
      <c r="C18" s="24">
        <f t="shared" si="5"/>
        <v>7114.6688000000004</v>
      </c>
      <c r="D18" s="2">
        <f t="shared" si="4"/>
        <v>157.72131897162333</v>
      </c>
      <c r="E18" s="24">
        <f t="shared" si="5"/>
        <v>8847.9886000000006</v>
      </c>
      <c r="F18" s="2">
        <f t="shared" si="3"/>
        <v>124.36262106817959</v>
      </c>
      <c r="G18" s="24">
        <f t="shared" si="5"/>
        <v>10313.9755</v>
      </c>
      <c r="H18" s="41">
        <f t="shared" si="3"/>
        <v>116.56858938538868</v>
      </c>
    </row>
    <row r="19" spans="1:8" ht="25" x14ac:dyDescent="0.25">
      <c r="A19" s="28" t="s">
        <v>265</v>
      </c>
      <c r="B19" s="24">
        <v>4510.9112999999998</v>
      </c>
      <c r="C19" s="24">
        <v>7114.6688000000004</v>
      </c>
      <c r="D19" s="2">
        <f t="shared" si="4"/>
        <v>157.72131897162333</v>
      </c>
      <c r="E19" s="24">
        <v>8847.9886000000006</v>
      </c>
      <c r="F19" s="2">
        <f t="shared" si="3"/>
        <v>124.36262106817959</v>
      </c>
      <c r="G19" s="24">
        <v>10313.9755</v>
      </c>
      <c r="H19" s="41">
        <f t="shared" si="3"/>
        <v>116.56858938538868</v>
      </c>
    </row>
    <row r="20" spans="1:8" x14ac:dyDescent="0.25">
      <c r="A20" s="30" t="s">
        <v>266</v>
      </c>
      <c r="B20" s="24">
        <f t="shared" ref="B20:G20" si="6">+B21</f>
        <v>3600</v>
      </c>
      <c r="C20" s="24">
        <f t="shared" si="6"/>
        <v>3802.1030000000001</v>
      </c>
      <c r="D20" s="2">
        <f t="shared" si="4"/>
        <v>105.61397222222222</v>
      </c>
      <c r="E20" s="24">
        <f t="shared" si="6"/>
        <v>4647.7669999999998</v>
      </c>
      <c r="F20" s="2">
        <f t="shared" si="3"/>
        <v>122.24200659477135</v>
      </c>
      <c r="G20" s="24">
        <f t="shared" si="6"/>
        <v>4833.9520000000002</v>
      </c>
      <c r="H20" s="41">
        <f t="shared" si="3"/>
        <v>104.00590218915879</v>
      </c>
    </row>
    <row r="21" spans="1:8" ht="25" x14ac:dyDescent="0.25">
      <c r="A21" s="28" t="s">
        <v>267</v>
      </c>
      <c r="B21" s="24">
        <v>3600</v>
      </c>
      <c r="C21" s="24">
        <v>3802.1030000000001</v>
      </c>
      <c r="D21" s="2">
        <f t="shared" si="4"/>
        <v>105.61397222222222</v>
      </c>
      <c r="E21" s="24">
        <v>4647.7669999999998</v>
      </c>
      <c r="F21" s="2">
        <f t="shared" si="3"/>
        <v>122.24200659477135</v>
      </c>
      <c r="G21" s="24">
        <v>4833.9520000000002</v>
      </c>
      <c r="H21" s="41">
        <f t="shared" si="3"/>
        <v>104.00590218915879</v>
      </c>
    </row>
    <row r="22" spans="1:8" x14ac:dyDescent="0.25">
      <c r="A22" s="30" t="s">
        <v>268</v>
      </c>
      <c r="B22" s="24">
        <v>9085.8088000000007</v>
      </c>
      <c r="C22" s="24">
        <v>9139.81</v>
      </c>
      <c r="D22" s="2">
        <f t="shared" si="4"/>
        <v>100.59434664748832</v>
      </c>
      <c r="E22" s="24">
        <v>9522.3269999999993</v>
      </c>
      <c r="F22" s="2">
        <f t="shared" si="3"/>
        <v>104.18517452769807</v>
      </c>
      <c r="G22" s="24">
        <v>9778.3549999999996</v>
      </c>
      <c r="H22" s="41">
        <f t="shared" si="3"/>
        <v>102.6887125384373</v>
      </c>
    </row>
    <row r="23" spans="1:8" x14ac:dyDescent="0.25">
      <c r="A23" s="30" t="s">
        <v>381</v>
      </c>
      <c r="B23" s="24"/>
      <c r="C23" s="24"/>
      <c r="D23" s="2"/>
      <c r="E23" s="24"/>
      <c r="F23" s="2"/>
      <c r="G23" s="24"/>
      <c r="H23" s="41"/>
    </row>
    <row r="24" spans="1:8" x14ac:dyDescent="0.25">
      <c r="A24" s="28" t="s">
        <v>269</v>
      </c>
      <c r="B24" s="24">
        <v>7842</v>
      </c>
      <c r="C24" s="24">
        <v>7833.6890000000003</v>
      </c>
      <c r="D24" s="2">
        <f t="shared" si="4"/>
        <v>99.894019382810512</v>
      </c>
      <c r="E24" s="24">
        <v>8179.0129999999999</v>
      </c>
      <c r="F24" s="2">
        <f t="shared" si="3"/>
        <v>104.40819133871666</v>
      </c>
      <c r="G24" s="24">
        <v>8382.1929999999993</v>
      </c>
      <c r="H24" s="41">
        <f t="shared" si="3"/>
        <v>102.48416282013488</v>
      </c>
    </row>
    <row r="25" spans="1:8" x14ac:dyDescent="0.25">
      <c r="A25" s="28" t="s">
        <v>270</v>
      </c>
      <c r="B25" s="24">
        <v>1240.8527999999999</v>
      </c>
      <c r="C25" s="24">
        <v>1303.097</v>
      </c>
      <c r="D25" s="2">
        <f t="shared" si="4"/>
        <v>105.01624366725852</v>
      </c>
      <c r="E25" s="24">
        <v>1340.29</v>
      </c>
      <c r="F25" s="2">
        <f t="shared" si="3"/>
        <v>102.85420041639264</v>
      </c>
      <c r="G25" s="24">
        <v>1393.1379999999999</v>
      </c>
      <c r="H25" s="41">
        <f t="shared" si="3"/>
        <v>103.94302725529549</v>
      </c>
    </row>
    <row r="26" spans="1:8" ht="25" x14ac:dyDescent="0.25">
      <c r="A26" s="30" t="s">
        <v>271</v>
      </c>
      <c r="B26" s="24">
        <f t="shared" ref="B26:G26" si="7">SUM(B27:B29)</f>
        <v>3461.0450000000001</v>
      </c>
      <c r="C26" s="24">
        <f t="shared" si="7"/>
        <v>2931.8539999999998</v>
      </c>
      <c r="D26" s="2">
        <f t="shared" si="4"/>
        <v>84.710080337008037</v>
      </c>
      <c r="E26" s="24">
        <f t="shared" si="7"/>
        <v>3179.8305</v>
      </c>
      <c r="F26" s="2">
        <f t="shared" si="3"/>
        <v>108.45800984632932</v>
      </c>
      <c r="G26" s="24">
        <f t="shared" si="7"/>
        <v>3303.7670000000003</v>
      </c>
      <c r="H26" s="41">
        <f t="shared" si="3"/>
        <v>103.897581962309</v>
      </c>
    </row>
    <row r="27" spans="1:8" x14ac:dyDescent="0.25">
      <c r="A27" s="28" t="s">
        <v>272</v>
      </c>
      <c r="B27" s="24">
        <v>3304.4430000000002</v>
      </c>
      <c r="C27" s="24">
        <v>2803.6605</v>
      </c>
      <c r="D27" s="2">
        <f t="shared" si="4"/>
        <v>84.845176630373103</v>
      </c>
      <c r="E27" s="24">
        <v>3064.0740000000001</v>
      </c>
      <c r="F27" s="2">
        <f t="shared" si="3"/>
        <v>109.28833929785722</v>
      </c>
      <c r="G27" s="24">
        <v>3201.241</v>
      </c>
      <c r="H27" s="41">
        <f t="shared" si="3"/>
        <v>104.47662164817169</v>
      </c>
    </row>
    <row r="28" spans="1:8" ht="37.5" x14ac:dyDescent="0.25">
      <c r="A28" s="28" t="s">
        <v>273</v>
      </c>
      <c r="B28" s="24">
        <v>94.75</v>
      </c>
      <c r="C28" s="24">
        <v>80.325000000000003</v>
      </c>
      <c r="D28" s="2">
        <f t="shared" si="4"/>
        <v>84.775725593667545</v>
      </c>
      <c r="E28" s="24">
        <v>69.897000000000006</v>
      </c>
      <c r="F28" s="2">
        <f t="shared" si="3"/>
        <v>87.017740429505139</v>
      </c>
      <c r="G28" s="24">
        <v>58.451999999999998</v>
      </c>
      <c r="H28" s="41">
        <f t="shared" si="3"/>
        <v>83.625906691274295</v>
      </c>
    </row>
    <row r="29" spans="1:8" ht="37.5" x14ac:dyDescent="0.25">
      <c r="A29" s="28" t="s">
        <v>274</v>
      </c>
      <c r="B29" s="24">
        <v>61.851999999999997</v>
      </c>
      <c r="C29" s="24">
        <v>47.868499999999997</v>
      </c>
      <c r="D29" s="2">
        <f t="shared" si="4"/>
        <v>77.392000258682017</v>
      </c>
      <c r="E29" s="24">
        <v>45.859499999999997</v>
      </c>
      <c r="F29" s="2">
        <f t="shared" si="3"/>
        <v>95.80308553641747</v>
      </c>
      <c r="G29" s="24">
        <v>44.073999999999998</v>
      </c>
      <c r="H29" s="41">
        <f t="shared" si="3"/>
        <v>96.106586421570228</v>
      </c>
    </row>
    <row r="30" spans="1:8" x14ac:dyDescent="0.25">
      <c r="A30" s="30" t="s">
        <v>275</v>
      </c>
      <c r="B30" s="24">
        <f>B32+B33</f>
        <v>160</v>
      </c>
      <c r="C30" s="24">
        <f>C32+C33</f>
        <v>161.16249999999999</v>
      </c>
      <c r="D30" s="2">
        <f t="shared" si="4"/>
        <v>100.7265625</v>
      </c>
      <c r="E30" s="24">
        <f>E32+E33</f>
        <v>166.14530000000002</v>
      </c>
      <c r="F30" s="2">
        <f t="shared" si="3"/>
        <v>103.0917862405957</v>
      </c>
      <c r="G30" s="24">
        <f>G32+G33</f>
        <v>165.93510000000001</v>
      </c>
      <c r="H30" s="41">
        <f t="shared" si="3"/>
        <v>99.873484233378846</v>
      </c>
    </row>
    <row r="31" spans="1:8" x14ac:dyDescent="0.25">
      <c r="A31" s="30" t="s">
        <v>380</v>
      </c>
      <c r="B31" s="24"/>
      <c r="C31" s="24"/>
      <c r="D31" s="2"/>
      <c r="E31" s="24"/>
      <c r="F31" s="2"/>
      <c r="G31" s="24"/>
      <c r="H31" s="41"/>
    </row>
    <row r="32" spans="1:8" ht="75" x14ac:dyDescent="0.25">
      <c r="A32" s="28" t="s">
        <v>276</v>
      </c>
      <c r="B32" s="24">
        <v>4.024</v>
      </c>
      <c r="C32" s="24">
        <v>4.6429</v>
      </c>
      <c r="D32" s="2">
        <f t="shared" si="4"/>
        <v>115.38021868787276</v>
      </c>
      <c r="E32" s="24">
        <v>4.4114000000000004</v>
      </c>
      <c r="F32" s="2">
        <f t="shared" si="3"/>
        <v>95.013892179456818</v>
      </c>
      <c r="G32" s="24">
        <v>4.3596000000000004</v>
      </c>
      <c r="H32" s="41">
        <f t="shared" si="3"/>
        <v>98.82576959695335</v>
      </c>
    </row>
    <row r="33" spans="1:8" ht="37.5" x14ac:dyDescent="0.25">
      <c r="A33" s="28" t="s">
        <v>277</v>
      </c>
      <c r="B33" s="24">
        <v>155.976</v>
      </c>
      <c r="C33" s="24">
        <v>156.5196</v>
      </c>
      <c r="D33" s="2">
        <f t="shared" si="4"/>
        <v>100.34851515617787</v>
      </c>
      <c r="E33" s="24">
        <v>161.73390000000001</v>
      </c>
      <c r="F33" s="2">
        <f t="shared" si="3"/>
        <v>103.33140386251947</v>
      </c>
      <c r="G33" s="24">
        <v>161.57550000000001</v>
      </c>
      <c r="H33" s="41">
        <f t="shared" si="3"/>
        <v>99.902061348919418</v>
      </c>
    </row>
    <row r="34" spans="1:8" ht="37.5" x14ac:dyDescent="0.25">
      <c r="A34" s="23" t="s">
        <v>278</v>
      </c>
      <c r="B34" s="24">
        <v>62.237200000000001</v>
      </c>
      <c r="C34" s="24">
        <v>33.414200000000001</v>
      </c>
      <c r="D34" s="2">
        <f t="shared" si="4"/>
        <v>53.688469275610082</v>
      </c>
      <c r="E34" s="24">
        <v>37.535699999999999</v>
      </c>
      <c r="F34" s="2">
        <f t="shared" si="3"/>
        <v>112.33457631785288</v>
      </c>
      <c r="G34" s="24">
        <v>36.478900000000003</v>
      </c>
      <c r="H34" s="41">
        <f t="shared" si="3"/>
        <v>97.184546977943683</v>
      </c>
    </row>
    <row r="35" spans="1:8" x14ac:dyDescent="0.25">
      <c r="A35" s="23" t="s">
        <v>381</v>
      </c>
      <c r="B35" s="24"/>
      <c r="C35" s="24"/>
      <c r="D35" s="2"/>
      <c r="E35" s="24"/>
      <c r="F35" s="2"/>
      <c r="G35" s="24"/>
      <c r="H35" s="41"/>
    </row>
    <row r="36" spans="1:8" ht="75" x14ac:dyDescent="0.25">
      <c r="A36" s="28" t="s">
        <v>279</v>
      </c>
      <c r="B36" s="24">
        <v>22.965699999999998</v>
      </c>
      <c r="C36" s="24">
        <v>14.153</v>
      </c>
      <c r="D36" s="2">
        <f t="shared" si="4"/>
        <v>61.626686754594907</v>
      </c>
      <c r="E36" s="24">
        <v>17.637</v>
      </c>
      <c r="F36" s="2">
        <f t="shared" si="3"/>
        <v>124.61668904119267</v>
      </c>
      <c r="G36" s="24">
        <v>15.896000000000001</v>
      </c>
      <c r="H36" s="41">
        <f t="shared" si="3"/>
        <v>90.128706696150147</v>
      </c>
    </row>
    <row r="37" spans="1:8" ht="92.15" customHeight="1" x14ac:dyDescent="0.25">
      <c r="A37" s="28" t="s">
        <v>280</v>
      </c>
      <c r="B37" s="24">
        <v>12.46</v>
      </c>
      <c r="C37" s="24">
        <v>13.4887</v>
      </c>
      <c r="D37" s="2">
        <f t="shared" si="4"/>
        <v>108.25601926163723</v>
      </c>
      <c r="E37" s="24">
        <v>13.898199999999999</v>
      </c>
      <c r="F37" s="2">
        <f t="shared" si="3"/>
        <v>103.03587447270679</v>
      </c>
      <c r="G37" s="24">
        <v>14.3064</v>
      </c>
      <c r="H37" s="41">
        <f t="shared" si="3"/>
        <v>102.93707098760991</v>
      </c>
    </row>
    <row r="38" spans="1:8" ht="25" x14ac:dyDescent="0.25">
      <c r="A38" s="28" t="s">
        <v>281</v>
      </c>
      <c r="B38" s="24">
        <v>25.1</v>
      </c>
      <c r="C38" s="24">
        <v>4.0609999999999999</v>
      </c>
      <c r="D38" s="2">
        <f t="shared" si="4"/>
        <v>16.179282868525895</v>
      </c>
      <c r="E38" s="24">
        <v>4.2889999999999997</v>
      </c>
      <c r="F38" s="2">
        <f t="shared" si="3"/>
        <v>105.61438069441024</v>
      </c>
      <c r="G38" s="24">
        <v>4.5650000000000004</v>
      </c>
      <c r="H38" s="41">
        <f t="shared" si="3"/>
        <v>106.43506644905574</v>
      </c>
    </row>
    <row r="39" spans="1:8" ht="25" x14ac:dyDescent="0.25">
      <c r="A39" s="30" t="s">
        <v>282</v>
      </c>
      <c r="B39" s="24">
        <f>SUM(B40:B42)</f>
        <v>1079.4947999999999</v>
      </c>
      <c r="C39" s="24">
        <f>SUM(C40:C42)</f>
        <v>1060.0914</v>
      </c>
      <c r="D39" s="2">
        <f t="shared" si="4"/>
        <v>98.202548080824485</v>
      </c>
      <c r="E39" s="24">
        <f t="shared" ref="E39:G39" si="8">SUM(E40:E42)</f>
        <v>1101.1506999999999</v>
      </c>
      <c r="F39" s="2">
        <f t="shared" si="3"/>
        <v>103.87318489707584</v>
      </c>
      <c r="G39" s="24">
        <f t="shared" si="8"/>
        <v>1147.3342</v>
      </c>
      <c r="H39" s="41">
        <f t="shared" si="3"/>
        <v>104.19411257696154</v>
      </c>
    </row>
    <row r="40" spans="1:8" ht="25" x14ac:dyDescent="0.25">
      <c r="A40" s="28" t="s">
        <v>283</v>
      </c>
      <c r="B40" s="24">
        <v>38.766300000000001</v>
      </c>
      <c r="C40" s="24">
        <v>40.5503</v>
      </c>
      <c r="D40" s="2">
        <f t="shared" si="4"/>
        <v>104.60193518597339</v>
      </c>
      <c r="E40" s="24">
        <v>40.706200000000003</v>
      </c>
      <c r="F40" s="2">
        <f t="shared" si="3"/>
        <v>100.38446078080806</v>
      </c>
      <c r="G40" s="24">
        <v>40.706200000000003</v>
      </c>
      <c r="H40" s="41">
        <f t="shared" si="3"/>
        <v>100</v>
      </c>
    </row>
    <row r="41" spans="1:8" x14ac:dyDescent="0.25">
      <c r="A41" s="28" t="s">
        <v>284</v>
      </c>
      <c r="B41" s="24">
        <v>166.297</v>
      </c>
      <c r="C41" s="24">
        <v>11.006</v>
      </c>
      <c r="D41" s="2">
        <f t="shared" si="4"/>
        <v>6.6182793435840699</v>
      </c>
      <c r="E41" s="24">
        <v>12.608000000000001</v>
      </c>
      <c r="F41" s="2">
        <f t="shared" si="3"/>
        <v>114.55569689260403</v>
      </c>
      <c r="G41" s="24">
        <v>11.927</v>
      </c>
      <c r="H41" s="41">
        <f t="shared" si="3"/>
        <v>94.598667512690355</v>
      </c>
    </row>
    <row r="42" spans="1:8" x14ac:dyDescent="0.25">
      <c r="A42" s="28" t="s">
        <v>285</v>
      </c>
      <c r="B42" s="24">
        <v>874.43150000000003</v>
      </c>
      <c r="C42" s="24">
        <v>1008.5351000000001</v>
      </c>
      <c r="D42" s="2">
        <f t="shared" si="4"/>
        <v>115.33608979090988</v>
      </c>
      <c r="E42" s="24">
        <v>1047.8364999999999</v>
      </c>
      <c r="F42" s="2">
        <f t="shared" si="3"/>
        <v>103.89687974171646</v>
      </c>
      <c r="G42" s="24">
        <v>1094.701</v>
      </c>
      <c r="H42" s="41">
        <f t="shared" si="3"/>
        <v>104.47250119651301</v>
      </c>
    </row>
    <row r="43" spans="1:8" ht="25" x14ac:dyDescent="0.25">
      <c r="A43" s="30" t="s">
        <v>286</v>
      </c>
      <c r="B43" s="24">
        <f t="shared" ref="B43:G43" si="9">SUM(B44:B45)</f>
        <v>206</v>
      </c>
      <c r="C43" s="24">
        <f t="shared" si="9"/>
        <v>74.879599999999996</v>
      </c>
      <c r="D43" s="2">
        <f t="shared" si="4"/>
        <v>36.349320388349518</v>
      </c>
      <c r="E43" s="24">
        <f t="shared" si="9"/>
        <v>64.471599999999995</v>
      </c>
      <c r="F43" s="2">
        <f t="shared" si="3"/>
        <v>86.100353100176818</v>
      </c>
      <c r="G43" s="24">
        <f t="shared" si="9"/>
        <v>61.215700000000005</v>
      </c>
      <c r="H43" s="41">
        <f t="shared" si="3"/>
        <v>94.949869399859793</v>
      </c>
    </row>
    <row r="44" spans="1:8" x14ac:dyDescent="0.25">
      <c r="A44" s="28" t="s">
        <v>287</v>
      </c>
      <c r="B44" s="24">
        <v>2.1669999999999998</v>
      </c>
      <c r="C44" s="24">
        <v>2.3069999999999999</v>
      </c>
      <c r="D44" s="2">
        <f t="shared" si="4"/>
        <v>106.46054453161054</v>
      </c>
      <c r="E44" s="24">
        <v>2.34</v>
      </c>
      <c r="F44" s="2">
        <f t="shared" si="3"/>
        <v>101.43042912873861</v>
      </c>
      <c r="G44" s="24">
        <v>2.3740000000000001</v>
      </c>
      <c r="H44" s="41">
        <f t="shared" si="3"/>
        <v>101.45299145299147</v>
      </c>
    </row>
    <row r="45" spans="1:8" x14ac:dyDescent="0.25">
      <c r="A45" s="28" t="s">
        <v>288</v>
      </c>
      <c r="B45" s="24">
        <v>203.833</v>
      </c>
      <c r="C45" s="24">
        <v>72.572599999999994</v>
      </c>
      <c r="D45" s="2">
        <f t="shared" si="4"/>
        <v>35.603950292641521</v>
      </c>
      <c r="E45" s="24">
        <v>62.131599999999999</v>
      </c>
      <c r="F45" s="2">
        <f t="shared" si="3"/>
        <v>85.613027506248912</v>
      </c>
      <c r="G45" s="24">
        <v>58.841700000000003</v>
      </c>
      <c r="H45" s="41">
        <f t="shared" si="3"/>
        <v>94.704948850504422</v>
      </c>
    </row>
    <row r="46" spans="1:8" ht="25" x14ac:dyDescent="0.25">
      <c r="A46" s="30" t="s">
        <v>289</v>
      </c>
      <c r="B46" s="24">
        <v>18.8</v>
      </c>
      <c r="C46" s="24">
        <v>0.2</v>
      </c>
      <c r="D46" s="2">
        <f t="shared" si="4"/>
        <v>1.0638297872340425</v>
      </c>
      <c r="E46" s="24">
        <v>0.2</v>
      </c>
      <c r="F46" s="2">
        <f t="shared" si="3"/>
        <v>100</v>
      </c>
      <c r="G46" s="24">
        <v>0.2</v>
      </c>
      <c r="H46" s="41">
        <f t="shared" si="3"/>
        <v>100</v>
      </c>
    </row>
    <row r="47" spans="1:8" x14ac:dyDescent="0.25">
      <c r="A47" s="30" t="s">
        <v>290</v>
      </c>
      <c r="B47" s="24">
        <v>1.2</v>
      </c>
      <c r="C47" s="24">
        <v>0.1234</v>
      </c>
      <c r="D47" s="2">
        <f t="shared" si="4"/>
        <v>10.283333333333333</v>
      </c>
      <c r="E47" s="24">
        <v>0.1234</v>
      </c>
      <c r="F47" s="2">
        <f t="shared" si="3"/>
        <v>100</v>
      </c>
      <c r="G47" s="24">
        <v>0.1234</v>
      </c>
      <c r="H47" s="41">
        <f t="shared" si="3"/>
        <v>100</v>
      </c>
    </row>
    <row r="48" spans="1:8" x14ac:dyDescent="0.25">
      <c r="A48" s="30" t="s">
        <v>291</v>
      </c>
      <c r="B48" s="24">
        <v>359.6</v>
      </c>
      <c r="C48" s="24">
        <v>341.17430000000002</v>
      </c>
      <c r="D48" s="2">
        <f t="shared" si="4"/>
        <v>94.87605672969967</v>
      </c>
      <c r="E48" s="24">
        <v>341.41149999999999</v>
      </c>
      <c r="F48" s="2">
        <f t="shared" si="3"/>
        <v>100.0695245802512</v>
      </c>
      <c r="G48" s="24">
        <v>341.27330000000001</v>
      </c>
      <c r="H48" s="41">
        <f t="shared" si="3"/>
        <v>99.959520988601739</v>
      </c>
    </row>
    <row r="49" spans="1:8" x14ac:dyDescent="0.25">
      <c r="A49" s="30" t="s">
        <v>556</v>
      </c>
      <c r="B49" s="24">
        <v>-0.6</v>
      </c>
      <c r="C49" s="24">
        <v>0</v>
      </c>
      <c r="D49" s="2">
        <f t="shared" si="4"/>
        <v>0</v>
      </c>
      <c r="E49" s="24">
        <v>0</v>
      </c>
      <c r="F49" s="2"/>
      <c r="G49" s="24">
        <v>0</v>
      </c>
      <c r="H49" s="41"/>
    </row>
    <row r="50" spans="1:8" x14ac:dyDescent="0.25">
      <c r="A50" s="30"/>
      <c r="B50" s="24"/>
      <c r="C50" s="24"/>
      <c r="D50" s="2"/>
      <c r="E50" s="24"/>
      <c r="F50" s="2"/>
      <c r="G50" s="24"/>
      <c r="H50" s="41"/>
    </row>
    <row r="51" spans="1:8" ht="13" x14ac:dyDescent="0.25">
      <c r="A51" s="33" t="s">
        <v>368</v>
      </c>
      <c r="B51" s="34">
        <f>+B52+B57+B58+B60+B61+B59</f>
        <v>29140.322299999996</v>
      </c>
      <c r="C51" s="34">
        <f>+C52+C57+C58+C60+C61+C59</f>
        <v>28583.493700000003</v>
      </c>
      <c r="D51" s="38">
        <f>+C51/B51*100</f>
        <v>98.089147421681076</v>
      </c>
      <c r="E51" s="34">
        <f>+E52+E57+E58+E60+E61+E59</f>
        <v>27777.986500000003</v>
      </c>
      <c r="F51" s="38">
        <f t="shared" si="3"/>
        <v>97.181914819600934</v>
      </c>
      <c r="G51" s="34">
        <f>+G52+G57+G58+G60+G61+G59</f>
        <v>28591.690500000001</v>
      </c>
      <c r="H51" s="40">
        <f t="shared" si="3"/>
        <v>102.92931238914672</v>
      </c>
    </row>
    <row r="52" spans="1:8" ht="37.5" x14ac:dyDescent="0.25">
      <c r="A52" s="28" t="s">
        <v>369</v>
      </c>
      <c r="B52" s="24">
        <f t="shared" ref="B52:G52" si="10">SUM(B53:B56)</f>
        <v>28567.0579</v>
      </c>
      <c r="C52" s="24">
        <f t="shared" si="10"/>
        <v>26004.731400000004</v>
      </c>
      <c r="D52" s="2">
        <f t="shared" si="4"/>
        <v>91.030485151920402</v>
      </c>
      <c r="E52" s="24">
        <f t="shared" si="10"/>
        <v>24984.124200000002</v>
      </c>
      <c r="F52" s="2">
        <f t="shared" si="3"/>
        <v>96.07530189679251</v>
      </c>
      <c r="G52" s="24">
        <f t="shared" si="10"/>
        <v>23074.3603</v>
      </c>
      <c r="H52" s="41">
        <f t="shared" si="3"/>
        <v>92.356090272718063</v>
      </c>
    </row>
    <row r="53" spans="1:8" x14ac:dyDescent="0.25">
      <c r="A53" s="25" t="s">
        <v>370</v>
      </c>
      <c r="B53" s="24">
        <v>10928.237800000001</v>
      </c>
      <c r="C53" s="24">
        <v>11503.834000000001</v>
      </c>
      <c r="D53" s="2">
        <f t="shared" si="4"/>
        <v>105.26705412651252</v>
      </c>
      <c r="E53" s="24">
        <v>11468.646000000001</v>
      </c>
      <c r="F53" s="2">
        <f t="shared" si="3"/>
        <v>99.694119369246806</v>
      </c>
      <c r="G53" s="24">
        <v>11472.147000000001</v>
      </c>
      <c r="H53" s="41">
        <f t="shared" si="3"/>
        <v>100.03052670733756</v>
      </c>
    </row>
    <row r="54" spans="1:8" x14ac:dyDescent="0.25">
      <c r="A54" s="25" t="s">
        <v>371</v>
      </c>
      <c r="B54" s="24">
        <v>7072.6665000000003</v>
      </c>
      <c r="C54" s="24">
        <v>8421.2234000000008</v>
      </c>
      <c r="D54" s="2">
        <f t="shared" si="4"/>
        <v>119.06716370692723</v>
      </c>
      <c r="E54" s="24">
        <v>7957.2380000000003</v>
      </c>
      <c r="F54" s="2">
        <f t="shared" si="3"/>
        <v>94.490285105130923</v>
      </c>
      <c r="G54" s="24">
        <v>6419.9898000000003</v>
      </c>
      <c r="H54" s="41">
        <f t="shared" si="3"/>
        <v>80.681133327921074</v>
      </c>
    </row>
    <row r="55" spans="1:8" x14ac:dyDescent="0.25">
      <c r="A55" s="25" t="s">
        <v>372</v>
      </c>
      <c r="B55" s="24">
        <v>3814.0722000000001</v>
      </c>
      <c r="C55" s="24">
        <v>4560.8332</v>
      </c>
      <c r="D55" s="2">
        <f t="shared" si="4"/>
        <v>119.57909973492373</v>
      </c>
      <c r="E55" s="24">
        <v>4445.0601999999999</v>
      </c>
      <c r="F55" s="2">
        <f t="shared" si="3"/>
        <v>97.461582238964581</v>
      </c>
      <c r="G55" s="24">
        <v>4509.8976000000002</v>
      </c>
      <c r="H55" s="41">
        <f t="shared" si="3"/>
        <v>101.45863941280255</v>
      </c>
    </row>
    <row r="56" spans="1:8" x14ac:dyDescent="0.25">
      <c r="A56" s="25" t="s">
        <v>373</v>
      </c>
      <c r="B56" s="24">
        <v>6752.0814</v>
      </c>
      <c r="C56" s="24">
        <v>1518.8407999999999</v>
      </c>
      <c r="D56" s="2">
        <f t="shared" si="4"/>
        <v>22.494408909229087</v>
      </c>
      <c r="E56" s="24">
        <v>1113.18</v>
      </c>
      <c r="F56" s="2">
        <f t="shared" si="3"/>
        <v>73.291420667656553</v>
      </c>
      <c r="G56" s="24">
        <v>672.32590000000005</v>
      </c>
      <c r="H56" s="41">
        <f t="shared" si="3"/>
        <v>60.396872024290772</v>
      </c>
    </row>
    <row r="57" spans="1:8" ht="37.5" x14ac:dyDescent="0.25">
      <c r="A57" s="28" t="s">
        <v>374</v>
      </c>
      <c r="B57" s="24">
        <v>528.18119999999999</v>
      </c>
      <c r="C57" s="24">
        <v>2068.1623</v>
      </c>
      <c r="D57" s="2">
        <f t="shared" si="4"/>
        <v>391.5630279911515</v>
      </c>
      <c r="E57" s="24">
        <v>2068.1623</v>
      </c>
      <c r="F57" s="2">
        <f t="shared" si="3"/>
        <v>100</v>
      </c>
      <c r="G57" s="41">
        <v>5517.3302000000003</v>
      </c>
      <c r="H57" s="41">
        <f>+G57/E57*100</f>
        <v>266.7745273182864</v>
      </c>
    </row>
    <row r="58" spans="1:8" ht="25" x14ac:dyDescent="0.25">
      <c r="A58" s="28" t="s">
        <v>375</v>
      </c>
      <c r="B58" s="24">
        <v>8.5300000000000001E-2</v>
      </c>
      <c r="C58" s="24"/>
      <c r="D58" s="2" t="s">
        <v>427</v>
      </c>
      <c r="E58" s="24"/>
      <c r="F58" s="2" t="s">
        <v>427</v>
      </c>
      <c r="G58" s="24"/>
      <c r="H58" s="41" t="s">
        <v>427</v>
      </c>
    </row>
    <row r="59" spans="1:8" x14ac:dyDescent="0.25">
      <c r="A59" s="28" t="s">
        <v>382</v>
      </c>
      <c r="B59" s="24">
        <v>35.526400000000002</v>
      </c>
      <c r="C59" s="24">
        <v>510.6</v>
      </c>
      <c r="D59" s="2">
        <f t="shared" si="4"/>
        <v>1437.2410376508737</v>
      </c>
      <c r="E59" s="24">
        <v>725.7</v>
      </c>
      <c r="F59" s="2">
        <f t="shared" si="3"/>
        <v>142.12690951821386</v>
      </c>
      <c r="G59" s="24">
        <v>0</v>
      </c>
      <c r="H59" s="41" t="s">
        <v>427</v>
      </c>
    </row>
    <row r="60" spans="1:8" ht="50" x14ac:dyDescent="0.25">
      <c r="A60" s="28" t="s">
        <v>376</v>
      </c>
      <c r="B60" s="24">
        <v>101.5239</v>
      </c>
      <c r="C60" s="24"/>
      <c r="D60" s="2" t="s">
        <v>427</v>
      </c>
      <c r="E60" s="24"/>
      <c r="F60" s="2" t="s">
        <v>427</v>
      </c>
      <c r="G60" s="24"/>
      <c r="H60" s="2" t="s">
        <v>427</v>
      </c>
    </row>
    <row r="61" spans="1:8" ht="38.5" customHeight="1" x14ac:dyDescent="0.25">
      <c r="A61" s="28" t="s">
        <v>377</v>
      </c>
      <c r="B61" s="24">
        <v>-92.052400000000006</v>
      </c>
      <c r="C61" s="24"/>
      <c r="D61" s="2" t="s">
        <v>427</v>
      </c>
      <c r="E61" s="24"/>
      <c r="F61" s="2" t="s">
        <v>427</v>
      </c>
      <c r="G61" s="24"/>
      <c r="H61" s="2" t="s">
        <v>427</v>
      </c>
    </row>
    <row r="62" spans="1:8" ht="13" x14ac:dyDescent="0.25">
      <c r="A62" s="35" t="s">
        <v>378</v>
      </c>
      <c r="B62" s="34">
        <f>+B9+B51</f>
        <v>89034.819399999993</v>
      </c>
      <c r="C62" s="34">
        <f>+C9+C51</f>
        <v>92215.749799999991</v>
      </c>
      <c r="D62" s="38">
        <f>+C62/B62*100</f>
        <v>103.5726813638036</v>
      </c>
      <c r="E62" s="34">
        <f>+E9+E51</f>
        <v>97349.153299999991</v>
      </c>
      <c r="F62" s="38">
        <f t="shared" si="3"/>
        <v>105.56673183391499</v>
      </c>
      <c r="G62" s="34">
        <f>+G9+G51</f>
        <v>102632.7586</v>
      </c>
      <c r="H62" s="40">
        <f t="shared" si="3"/>
        <v>105.42747946016291</v>
      </c>
    </row>
    <row r="63" spans="1:8" x14ac:dyDescent="0.25">
      <c r="A63" s="434"/>
      <c r="B63" s="435"/>
      <c r="C63" s="435"/>
      <c r="D63" s="435"/>
      <c r="E63" s="435"/>
      <c r="F63" s="435"/>
      <c r="G63" s="435"/>
      <c r="H63" s="436"/>
    </row>
    <row r="64" spans="1:8" x14ac:dyDescent="0.25">
      <c r="A64" s="31" t="s">
        <v>366</v>
      </c>
      <c r="B64" s="32">
        <f>+B11+B18+B20+B22+B26+B30</f>
        <v>58167.765099999997</v>
      </c>
      <c r="C64" s="32">
        <f>+C11+C18+C20+C22+C26+C30</f>
        <v>62122.373200000002</v>
      </c>
      <c r="D64" s="2">
        <f t="shared" ref="D64:D66" si="11">+C64/B64</f>
        <v>1.0679862479364881</v>
      </c>
      <c r="E64" s="32">
        <f>+E11+E18+E20+E22+E26+E30</f>
        <v>68026.2739</v>
      </c>
      <c r="F64" s="2">
        <f t="shared" ref="F64" si="12">+E64/C64*100</f>
        <v>109.50366252266744</v>
      </c>
      <c r="G64" s="32">
        <f>+G11+G18+G20+G22+G26+G30</f>
        <v>72454.442600000009</v>
      </c>
      <c r="H64" s="41">
        <f>+G64/E64*100</f>
        <v>106.50949764867251</v>
      </c>
    </row>
    <row r="65" spans="1:8" x14ac:dyDescent="0.25">
      <c r="A65" s="36" t="s">
        <v>379</v>
      </c>
      <c r="B65" s="39">
        <f>+B64/B62*100</f>
        <v>65.331479854723</v>
      </c>
      <c r="C65" s="39">
        <f>+C64/C62*100</f>
        <v>67.366337458332964</v>
      </c>
      <c r="D65" s="39"/>
      <c r="E65" s="39">
        <f>+E64/E62*100</f>
        <v>69.878649781743917</v>
      </c>
      <c r="F65" s="39"/>
      <c r="G65" s="39">
        <f>+G64/G62*100</f>
        <v>70.595824947454943</v>
      </c>
      <c r="H65" s="350"/>
    </row>
    <row r="66" spans="1:8" x14ac:dyDescent="0.25">
      <c r="A66" s="31" t="s">
        <v>367</v>
      </c>
      <c r="B66" s="32">
        <f>+B34+B39+B43+B46+B47+B48+B49</f>
        <v>1726.732</v>
      </c>
      <c r="C66" s="32">
        <f>+C34+C39+C43+C46+C47+C48+C49</f>
        <v>1509.8829000000001</v>
      </c>
      <c r="D66" s="2">
        <f t="shared" si="11"/>
        <v>0.87441646995596312</v>
      </c>
      <c r="E66" s="32">
        <f>+E34+E39+E43+E46+E47+E48+E49</f>
        <v>1544.8928999999998</v>
      </c>
      <c r="F66" s="2">
        <f t="shared" ref="F66" si="13">+E66/C66*100</f>
        <v>102.3187228625478</v>
      </c>
      <c r="G66" s="32">
        <f>+G34+G39+G43+G46+G47+G48+G49</f>
        <v>1586.6255000000001</v>
      </c>
      <c r="H66" s="41">
        <f>+G66/E66*100</f>
        <v>102.70132641557225</v>
      </c>
    </row>
    <row r="67" spans="1:8" ht="13" thickBot="1" x14ac:dyDescent="0.3">
      <c r="A67" s="37" t="s">
        <v>379</v>
      </c>
      <c r="B67" s="42">
        <f t="shared" ref="B67:G67" si="14">+B66/B62*100</f>
        <v>1.939389568751122</v>
      </c>
      <c r="C67" s="42">
        <f t="shared" si="14"/>
        <v>1.6373373347553697</v>
      </c>
      <c r="D67" s="42"/>
      <c r="E67" s="42">
        <f t="shared" si="14"/>
        <v>1.5869607979425537</v>
      </c>
      <c r="F67" s="42"/>
      <c r="G67" s="42">
        <f t="shared" si="14"/>
        <v>1.5459250259302688</v>
      </c>
      <c r="H67" s="351"/>
    </row>
    <row r="68" spans="1:8" ht="13" thickTop="1" x14ac:dyDescent="0.25"/>
    <row r="69" spans="1:8" x14ac:dyDescent="0.25">
      <c r="B69" s="352"/>
      <c r="C69" s="352"/>
      <c r="D69" s="352"/>
      <c r="E69" s="352"/>
      <c r="F69" s="352"/>
      <c r="G69" s="352"/>
      <c r="H69" s="352"/>
    </row>
    <row r="70" spans="1:8" x14ac:dyDescent="0.25">
      <c r="B70" s="352"/>
      <c r="C70" s="352"/>
      <c r="E70" s="352"/>
      <c r="G70" s="352"/>
    </row>
    <row r="71" spans="1:8" ht="20.25" customHeight="1" x14ac:dyDescent="0.25">
      <c r="C71" s="352"/>
      <c r="E71" s="352"/>
      <c r="G71" s="352"/>
    </row>
    <row r="74" spans="1:8" x14ac:dyDescent="0.25">
      <c r="C74" s="353"/>
    </row>
  </sheetData>
  <mergeCells count="5">
    <mergeCell ref="A63:H63"/>
    <mergeCell ref="B6:B7"/>
    <mergeCell ref="A6:A7"/>
    <mergeCell ref="A3:H3"/>
    <mergeCell ref="C6:H6"/>
  </mergeCells>
  <pageMargins left="0.39370078740157483" right="0.39370078740157483" top="0.78740157480314965" bottom="0.59055118110236227" header="0.31496062992125984" footer="0.31496062992125984"/>
  <pageSetup paperSize="9" fitToHeight="0" orientation="landscape" r:id="rId1"/>
  <headerFooter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R43"/>
  <sheetViews>
    <sheetView topLeftCell="A4" zoomScaleNormal="100" workbookViewId="0">
      <pane xSplit="2" ySplit="4" topLeftCell="C8" activePane="bottomRight" state="frozen"/>
      <selection activeCell="A4" sqref="A4"/>
      <selection pane="topRight" activeCell="C4" sqref="C4"/>
      <selection pane="bottomLeft" activeCell="A8" sqref="A8"/>
      <selection pane="bottomRight" activeCell="J1" sqref="J1"/>
    </sheetView>
  </sheetViews>
  <sheetFormatPr defaultColWidth="8.81640625" defaultRowHeight="12.5" x14ac:dyDescent="0.25"/>
  <cols>
    <col min="1" max="1" width="51.26953125" style="135" customWidth="1"/>
    <col min="2" max="2" width="7.54296875" style="135" customWidth="1"/>
    <col min="3" max="3" width="11.54296875" style="135" customWidth="1"/>
    <col min="4" max="4" width="16.7265625" style="135" customWidth="1"/>
    <col min="5" max="5" width="8.81640625" style="135" bestFit="1" customWidth="1"/>
    <col min="6" max="6" width="12.453125" style="135" customWidth="1"/>
    <col min="7" max="7" width="8.1796875" style="135" bestFit="1" customWidth="1"/>
    <col min="8" max="8" width="11.7265625" style="135" customWidth="1"/>
    <col min="9" max="9" width="8.1796875" style="135" bestFit="1" customWidth="1"/>
    <col min="10" max="10" width="11.26953125" style="135" customWidth="1"/>
    <col min="11" max="11" width="8.81640625" style="135" customWidth="1"/>
    <col min="12" max="16384" width="8.81640625" style="135"/>
  </cols>
  <sheetData>
    <row r="1" spans="1:12" x14ac:dyDescent="0.25">
      <c r="J1" s="136" t="s">
        <v>559</v>
      </c>
    </row>
    <row r="2" spans="1:12" x14ac:dyDescent="0.25">
      <c r="J2" s="136"/>
    </row>
    <row r="3" spans="1:12" x14ac:dyDescent="0.25">
      <c r="A3" s="450" t="s">
        <v>461</v>
      </c>
      <c r="B3" s="450"/>
      <c r="C3" s="450"/>
      <c r="D3" s="450"/>
      <c r="E3" s="450"/>
      <c r="F3" s="450"/>
      <c r="G3" s="450"/>
      <c r="H3" s="450"/>
      <c r="I3" s="450"/>
      <c r="J3" s="450"/>
    </row>
    <row r="5" spans="1:12" ht="13" thickBot="1" x14ac:dyDescent="0.3">
      <c r="E5" s="142"/>
      <c r="J5" s="136" t="s">
        <v>225</v>
      </c>
    </row>
    <row r="6" spans="1:12" ht="14.5" customHeight="1" thickTop="1" x14ac:dyDescent="0.25">
      <c r="A6" s="444" t="s">
        <v>413</v>
      </c>
      <c r="B6" s="448" t="s">
        <v>414</v>
      </c>
      <c r="C6" s="446" t="s">
        <v>462</v>
      </c>
      <c r="D6" s="446" t="s">
        <v>463</v>
      </c>
      <c r="E6" s="451" t="s">
        <v>57</v>
      </c>
      <c r="F6" s="452"/>
      <c r="G6" s="452"/>
      <c r="H6" s="452"/>
      <c r="I6" s="452"/>
      <c r="J6" s="453"/>
    </row>
    <row r="7" spans="1:12" ht="75" x14ac:dyDescent="0.25">
      <c r="A7" s="445"/>
      <c r="B7" s="449"/>
      <c r="C7" s="447"/>
      <c r="D7" s="447"/>
      <c r="E7" s="137" t="s">
        <v>230</v>
      </c>
      <c r="F7" s="138" t="s">
        <v>464</v>
      </c>
      <c r="G7" s="137" t="s">
        <v>254</v>
      </c>
      <c r="H7" s="137" t="s">
        <v>255</v>
      </c>
      <c r="I7" s="137" t="s">
        <v>465</v>
      </c>
      <c r="J7" s="139" t="s">
        <v>466</v>
      </c>
    </row>
    <row r="8" spans="1:12" x14ac:dyDescent="0.25">
      <c r="A8" s="140" t="s">
        <v>17</v>
      </c>
      <c r="B8" s="141" t="s">
        <v>237</v>
      </c>
      <c r="C8" s="137">
        <v>1</v>
      </c>
      <c r="D8" s="137">
        <v>2</v>
      </c>
      <c r="E8" s="137">
        <v>3</v>
      </c>
      <c r="F8" s="138" t="s">
        <v>231</v>
      </c>
      <c r="G8" s="137">
        <v>5</v>
      </c>
      <c r="H8" s="137" t="s">
        <v>232</v>
      </c>
      <c r="I8" s="137">
        <v>7</v>
      </c>
      <c r="J8" s="139" t="s">
        <v>233</v>
      </c>
    </row>
    <row r="9" spans="1:12" ht="25" x14ac:dyDescent="0.25">
      <c r="A9" s="143" t="s">
        <v>383</v>
      </c>
      <c r="B9" s="144">
        <v>19</v>
      </c>
      <c r="C9" s="145">
        <v>2904.1893407900002</v>
      </c>
      <c r="D9" s="145">
        <v>9137.1951537600034</v>
      </c>
      <c r="E9" s="145">
        <v>8893.9643999999971</v>
      </c>
      <c r="F9" s="145">
        <f t="shared" ref="F9:F38" si="0">E9/D9*100</f>
        <v>97.338015116598271</v>
      </c>
      <c r="G9" s="145">
        <v>5428.0179000000016</v>
      </c>
      <c r="H9" s="145">
        <f t="shared" ref="H9:H38" si="1">G9/E9*100</f>
        <v>61.030353348389873</v>
      </c>
      <c r="I9" s="145">
        <v>3172.2487999999994</v>
      </c>
      <c r="J9" s="146">
        <f>I9/G9*100</f>
        <v>58.442121202290039</v>
      </c>
      <c r="L9" s="147"/>
    </row>
    <row r="10" spans="1:12" ht="25" x14ac:dyDescent="0.25">
      <c r="A10" s="143" t="s">
        <v>384</v>
      </c>
      <c r="B10" s="144">
        <v>23</v>
      </c>
      <c r="C10" s="145">
        <v>4226.9806951599994</v>
      </c>
      <c r="D10" s="145">
        <v>5054.9641877200002</v>
      </c>
      <c r="E10" s="145">
        <v>5262.0996999999988</v>
      </c>
      <c r="F10" s="145">
        <f t="shared" si="0"/>
        <v>104.09766527690132</v>
      </c>
      <c r="G10" s="148">
        <v>5767.8599999999988</v>
      </c>
      <c r="H10" s="145">
        <f t="shared" si="1"/>
        <v>109.61137813485367</v>
      </c>
      <c r="I10" s="148">
        <v>6979.9336999999996</v>
      </c>
      <c r="J10" s="146">
        <f t="shared" ref="J10:J40" si="2">I10/G10*100</f>
        <v>121.01427045732736</v>
      </c>
      <c r="L10" s="147"/>
    </row>
    <row r="11" spans="1:12" ht="25" x14ac:dyDescent="0.25">
      <c r="A11" s="143" t="s">
        <v>385</v>
      </c>
      <c r="B11" s="144">
        <v>45</v>
      </c>
      <c r="C11" s="145">
        <v>1212.1170109200004</v>
      </c>
      <c r="D11" s="145">
        <v>1793.6322206799998</v>
      </c>
      <c r="E11" s="145">
        <v>1923.9893000000004</v>
      </c>
      <c r="F11" s="145">
        <f t="shared" si="0"/>
        <v>107.26777082932753</v>
      </c>
      <c r="G11" s="148">
        <v>1531.4626000000001</v>
      </c>
      <c r="H11" s="145">
        <f t="shared" si="1"/>
        <v>79.598290905256064</v>
      </c>
      <c r="I11" s="148">
        <v>1575.5989999999997</v>
      </c>
      <c r="J11" s="146">
        <f t="shared" si="2"/>
        <v>102.88197700681685</v>
      </c>
      <c r="L11" s="147"/>
    </row>
    <row r="12" spans="1:12" x14ac:dyDescent="0.25">
      <c r="A12" s="143" t="s">
        <v>386</v>
      </c>
      <c r="B12" s="144">
        <v>62</v>
      </c>
      <c r="C12" s="145">
        <v>15211.519478769997</v>
      </c>
      <c r="D12" s="145">
        <v>16539.424792590002</v>
      </c>
      <c r="E12" s="145">
        <v>17604.0933</v>
      </c>
      <c r="F12" s="145">
        <f t="shared" si="0"/>
        <v>106.43715558891135</v>
      </c>
      <c r="G12" s="148">
        <v>15936.576700000001</v>
      </c>
      <c r="H12" s="145">
        <f t="shared" si="1"/>
        <v>90.527676878422369</v>
      </c>
      <c r="I12" s="148">
        <v>16331.895500000002</v>
      </c>
      <c r="J12" s="146">
        <f t="shared" si="2"/>
        <v>102.48057539233002</v>
      </c>
      <c r="L12" s="147"/>
    </row>
    <row r="13" spans="1:12" ht="25" x14ac:dyDescent="0.25">
      <c r="A13" s="143" t="s">
        <v>387</v>
      </c>
      <c r="B13" s="144">
        <v>68</v>
      </c>
      <c r="C13" s="145">
        <v>99.60958328000001</v>
      </c>
      <c r="D13" s="145">
        <v>82.249015999999997</v>
      </c>
      <c r="E13" s="145">
        <v>155.61449999999999</v>
      </c>
      <c r="F13" s="145">
        <f t="shared" si="0"/>
        <v>189.19922397612635</v>
      </c>
      <c r="G13" s="148">
        <v>115.57469999999999</v>
      </c>
      <c r="H13" s="145">
        <f t="shared" si="1"/>
        <v>74.26987844963034</v>
      </c>
      <c r="I13" s="148">
        <v>33.029600000000002</v>
      </c>
      <c r="J13" s="146">
        <f t="shared" si="2"/>
        <v>28.578572992186007</v>
      </c>
      <c r="L13" s="147"/>
    </row>
    <row r="14" spans="1:12" x14ac:dyDescent="0.25">
      <c r="A14" s="143" t="s">
        <v>388</v>
      </c>
      <c r="B14" s="144">
        <v>69</v>
      </c>
      <c r="C14" s="145">
        <v>1683.9154012199999</v>
      </c>
      <c r="D14" s="145">
        <v>1467.9909982200002</v>
      </c>
      <c r="E14" s="145">
        <v>1485.1381000000001</v>
      </c>
      <c r="F14" s="145">
        <f t="shared" si="0"/>
        <v>101.16806586694275</v>
      </c>
      <c r="G14" s="148">
        <v>1406.0338999999999</v>
      </c>
      <c r="H14" s="145">
        <f t="shared" si="1"/>
        <v>94.673613181158018</v>
      </c>
      <c r="I14" s="148">
        <v>1448.9954</v>
      </c>
      <c r="J14" s="146">
        <f t="shared" si="2"/>
        <v>103.05550954354659</v>
      </c>
      <c r="L14" s="147"/>
    </row>
    <row r="15" spans="1:12" ht="25" x14ac:dyDescent="0.25">
      <c r="A15" s="143" t="s">
        <v>389</v>
      </c>
      <c r="B15" s="144">
        <v>72</v>
      </c>
      <c r="C15" s="145">
        <v>599.29946402999997</v>
      </c>
      <c r="D15" s="145">
        <v>757.28913920000002</v>
      </c>
      <c r="E15" s="145">
        <v>881.04019999999991</v>
      </c>
      <c r="F15" s="145">
        <f t="shared" si="0"/>
        <v>116.34132254038801</v>
      </c>
      <c r="G15" s="148">
        <v>537.69110000000001</v>
      </c>
      <c r="H15" s="145">
        <f t="shared" si="1"/>
        <v>61.029122167183743</v>
      </c>
      <c r="I15" s="148">
        <v>537.99749999999995</v>
      </c>
      <c r="J15" s="146">
        <f t="shared" si="2"/>
        <v>100.05698439122388</v>
      </c>
      <c r="L15" s="147"/>
    </row>
    <row r="16" spans="1:12" x14ac:dyDescent="0.25">
      <c r="A16" s="143" t="s">
        <v>390</v>
      </c>
      <c r="B16" s="144">
        <v>75</v>
      </c>
      <c r="C16" s="145">
        <v>19912.229180869996</v>
      </c>
      <c r="D16" s="145">
        <v>21176.178540280005</v>
      </c>
      <c r="E16" s="145">
        <v>22960.035799999994</v>
      </c>
      <c r="F16" s="145">
        <f t="shared" si="0"/>
        <v>108.42388656823442</v>
      </c>
      <c r="G16" s="148">
        <v>23848.881499999989</v>
      </c>
      <c r="H16" s="145">
        <f t="shared" si="1"/>
        <v>103.87127314496607</v>
      </c>
      <c r="I16" s="148">
        <v>24754.7255</v>
      </c>
      <c r="J16" s="146">
        <f t="shared" si="2"/>
        <v>103.79826617864663</v>
      </c>
      <c r="L16" s="147"/>
    </row>
    <row r="17" spans="1:18" ht="25" x14ac:dyDescent="0.25">
      <c r="A17" s="143" t="s">
        <v>391</v>
      </c>
      <c r="B17" s="144">
        <v>83</v>
      </c>
      <c r="C17" s="145">
        <v>1033.3127154399999</v>
      </c>
      <c r="D17" s="145">
        <v>952.88571796000019</v>
      </c>
      <c r="E17" s="145">
        <v>919.12469999999996</v>
      </c>
      <c r="F17" s="145">
        <f t="shared" si="0"/>
        <v>96.456970933274349</v>
      </c>
      <c r="G17" s="148">
        <v>805.70960000000014</v>
      </c>
      <c r="H17" s="145">
        <f t="shared" si="1"/>
        <v>87.660531808143134</v>
      </c>
      <c r="I17" s="148">
        <v>820.04740000000015</v>
      </c>
      <c r="J17" s="146">
        <f t="shared" si="2"/>
        <v>101.77952453340508</v>
      </c>
      <c r="L17" s="147"/>
    </row>
    <row r="18" spans="1:18" x14ac:dyDescent="0.25">
      <c r="A18" s="143" t="s">
        <v>392</v>
      </c>
      <c r="B18" s="144">
        <v>90</v>
      </c>
      <c r="C18" s="145">
        <v>6119.0976667699997</v>
      </c>
      <c r="D18" s="145">
        <v>8579.3974247900005</v>
      </c>
      <c r="E18" s="145">
        <v>10030.527199999999</v>
      </c>
      <c r="F18" s="145">
        <f t="shared" si="0"/>
        <v>116.914122325386</v>
      </c>
      <c r="G18" s="148">
        <v>11034.325000000001</v>
      </c>
      <c r="H18" s="145">
        <f t="shared" si="1"/>
        <v>110.00742812401727</v>
      </c>
      <c r="I18" s="148">
        <v>10156.991900000001</v>
      </c>
      <c r="J18" s="146">
        <f t="shared" si="2"/>
        <v>92.049055107584749</v>
      </c>
      <c r="L18" s="147"/>
    </row>
    <row r="19" spans="1:18" x14ac:dyDescent="0.25">
      <c r="A19" s="143" t="s">
        <v>393</v>
      </c>
      <c r="B19" s="144">
        <v>104</v>
      </c>
      <c r="C19" s="148">
        <v>5545.6032939700008</v>
      </c>
      <c r="D19" s="148">
        <v>8607.6515279899995</v>
      </c>
      <c r="E19" s="148">
        <v>9517.4513000000006</v>
      </c>
      <c r="F19" s="145">
        <f t="shared" si="0"/>
        <v>110.56966315436392</v>
      </c>
      <c r="G19" s="148">
        <v>11613.6108</v>
      </c>
      <c r="H19" s="145">
        <f t="shared" si="1"/>
        <v>122.02437852243068</v>
      </c>
      <c r="I19" s="148">
        <v>12055.994999999999</v>
      </c>
      <c r="J19" s="146">
        <f t="shared" si="2"/>
        <v>103.80918740621132</v>
      </c>
      <c r="L19" s="147"/>
    </row>
    <row r="20" spans="1:18" ht="25" x14ac:dyDescent="0.25">
      <c r="A20" s="143" t="s">
        <v>394</v>
      </c>
      <c r="B20" s="144">
        <v>138</v>
      </c>
      <c r="C20" s="148">
        <v>183.59061009999996</v>
      </c>
      <c r="D20" s="148">
        <v>699.52726538000013</v>
      </c>
      <c r="E20" s="148">
        <v>375.62560000000002</v>
      </c>
      <c r="F20" s="145">
        <f t="shared" si="0"/>
        <v>53.697063515594515</v>
      </c>
      <c r="G20" s="148">
        <v>295.9692</v>
      </c>
      <c r="H20" s="145">
        <f t="shared" si="1"/>
        <v>78.793671144884698</v>
      </c>
      <c r="I20" s="149">
        <v>361.95680000000004</v>
      </c>
      <c r="J20" s="146">
        <f t="shared" si="2"/>
        <v>122.29542803778233</v>
      </c>
      <c r="L20" s="147"/>
    </row>
    <row r="21" spans="1:18" ht="25" x14ac:dyDescent="0.25">
      <c r="A21" s="143" t="s">
        <v>395</v>
      </c>
      <c r="B21" s="144">
        <v>156</v>
      </c>
      <c r="C21" s="148">
        <v>12165.166586429994</v>
      </c>
      <c r="D21" s="148">
        <v>13536.4597761</v>
      </c>
      <c r="E21" s="148">
        <v>15108.552800000003</v>
      </c>
      <c r="F21" s="145">
        <f t="shared" si="0"/>
        <v>111.61376792679347</v>
      </c>
      <c r="G21" s="148">
        <v>14198.746499999999</v>
      </c>
      <c r="H21" s="145">
        <f t="shared" si="1"/>
        <v>93.978203524562559</v>
      </c>
      <c r="I21" s="148">
        <v>15791.329599999995</v>
      </c>
      <c r="J21" s="146">
        <f t="shared" si="2"/>
        <v>111.21636406425029</v>
      </c>
      <c r="L21" s="147"/>
    </row>
    <row r="22" spans="1:18" ht="25" x14ac:dyDescent="0.25">
      <c r="A22" s="143" t="s">
        <v>396</v>
      </c>
      <c r="B22" s="144">
        <v>163</v>
      </c>
      <c r="C22" s="148">
        <v>85.391891540000003</v>
      </c>
      <c r="D22" s="148">
        <v>93.051799990000006</v>
      </c>
      <c r="E22" s="148">
        <v>114.30410000000001</v>
      </c>
      <c r="F22" s="145">
        <f t="shared" si="0"/>
        <v>122.83921430029716</v>
      </c>
      <c r="G22" s="148">
        <v>84.132300000000001</v>
      </c>
      <c r="H22" s="145">
        <f t="shared" si="1"/>
        <v>73.603921469133653</v>
      </c>
      <c r="I22" s="149">
        <v>86.948100000000011</v>
      </c>
      <c r="J22" s="146">
        <f t="shared" si="2"/>
        <v>103.34687153447607</v>
      </c>
      <c r="L22" s="147"/>
    </row>
    <row r="23" spans="1:18" ht="25" x14ac:dyDescent="0.25">
      <c r="A23" s="143" t="s">
        <v>397</v>
      </c>
      <c r="B23" s="144">
        <v>176</v>
      </c>
      <c r="C23" s="148">
        <v>1461.3160751800001</v>
      </c>
      <c r="D23" s="148">
        <v>1502.3076246799999</v>
      </c>
      <c r="E23" s="150">
        <v>1545.9132</v>
      </c>
      <c r="F23" s="145">
        <f t="shared" si="0"/>
        <v>102.90257298862397</v>
      </c>
      <c r="G23" s="150">
        <v>1272.8022999999998</v>
      </c>
      <c r="H23" s="145">
        <f t="shared" si="1"/>
        <v>82.333361277981183</v>
      </c>
      <c r="I23" s="150">
        <v>1315.7340000000002</v>
      </c>
      <c r="J23" s="146">
        <f t="shared" si="2"/>
        <v>103.37300616128682</v>
      </c>
      <c r="L23" s="147"/>
    </row>
    <row r="24" spans="1:18" x14ac:dyDescent="0.25">
      <c r="A24" s="143" t="s">
        <v>398</v>
      </c>
      <c r="B24" s="144">
        <v>263</v>
      </c>
      <c r="C24" s="148">
        <v>498.89379509999992</v>
      </c>
      <c r="D24" s="148">
        <v>590.16738064000003</v>
      </c>
      <c r="E24" s="148">
        <v>729.32500000000005</v>
      </c>
      <c r="F24" s="145">
        <f t="shared" si="0"/>
        <v>123.57934781300386</v>
      </c>
      <c r="G24" s="148">
        <v>548.88510000000008</v>
      </c>
      <c r="H24" s="145">
        <f t="shared" si="1"/>
        <v>75.259328831453743</v>
      </c>
      <c r="I24" s="148">
        <v>552.82659999999998</v>
      </c>
      <c r="J24" s="146">
        <f t="shared" si="2"/>
        <v>100.71809200140429</v>
      </c>
      <c r="L24" s="147"/>
    </row>
    <row r="25" spans="1:18" ht="25" x14ac:dyDescent="0.25">
      <c r="A25" s="143" t="s">
        <v>399</v>
      </c>
      <c r="B25" s="144">
        <v>300</v>
      </c>
      <c r="C25" s="148">
        <v>14.969432359999999</v>
      </c>
      <c r="D25" s="148">
        <v>18.717044960000003</v>
      </c>
      <c r="E25" s="150">
        <v>19.060400000000001</v>
      </c>
      <c r="F25" s="145">
        <f t="shared" si="0"/>
        <v>101.83445111519356</v>
      </c>
      <c r="G25" s="150">
        <v>19.702400000000001</v>
      </c>
      <c r="H25" s="145">
        <f t="shared" si="1"/>
        <v>103.36823991101971</v>
      </c>
      <c r="I25" s="150">
        <v>20.415599999999998</v>
      </c>
      <c r="J25" s="146">
        <f t="shared" si="2"/>
        <v>103.61986356992038</v>
      </c>
      <c r="L25" s="147"/>
    </row>
    <row r="26" spans="1:18" ht="25" x14ac:dyDescent="0.25">
      <c r="A26" s="143" t="s">
        <v>467</v>
      </c>
      <c r="B26" s="144">
        <v>301</v>
      </c>
      <c r="C26" s="148">
        <v>1174.0881826900002</v>
      </c>
      <c r="D26" s="148">
        <v>1514.8401253</v>
      </c>
      <c r="E26" s="148">
        <v>1409.5433000000005</v>
      </c>
      <c r="F26" s="145">
        <f t="shared" si="0"/>
        <v>93.048980975523975</v>
      </c>
      <c r="G26" s="148">
        <v>981.2751999999997</v>
      </c>
      <c r="H26" s="145">
        <f t="shared" si="1"/>
        <v>69.616534660552773</v>
      </c>
      <c r="I26" s="148">
        <v>988.92430000000013</v>
      </c>
      <c r="J26" s="146">
        <f t="shared" si="2"/>
        <v>100.77950609574158</v>
      </c>
      <c r="L26" s="147"/>
    </row>
    <row r="27" spans="1:18" x14ac:dyDescent="0.25">
      <c r="A27" s="143" t="s">
        <v>400</v>
      </c>
      <c r="B27" s="144">
        <v>304</v>
      </c>
      <c r="C27" s="148">
        <v>47.864271860000009</v>
      </c>
      <c r="D27" s="148">
        <v>48.507688719999997</v>
      </c>
      <c r="E27" s="148">
        <v>51.887299999999996</v>
      </c>
      <c r="F27" s="145">
        <f t="shared" si="0"/>
        <v>106.96716617340411</v>
      </c>
      <c r="G27" s="148">
        <v>53.530899999999995</v>
      </c>
      <c r="H27" s="145">
        <f t="shared" si="1"/>
        <v>103.167634469321</v>
      </c>
      <c r="I27" s="148">
        <v>55.469899999999996</v>
      </c>
      <c r="J27" s="146">
        <f t="shared" si="2"/>
        <v>103.62220698699257</v>
      </c>
      <c r="L27" s="147"/>
    </row>
    <row r="28" spans="1:18" x14ac:dyDescent="0.25">
      <c r="A28" s="143" t="s">
        <v>401</v>
      </c>
      <c r="B28" s="144">
        <v>306</v>
      </c>
      <c r="C28" s="148">
        <v>47.890218999999995</v>
      </c>
      <c r="D28" s="148">
        <v>56.629391460000001</v>
      </c>
      <c r="E28" s="148">
        <v>58.4452</v>
      </c>
      <c r="F28" s="145">
        <f t="shared" si="0"/>
        <v>103.20647722531611</v>
      </c>
      <c r="G28" s="148">
        <v>59.3947</v>
      </c>
      <c r="H28" s="145">
        <f t="shared" si="1"/>
        <v>101.62459876944556</v>
      </c>
      <c r="I28" s="148">
        <v>61.646799999999999</v>
      </c>
      <c r="J28" s="146">
        <f t="shared" si="2"/>
        <v>103.79175246276182</v>
      </c>
      <c r="L28" s="147"/>
    </row>
    <row r="29" spans="1:18" x14ac:dyDescent="0.25">
      <c r="A29" s="143" t="s">
        <v>402</v>
      </c>
      <c r="B29" s="144">
        <v>311</v>
      </c>
      <c r="C29" s="148">
        <v>214.29255261999998</v>
      </c>
      <c r="D29" s="148">
        <v>48.419999090000005</v>
      </c>
      <c r="E29" s="148">
        <v>209.3449</v>
      </c>
      <c r="F29" s="145">
        <f t="shared" si="0"/>
        <v>432.35213534573404</v>
      </c>
      <c r="G29" s="148">
        <v>51.386600000000001</v>
      </c>
      <c r="H29" s="145">
        <f t="shared" si="1"/>
        <v>24.546382548607586</v>
      </c>
      <c r="I29" s="148">
        <v>53.077200000000005</v>
      </c>
      <c r="J29" s="146">
        <f t="shared" si="2"/>
        <v>103.28996275293561</v>
      </c>
      <c r="L29" s="147"/>
    </row>
    <row r="30" spans="1:18" x14ac:dyDescent="0.25">
      <c r="A30" s="143" t="s">
        <v>403</v>
      </c>
      <c r="B30" s="144">
        <v>329</v>
      </c>
      <c r="C30" s="148">
        <v>190.77435418000002</v>
      </c>
      <c r="D30" s="148">
        <v>179.97540951000002</v>
      </c>
      <c r="E30" s="148">
        <v>203.1859</v>
      </c>
      <c r="F30" s="145">
        <f t="shared" si="0"/>
        <v>112.896478776291</v>
      </c>
      <c r="G30" s="148">
        <v>206.37969999999999</v>
      </c>
      <c r="H30" s="145">
        <f t="shared" si="1"/>
        <v>101.57186103957017</v>
      </c>
      <c r="I30" s="148">
        <v>210.69929999999999</v>
      </c>
      <c r="J30" s="146">
        <f t="shared" si="2"/>
        <v>102.09303531306617</v>
      </c>
      <c r="L30" s="147"/>
    </row>
    <row r="31" spans="1:18" ht="25" x14ac:dyDescent="0.25">
      <c r="A31" s="143" t="s">
        <v>404</v>
      </c>
      <c r="B31" s="144">
        <v>349</v>
      </c>
      <c r="C31" s="148">
        <v>68.709852810000001</v>
      </c>
      <c r="D31" s="148">
        <v>44.549876300000001</v>
      </c>
      <c r="E31" s="148">
        <v>77.140299999999996</v>
      </c>
      <c r="F31" s="145">
        <f t="shared" si="0"/>
        <v>173.15491401263441</v>
      </c>
      <c r="G31" s="148">
        <v>54.211100000000002</v>
      </c>
      <c r="H31" s="145">
        <f t="shared" si="1"/>
        <v>70.275977666667103</v>
      </c>
      <c r="I31" s="148">
        <v>17.244299999999999</v>
      </c>
      <c r="J31" s="146">
        <f t="shared" si="2"/>
        <v>31.809537161208677</v>
      </c>
      <c r="L31" s="147"/>
      <c r="R31" s="151"/>
    </row>
    <row r="32" spans="1:18" ht="25" x14ac:dyDescent="0.25">
      <c r="A32" s="143" t="s">
        <v>405</v>
      </c>
      <c r="B32" s="144">
        <v>351</v>
      </c>
      <c r="C32" s="148">
        <v>113.22668211000001</v>
      </c>
      <c r="D32" s="148">
        <v>137.9265</v>
      </c>
      <c r="E32" s="148">
        <v>134.48030000000003</v>
      </c>
      <c r="F32" s="145">
        <f t="shared" si="0"/>
        <v>97.501422859276516</v>
      </c>
      <c r="G32" s="148">
        <v>84.872100000000003</v>
      </c>
      <c r="H32" s="145">
        <f t="shared" si="1"/>
        <v>63.111176878695233</v>
      </c>
      <c r="I32" s="148">
        <v>87.515100000000004</v>
      </c>
      <c r="J32" s="146">
        <f t="shared" si="2"/>
        <v>103.1140975656311</v>
      </c>
      <c r="L32" s="147"/>
    </row>
    <row r="33" spans="1:12" ht="25" x14ac:dyDescent="0.25">
      <c r="A33" s="143" t="s">
        <v>406</v>
      </c>
      <c r="B33" s="144">
        <v>390</v>
      </c>
      <c r="C33" s="148">
        <v>56.117804690000007</v>
      </c>
      <c r="D33" s="148">
        <v>61.721279490000001</v>
      </c>
      <c r="E33" s="148">
        <v>63.985500000000002</v>
      </c>
      <c r="F33" s="145">
        <f t="shared" si="0"/>
        <v>103.66846009789354</v>
      </c>
      <c r="G33" s="148">
        <v>66.1267</v>
      </c>
      <c r="H33" s="145">
        <f t="shared" si="1"/>
        <v>103.3463831649358</v>
      </c>
      <c r="I33" s="148">
        <v>67.44489999999999</v>
      </c>
      <c r="J33" s="146">
        <f t="shared" si="2"/>
        <v>101.99344591519007</v>
      </c>
      <c r="L33" s="147"/>
    </row>
    <row r="34" spans="1:12" ht="25" x14ac:dyDescent="0.25">
      <c r="A34" s="143" t="s">
        <v>407</v>
      </c>
      <c r="B34" s="144">
        <v>435</v>
      </c>
      <c r="C34" s="148">
        <v>323.16787668000001</v>
      </c>
      <c r="D34" s="148">
        <v>349.03480000000002</v>
      </c>
      <c r="E34" s="148">
        <v>353.90870000000007</v>
      </c>
      <c r="F34" s="145">
        <f t="shared" si="0"/>
        <v>101.39639371203101</v>
      </c>
      <c r="G34" s="148">
        <v>327.51070000000004</v>
      </c>
      <c r="H34" s="145">
        <f t="shared" si="1"/>
        <v>92.54101410900607</v>
      </c>
      <c r="I34" s="148">
        <v>335.57630000000006</v>
      </c>
      <c r="J34" s="146">
        <f t="shared" si="2"/>
        <v>102.46269816528132</v>
      </c>
      <c r="L34" s="147"/>
    </row>
    <row r="35" spans="1:12" ht="13.5" customHeight="1" x14ac:dyDescent="0.25">
      <c r="A35" s="143" t="s">
        <v>408</v>
      </c>
      <c r="B35" s="144">
        <v>730</v>
      </c>
      <c r="C35" s="148">
        <v>26.499351239999999</v>
      </c>
      <c r="D35" s="148">
        <v>27.616295449999999</v>
      </c>
      <c r="E35" s="148">
        <v>29.92</v>
      </c>
      <c r="F35" s="145">
        <f t="shared" si="0"/>
        <v>108.34183047531091</v>
      </c>
      <c r="G35" s="148">
        <v>30.9102</v>
      </c>
      <c r="H35" s="145">
        <f t="shared" si="1"/>
        <v>103.30949197860961</v>
      </c>
      <c r="I35" s="148">
        <v>31.9986</v>
      </c>
      <c r="J35" s="146">
        <f t="shared" si="2"/>
        <v>103.52116776986237</v>
      </c>
      <c r="L35" s="147"/>
    </row>
    <row r="36" spans="1:12" ht="25" x14ac:dyDescent="0.25">
      <c r="A36" s="143" t="s">
        <v>409</v>
      </c>
      <c r="B36" s="144">
        <v>732</v>
      </c>
      <c r="C36" s="148">
        <v>26.152000000000001</v>
      </c>
      <c r="D36" s="148">
        <v>40.720300000000002</v>
      </c>
      <c r="E36" s="148">
        <v>46.811</v>
      </c>
      <c r="F36" s="145">
        <f t="shared" si="0"/>
        <v>114.95740453778582</v>
      </c>
      <c r="G36" s="148">
        <v>28.305799999999998</v>
      </c>
      <c r="H36" s="145">
        <f t="shared" si="1"/>
        <v>60.468266005853323</v>
      </c>
      <c r="I36" s="148">
        <v>29.254300000000001</v>
      </c>
      <c r="J36" s="146">
        <f t="shared" si="2"/>
        <v>103.35090334843035</v>
      </c>
      <c r="L36" s="147"/>
    </row>
    <row r="37" spans="1:12" x14ac:dyDescent="0.25">
      <c r="A37" s="143" t="s">
        <v>410</v>
      </c>
      <c r="B37" s="144">
        <v>735</v>
      </c>
      <c r="C37" s="148">
        <v>59.446700000000007</v>
      </c>
      <c r="D37" s="148">
        <v>64.156865670000002</v>
      </c>
      <c r="E37" s="148">
        <v>69.035699999999991</v>
      </c>
      <c r="F37" s="145">
        <f t="shared" si="0"/>
        <v>107.60453971535169</v>
      </c>
      <c r="G37" s="148">
        <v>66.026099999999985</v>
      </c>
      <c r="H37" s="145">
        <f t="shared" si="1"/>
        <v>95.640516428456564</v>
      </c>
      <c r="I37" s="148">
        <v>68.556300000000007</v>
      </c>
      <c r="J37" s="146">
        <f t="shared" si="2"/>
        <v>103.83212093399432</v>
      </c>
      <c r="L37" s="147"/>
    </row>
    <row r="38" spans="1:12" ht="25" x14ac:dyDescent="0.25">
      <c r="A38" s="143" t="s">
        <v>411</v>
      </c>
      <c r="B38" s="144">
        <v>737</v>
      </c>
      <c r="C38" s="148">
        <v>193.50679905000001</v>
      </c>
      <c r="D38" s="148">
        <v>207.24340849999999</v>
      </c>
      <c r="E38" s="148">
        <v>275.14499999999998</v>
      </c>
      <c r="F38" s="145">
        <f t="shared" si="0"/>
        <v>132.76417425840589</v>
      </c>
      <c r="G38" s="148">
        <v>273.80189999999999</v>
      </c>
      <c r="H38" s="145">
        <f t="shared" si="1"/>
        <v>99.511857384288277</v>
      </c>
      <c r="I38" s="148">
        <v>288.25680000000006</v>
      </c>
      <c r="J38" s="146">
        <f t="shared" si="2"/>
        <v>105.27932786441588</v>
      </c>
      <c r="L38" s="147"/>
    </row>
    <row r="39" spans="1:12" ht="25" x14ac:dyDescent="0.25">
      <c r="A39" s="143" t="s">
        <v>412</v>
      </c>
      <c r="B39" s="144">
        <v>738</v>
      </c>
      <c r="C39" s="148">
        <v>37.376865870000003</v>
      </c>
      <c r="D39" s="148">
        <v>0</v>
      </c>
      <c r="E39" s="148"/>
      <c r="F39" s="145"/>
      <c r="G39" s="148"/>
      <c r="H39" s="145"/>
      <c r="I39" s="148"/>
      <c r="J39" s="146"/>
      <c r="L39" s="147"/>
    </row>
    <row r="40" spans="1:12" ht="13" thickBot="1" x14ac:dyDescent="0.3">
      <c r="A40" s="152" t="s">
        <v>60</v>
      </c>
      <c r="B40" s="153"/>
      <c r="C40" s="154">
        <f>SUM(C9:C39)</f>
        <v>75536.315734729986</v>
      </c>
      <c r="D40" s="154">
        <f>SUM(D9:D39)</f>
        <v>93370.431550430047</v>
      </c>
      <c r="E40" s="154">
        <f>SUM(E9:E39)</f>
        <v>100508.69269999999</v>
      </c>
      <c r="F40" s="155">
        <f>E40/D40*100</f>
        <v>107.64509816548778</v>
      </c>
      <c r="G40" s="154">
        <f>SUM(G9:G39)</f>
        <v>96729.713299999974</v>
      </c>
      <c r="H40" s="155">
        <f>G40/E40*100</f>
        <v>96.240146699271506</v>
      </c>
      <c r="I40" s="154">
        <f>SUM(I9:I39)</f>
        <v>98292.334099999993</v>
      </c>
      <c r="J40" s="156">
        <f t="shared" si="2"/>
        <v>101.6154506683522</v>
      </c>
      <c r="L40" s="147"/>
    </row>
    <row r="41" spans="1:12" ht="13" thickTop="1" x14ac:dyDescent="0.25">
      <c r="C41" s="157"/>
      <c r="E41" s="142"/>
      <c r="F41" s="142"/>
      <c r="G41" s="142"/>
      <c r="H41" s="142"/>
      <c r="I41" s="142"/>
    </row>
    <row r="42" spans="1:12" x14ac:dyDescent="0.25">
      <c r="C42" s="142"/>
      <c r="D42" s="142"/>
      <c r="E42" s="142"/>
      <c r="F42" s="142"/>
    </row>
    <row r="43" spans="1:12" x14ac:dyDescent="0.25">
      <c r="C43" s="142"/>
      <c r="D43" s="142"/>
      <c r="E43" s="142"/>
      <c r="F43" s="142"/>
    </row>
  </sheetData>
  <mergeCells count="6">
    <mergeCell ref="A6:A7"/>
    <mergeCell ref="C6:C7"/>
    <mergeCell ref="B6:B7"/>
    <mergeCell ref="A3:J3"/>
    <mergeCell ref="D6:D7"/>
    <mergeCell ref="E6:J6"/>
  </mergeCells>
  <pageMargins left="0.39370078740157483" right="0.39370078740157483" top="0.78740157480314965" bottom="0.59055118110236227" header="0.31496062992125984" footer="0.31496062992125984"/>
  <pageSetup paperSize="9" scale="94" fitToHeight="0" orientation="landscape" r:id="rId1"/>
  <headerFooter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M104"/>
  <sheetViews>
    <sheetView topLeftCell="A4" zoomScale="115" zoomScaleNormal="115" workbookViewId="0">
      <pane xSplit="1" ySplit="5" topLeftCell="B9" activePane="bottomRight" state="frozen"/>
      <selection activeCell="A4" sqref="A4"/>
      <selection pane="topRight" activeCell="D4" sqref="D4"/>
      <selection pane="bottomLeft" activeCell="A9" sqref="A9"/>
      <selection pane="bottomRight" activeCell="C8" sqref="C8"/>
    </sheetView>
  </sheetViews>
  <sheetFormatPr defaultColWidth="8.81640625" defaultRowHeight="12.5" x14ac:dyDescent="0.25"/>
  <cols>
    <col min="1" max="1" width="51.26953125" style="160" customWidth="1"/>
    <col min="2" max="2" width="9.81640625" style="160" customWidth="1"/>
    <col min="3" max="3" width="16.54296875" style="160" customWidth="1"/>
    <col min="4" max="4" width="9.453125" style="160" customWidth="1"/>
    <col min="5" max="5" width="14.1796875" style="160" customWidth="1"/>
    <col min="6" max="6" width="8.81640625" style="160" customWidth="1"/>
    <col min="7" max="7" width="10.1796875" style="160" customWidth="1"/>
    <col min="8" max="8" width="9.81640625" style="160" customWidth="1"/>
    <col min="9" max="9" width="11.26953125" style="160" customWidth="1"/>
    <col min="10" max="12" width="0" style="160" hidden="1" customWidth="1"/>
    <col min="13" max="16384" width="8.81640625" style="160"/>
  </cols>
  <sheetData>
    <row r="1" spans="1:13" x14ac:dyDescent="0.25">
      <c r="A1" s="158"/>
      <c r="B1" s="158"/>
      <c r="C1" s="158"/>
      <c r="D1" s="158"/>
      <c r="E1" s="158"/>
      <c r="F1" s="158"/>
      <c r="G1" s="158"/>
      <c r="H1" s="158"/>
      <c r="I1" s="159" t="s">
        <v>560</v>
      </c>
    </row>
    <row r="2" spans="1:13" x14ac:dyDescent="0.25">
      <c r="A2" s="158"/>
      <c r="B2" s="158"/>
      <c r="C2" s="158"/>
      <c r="D2" s="158"/>
      <c r="E2" s="158"/>
      <c r="F2" s="158"/>
      <c r="G2" s="158"/>
      <c r="H2" s="158"/>
      <c r="I2" s="159"/>
    </row>
    <row r="3" spans="1:13" x14ac:dyDescent="0.25">
      <c r="A3" s="456" t="s">
        <v>468</v>
      </c>
      <c r="B3" s="456"/>
      <c r="C3" s="456"/>
      <c r="D3" s="456"/>
      <c r="E3" s="456"/>
      <c r="F3" s="456"/>
      <c r="G3" s="456"/>
      <c r="H3" s="456"/>
      <c r="I3" s="456"/>
    </row>
    <row r="4" spans="1:13" x14ac:dyDescent="0.25">
      <c r="A4" s="158"/>
      <c r="B4" s="158"/>
      <c r="C4" s="158"/>
      <c r="D4" s="158"/>
      <c r="E4" s="158"/>
      <c r="F4" s="158"/>
      <c r="G4" s="158"/>
      <c r="H4" s="158"/>
      <c r="I4" s="158"/>
    </row>
    <row r="5" spans="1:13" ht="13" thickBot="1" x14ac:dyDescent="0.3">
      <c r="A5" s="158"/>
      <c r="B5" s="158"/>
      <c r="C5" s="158"/>
      <c r="D5" s="158"/>
      <c r="E5" s="158"/>
      <c r="F5" s="158"/>
      <c r="G5" s="158"/>
      <c r="H5" s="158"/>
      <c r="I5" s="159" t="s">
        <v>225</v>
      </c>
    </row>
    <row r="6" spans="1:13" ht="14.5" customHeight="1" thickTop="1" x14ac:dyDescent="0.25">
      <c r="A6" s="454" t="s">
        <v>253</v>
      </c>
      <c r="B6" s="457" t="s">
        <v>462</v>
      </c>
      <c r="C6" s="459" t="s">
        <v>463</v>
      </c>
      <c r="D6" s="461" t="s">
        <v>57</v>
      </c>
      <c r="E6" s="462"/>
      <c r="F6" s="462"/>
      <c r="G6" s="462"/>
      <c r="H6" s="462"/>
      <c r="I6" s="463"/>
    </row>
    <row r="7" spans="1:13" ht="75" x14ac:dyDescent="0.25">
      <c r="A7" s="455"/>
      <c r="B7" s="458"/>
      <c r="C7" s="460"/>
      <c r="D7" s="161" t="s">
        <v>230</v>
      </c>
      <c r="E7" s="138" t="s">
        <v>464</v>
      </c>
      <c r="F7" s="161" t="s">
        <v>254</v>
      </c>
      <c r="G7" s="161" t="s">
        <v>255</v>
      </c>
      <c r="H7" s="161" t="s">
        <v>465</v>
      </c>
      <c r="I7" s="162" t="s">
        <v>466</v>
      </c>
    </row>
    <row r="8" spans="1:13" s="166" customFormat="1" x14ac:dyDescent="0.25">
      <c r="A8" s="163" t="s">
        <v>17</v>
      </c>
      <c r="B8" s="138">
        <v>1</v>
      </c>
      <c r="C8" s="138">
        <v>2</v>
      </c>
      <c r="D8" s="138">
        <v>3</v>
      </c>
      <c r="E8" s="138" t="s">
        <v>231</v>
      </c>
      <c r="F8" s="138">
        <v>5</v>
      </c>
      <c r="G8" s="138" t="s">
        <v>232</v>
      </c>
      <c r="H8" s="138">
        <v>7</v>
      </c>
      <c r="I8" s="164" t="s">
        <v>233</v>
      </c>
      <c r="J8" s="165"/>
    </row>
    <row r="9" spans="1:13" s="166" customFormat="1" x14ac:dyDescent="0.25">
      <c r="A9" s="167" t="s">
        <v>292</v>
      </c>
      <c r="B9" s="168">
        <f t="shared" ref="B9" si="0">SUM(B10:B18)</f>
        <v>2828.47791108</v>
      </c>
      <c r="C9" s="168">
        <f>SUM(C10:C18)</f>
        <v>3282.1589941400002</v>
      </c>
      <c r="D9" s="168">
        <f>SUM(D10:D18)</f>
        <v>3820.9332000000004</v>
      </c>
      <c r="E9" s="168">
        <f t="shared" ref="E9:E41" si="1">D9/C9*100</f>
        <v>116.41523786086942</v>
      </c>
      <c r="F9" s="168">
        <f>SUM(F10:F18)</f>
        <v>2702.5956999999999</v>
      </c>
      <c r="G9" s="168">
        <f t="shared" ref="G9:G26" si="2">F9/D9*100</f>
        <v>70.731299359015225</v>
      </c>
      <c r="H9" s="168">
        <f>SUM(H10:H18)</f>
        <v>2763.2623100000001</v>
      </c>
      <c r="I9" s="169">
        <f>H9/F9*100</f>
        <v>102.24475344203354</v>
      </c>
      <c r="J9" s="165" t="e">
        <f>#REF!-D9</f>
        <v>#REF!</v>
      </c>
      <c r="K9" s="166" t="e">
        <f>J9/#REF!*100</f>
        <v>#REF!</v>
      </c>
      <c r="M9" s="170"/>
    </row>
    <row r="10" spans="1:13" s="166" customFormat="1" ht="37.5" x14ac:dyDescent="0.25">
      <c r="A10" s="171" t="s">
        <v>293</v>
      </c>
      <c r="B10" s="172">
        <f>6.40732984</f>
        <v>6.4073298400000001</v>
      </c>
      <c r="C10" s="172">
        <v>6.4958</v>
      </c>
      <c r="D10" s="172">
        <v>6.6707999999999998</v>
      </c>
      <c r="E10" s="172">
        <f t="shared" si="1"/>
        <v>102.69404846208319</v>
      </c>
      <c r="F10" s="172">
        <v>7.0396000000000001</v>
      </c>
      <c r="G10" s="172">
        <f t="shared" si="2"/>
        <v>105.5285722851832</v>
      </c>
      <c r="H10" s="172">
        <v>7.31921</v>
      </c>
      <c r="I10" s="173">
        <f t="shared" ref="I10:I77" si="3">H10/F10*100</f>
        <v>103.97195863401329</v>
      </c>
      <c r="J10" s="165"/>
      <c r="M10" s="170"/>
    </row>
    <row r="11" spans="1:13" s="166" customFormat="1" ht="40.15" customHeight="1" x14ac:dyDescent="0.25">
      <c r="A11" s="171" t="s">
        <v>294</v>
      </c>
      <c r="B11" s="172">
        <f>215.8902089</f>
        <v>215.8902089</v>
      </c>
      <c r="C11" s="172">
        <v>198.1991716</v>
      </c>
      <c r="D11" s="172">
        <v>202.9956</v>
      </c>
      <c r="E11" s="172">
        <f t="shared" si="1"/>
        <v>102.42000426201578</v>
      </c>
      <c r="F11" s="172">
        <v>206.18940000000001</v>
      </c>
      <c r="G11" s="172">
        <f t="shared" si="2"/>
        <v>101.57333459444442</v>
      </c>
      <c r="H11" s="172">
        <v>210.50899999999999</v>
      </c>
      <c r="I11" s="173">
        <f t="shared" si="3"/>
        <v>102.09496705456245</v>
      </c>
      <c r="J11" s="165"/>
      <c r="M11" s="170"/>
    </row>
    <row r="12" spans="1:13" s="166" customFormat="1" ht="50" x14ac:dyDescent="0.25">
      <c r="A12" s="171" t="s">
        <v>295</v>
      </c>
      <c r="B12" s="172">
        <f>385.87291721</f>
        <v>385.87291721000003</v>
      </c>
      <c r="C12" s="172">
        <v>405.45963518999997</v>
      </c>
      <c r="D12" s="172">
        <v>429.72480000000002</v>
      </c>
      <c r="E12" s="172">
        <f t="shared" si="1"/>
        <v>105.98460677809007</v>
      </c>
      <c r="F12" s="172">
        <v>378.92349999999999</v>
      </c>
      <c r="G12" s="172">
        <f t="shared" si="2"/>
        <v>88.17817822010737</v>
      </c>
      <c r="H12" s="172">
        <v>392.23180000000002</v>
      </c>
      <c r="I12" s="173">
        <f t="shared" si="3"/>
        <v>103.51213371564445</v>
      </c>
      <c r="J12" s="165"/>
      <c r="M12" s="170"/>
    </row>
    <row r="13" spans="1:13" s="166" customFormat="1" x14ac:dyDescent="0.25">
      <c r="A13" s="171" t="s">
        <v>296</v>
      </c>
      <c r="B13" s="172">
        <f>325.87289326</f>
        <v>325.87289326000001</v>
      </c>
      <c r="C13" s="172">
        <v>347.94389999999999</v>
      </c>
      <c r="D13" s="172">
        <v>353.11200000000002</v>
      </c>
      <c r="E13" s="172">
        <f t="shared" si="1"/>
        <v>101.48532565163524</v>
      </c>
      <c r="F13" s="172">
        <v>326.7552</v>
      </c>
      <c r="G13" s="172">
        <f t="shared" si="2"/>
        <v>92.535852647318691</v>
      </c>
      <c r="H13" s="172">
        <v>339.39269999999999</v>
      </c>
      <c r="I13" s="173">
        <f t="shared" si="3"/>
        <v>103.86757425742574</v>
      </c>
      <c r="J13" s="165"/>
      <c r="M13" s="170"/>
    </row>
    <row r="14" spans="1:13" s="166" customFormat="1" ht="37.5" x14ac:dyDescent="0.25">
      <c r="A14" s="171" t="s">
        <v>297</v>
      </c>
      <c r="B14" s="172">
        <v>147.66358579000001</v>
      </c>
      <c r="C14" s="172">
        <v>155.72390852999999</v>
      </c>
      <c r="D14" s="172">
        <v>165.68860000000001</v>
      </c>
      <c r="E14" s="172">
        <f t="shared" si="1"/>
        <v>106.39894770434711</v>
      </c>
      <c r="F14" s="172">
        <v>171.82390000000001</v>
      </c>
      <c r="G14" s="172">
        <f t="shared" si="2"/>
        <v>103.70291015797105</v>
      </c>
      <c r="H14" s="172">
        <v>178.45519999999999</v>
      </c>
      <c r="I14" s="173">
        <f t="shared" si="3"/>
        <v>103.85935833140789</v>
      </c>
      <c r="J14" s="165"/>
      <c r="M14" s="170"/>
    </row>
    <row r="15" spans="1:13" s="166" customFormat="1" ht="25" x14ac:dyDescent="0.25">
      <c r="A15" s="171" t="s">
        <v>298</v>
      </c>
      <c r="B15" s="172">
        <v>214.29255262000001</v>
      </c>
      <c r="C15" s="172">
        <v>48.419999090000005</v>
      </c>
      <c r="D15" s="172">
        <v>209.3449</v>
      </c>
      <c r="E15" s="172">
        <f t="shared" si="1"/>
        <v>432.35213534573404</v>
      </c>
      <c r="F15" s="172">
        <v>51.386600000000001</v>
      </c>
      <c r="G15" s="172">
        <f t="shared" si="2"/>
        <v>24.546382548607586</v>
      </c>
      <c r="H15" s="172">
        <v>53.077199999999998</v>
      </c>
      <c r="I15" s="173">
        <f t="shared" si="3"/>
        <v>103.28996275293558</v>
      </c>
      <c r="J15" s="165"/>
      <c r="M15" s="170"/>
    </row>
    <row r="16" spans="1:13" s="166" customFormat="1" x14ac:dyDescent="0.25">
      <c r="A16" s="171" t="s">
        <v>299</v>
      </c>
      <c r="B16" s="172">
        <v>0</v>
      </c>
      <c r="C16" s="172">
        <v>53.704101909999999</v>
      </c>
      <c r="D16" s="172">
        <v>216.7148</v>
      </c>
      <c r="E16" s="172">
        <f t="shared" si="1"/>
        <v>403.53491128700261</v>
      </c>
      <c r="F16" s="172">
        <v>216.7149</v>
      </c>
      <c r="G16" s="172">
        <f t="shared" si="2"/>
        <v>100.00004614359518</v>
      </c>
      <c r="H16" s="172">
        <v>216.7149</v>
      </c>
      <c r="I16" s="173">
        <f t="shared" si="3"/>
        <v>100</v>
      </c>
      <c r="J16" s="165"/>
      <c r="M16" s="170"/>
    </row>
    <row r="17" spans="1:13" s="166" customFormat="1" ht="25" x14ac:dyDescent="0.25">
      <c r="A17" s="171" t="s">
        <v>300</v>
      </c>
      <c r="B17" s="172">
        <v>32.204099999999997</v>
      </c>
      <c r="C17" s="172">
        <v>20.65</v>
      </c>
      <c r="D17" s="172">
        <v>24.33</v>
      </c>
      <c r="E17" s="172">
        <f t="shared" si="1"/>
        <v>117.82082324455206</v>
      </c>
      <c r="F17" s="172">
        <v>25.05</v>
      </c>
      <c r="G17" s="172">
        <f t="shared" si="2"/>
        <v>102.95930949445132</v>
      </c>
      <c r="H17" s="172">
        <v>24.05</v>
      </c>
      <c r="I17" s="173">
        <f t="shared" si="3"/>
        <v>96.007984031936132</v>
      </c>
      <c r="J17" s="165"/>
      <c r="M17" s="170"/>
    </row>
    <row r="18" spans="1:13" s="166" customFormat="1" x14ac:dyDescent="0.25">
      <c r="A18" s="171" t="s">
        <v>301</v>
      </c>
      <c r="B18" s="172">
        <f>1500.27432346</f>
        <v>1500.27432346</v>
      </c>
      <c r="C18" s="172">
        <v>2045.5624778200004</v>
      </c>
      <c r="D18" s="172">
        <v>2212.3517000000002</v>
      </c>
      <c r="E18" s="172">
        <f t="shared" si="1"/>
        <v>108.1537095047691</v>
      </c>
      <c r="F18" s="172">
        <v>1318.7126000000001</v>
      </c>
      <c r="G18" s="172">
        <f t="shared" si="2"/>
        <v>59.606824719595899</v>
      </c>
      <c r="H18" s="172">
        <v>1341.5123000000001</v>
      </c>
      <c r="I18" s="173">
        <f t="shared" si="3"/>
        <v>101.7289362367509</v>
      </c>
      <c r="J18" s="165"/>
      <c r="M18" s="170"/>
    </row>
    <row r="19" spans="1:13" s="166" customFormat="1" x14ac:dyDescent="0.25">
      <c r="A19" s="167" t="s">
        <v>303</v>
      </c>
      <c r="B19" s="168">
        <f t="shared" ref="B19:H19" si="4">+B20</f>
        <v>36.716834669999997</v>
      </c>
      <c r="C19" s="168">
        <f t="shared" si="4"/>
        <v>39.786299999999997</v>
      </c>
      <c r="D19" s="168">
        <f t="shared" si="4"/>
        <v>41.7211</v>
      </c>
      <c r="E19" s="168">
        <f t="shared" si="1"/>
        <v>104.86298047317797</v>
      </c>
      <c r="F19" s="168">
        <f t="shared" si="4"/>
        <v>41.991700000000002</v>
      </c>
      <c r="G19" s="168">
        <f t="shared" si="2"/>
        <v>100.64859267852478</v>
      </c>
      <c r="H19" s="168">
        <f t="shared" si="4"/>
        <v>43.062100000000001</v>
      </c>
      <c r="I19" s="169">
        <f t="shared" si="3"/>
        <v>102.54907517437969</v>
      </c>
      <c r="J19" s="165" t="e">
        <f>#REF!-D19</f>
        <v>#REF!</v>
      </c>
      <c r="K19" s="166" t="e">
        <f>J19/#REF!*100</f>
        <v>#REF!</v>
      </c>
      <c r="M19" s="170"/>
    </row>
    <row r="20" spans="1:13" s="166" customFormat="1" x14ac:dyDescent="0.25">
      <c r="A20" s="171" t="s">
        <v>302</v>
      </c>
      <c r="B20" s="172">
        <f>36.71683467</f>
        <v>36.716834669999997</v>
      </c>
      <c r="C20" s="172">
        <v>39.786299999999997</v>
      </c>
      <c r="D20" s="174">
        <v>41.7211</v>
      </c>
      <c r="E20" s="172">
        <f t="shared" si="1"/>
        <v>104.86298047317797</v>
      </c>
      <c r="F20" s="172">
        <v>41.991700000000002</v>
      </c>
      <c r="G20" s="172">
        <f t="shared" si="2"/>
        <v>100.64859267852478</v>
      </c>
      <c r="H20" s="175">
        <v>43.062100000000001</v>
      </c>
      <c r="I20" s="173">
        <f t="shared" si="3"/>
        <v>102.54907517437969</v>
      </c>
      <c r="J20" s="165"/>
      <c r="M20" s="170"/>
    </row>
    <row r="21" spans="1:13" s="166" customFormat="1" ht="25" x14ac:dyDescent="0.25">
      <c r="A21" s="167" t="s">
        <v>304</v>
      </c>
      <c r="B21" s="168">
        <f t="shared" ref="B21:H21" si="5">SUM(B22:B23)</f>
        <v>1449.5283989099999</v>
      </c>
      <c r="C21" s="168">
        <f t="shared" si="5"/>
        <v>1491.3778290800001</v>
      </c>
      <c r="D21" s="168">
        <f t="shared" si="5"/>
        <v>1519.8235</v>
      </c>
      <c r="E21" s="168">
        <f t="shared" si="1"/>
        <v>101.90734167863735</v>
      </c>
      <c r="F21" s="168">
        <f t="shared" si="5"/>
        <v>1261.1619000000001</v>
      </c>
      <c r="G21" s="168">
        <f t="shared" si="2"/>
        <v>82.980813232589185</v>
      </c>
      <c r="H21" s="168">
        <f t="shared" si="5"/>
        <v>1303.6794</v>
      </c>
      <c r="I21" s="169">
        <f t="shared" si="3"/>
        <v>103.37129594542935</v>
      </c>
      <c r="J21" s="165" t="e">
        <f>#REF!-D21</f>
        <v>#REF!</v>
      </c>
      <c r="K21" s="166" t="e">
        <f>J21/#REF!*100</f>
        <v>#REF!</v>
      </c>
      <c r="M21" s="170"/>
    </row>
    <row r="22" spans="1:13" s="166" customFormat="1" ht="37.5" x14ac:dyDescent="0.25">
      <c r="A22" s="171" t="s">
        <v>305</v>
      </c>
      <c r="B22" s="172">
        <f>501.30344157</f>
        <v>501.30344157000002</v>
      </c>
      <c r="C22" s="172">
        <v>459.43566171999998</v>
      </c>
      <c r="D22" s="172">
        <v>406.3886</v>
      </c>
      <c r="E22" s="172">
        <f t="shared" si="1"/>
        <v>88.453865004425978</v>
      </c>
      <c r="F22" s="172">
        <v>224.96180000000001</v>
      </c>
      <c r="G22" s="172">
        <f t="shared" si="2"/>
        <v>55.35632643238516</v>
      </c>
      <c r="H22" s="175">
        <v>232.43559999999999</v>
      </c>
      <c r="I22" s="173">
        <f t="shared" si="3"/>
        <v>103.32225293360918</v>
      </c>
      <c r="J22" s="165"/>
      <c r="M22" s="170"/>
    </row>
    <row r="23" spans="1:13" s="166" customFormat="1" x14ac:dyDescent="0.25">
      <c r="A23" s="171" t="s">
        <v>306</v>
      </c>
      <c r="B23" s="172">
        <f>948.22495734</f>
        <v>948.22495733999995</v>
      </c>
      <c r="C23" s="172">
        <v>1031.94216736</v>
      </c>
      <c r="D23" s="172">
        <v>1113.4349</v>
      </c>
      <c r="E23" s="172">
        <f t="shared" si="1"/>
        <v>107.89702516454788</v>
      </c>
      <c r="F23" s="172">
        <v>1036.2001</v>
      </c>
      <c r="G23" s="172">
        <f t="shared" si="2"/>
        <v>93.063375326209012</v>
      </c>
      <c r="H23" s="175">
        <v>1071.2438</v>
      </c>
      <c r="I23" s="173">
        <f t="shared" si="3"/>
        <v>103.38194331384449</v>
      </c>
      <c r="J23" s="165"/>
      <c r="M23" s="170"/>
    </row>
    <row r="24" spans="1:13" s="166" customFormat="1" x14ac:dyDescent="0.25">
      <c r="A24" s="167" t="s">
        <v>307</v>
      </c>
      <c r="B24" s="168">
        <f t="shared" ref="B24" si="6">SUM(B25:B35)</f>
        <v>9480.595238230002</v>
      </c>
      <c r="C24" s="168">
        <f>SUM(C25:C35)</f>
        <v>14489.869814810001</v>
      </c>
      <c r="D24" s="168">
        <f t="shared" ref="D24:H24" si="7">SUM(D25:D35)</f>
        <v>14997.026900000001</v>
      </c>
      <c r="E24" s="168">
        <f t="shared" si="1"/>
        <v>103.50008034352136</v>
      </c>
      <c r="F24" s="168">
        <f t="shared" si="7"/>
        <v>15319.348</v>
      </c>
      <c r="G24" s="168">
        <f t="shared" si="2"/>
        <v>102.14923332570672</v>
      </c>
      <c r="H24" s="168">
        <f t="shared" si="7"/>
        <v>15754.349700000001</v>
      </c>
      <c r="I24" s="169">
        <f t="shared" si="3"/>
        <v>102.83955753208296</v>
      </c>
      <c r="J24" s="165" t="e">
        <f>#REF!-D24</f>
        <v>#REF!</v>
      </c>
      <c r="K24" s="166" t="e">
        <f>J24/#REF!*100</f>
        <v>#REF!</v>
      </c>
      <c r="M24" s="170"/>
    </row>
    <row r="25" spans="1:13" s="166" customFormat="1" x14ac:dyDescent="0.25">
      <c r="A25" s="171" t="s">
        <v>308</v>
      </c>
      <c r="B25" s="172">
        <f>549.12766618</f>
        <v>549.12766618000001</v>
      </c>
      <c r="C25" s="172">
        <v>698.52312468000002</v>
      </c>
      <c r="D25" s="172">
        <v>687.92070000000001</v>
      </c>
      <c r="E25" s="172">
        <f t="shared" si="1"/>
        <v>98.482165542499814</v>
      </c>
      <c r="F25" s="172">
        <v>640.19179999999994</v>
      </c>
      <c r="G25" s="172">
        <f t="shared" si="2"/>
        <v>93.061860182430905</v>
      </c>
      <c r="H25" s="172">
        <v>663.44740000000002</v>
      </c>
      <c r="I25" s="173">
        <f t="shared" si="3"/>
        <v>103.63259885553049</v>
      </c>
      <c r="J25" s="165"/>
      <c r="M25" s="170"/>
    </row>
    <row r="26" spans="1:13" s="166" customFormat="1" x14ac:dyDescent="0.25">
      <c r="A26" s="171" t="s">
        <v>309</v>
      </c>
      <c r="B26" s="172">
        <v>56.130982000000003</v>
      </c>
      <c r="C26" s="172">
        <v>58.017144889999997</v>
      </c>
      <c r="D26" s="172">
        <v>58.478400000000001</v>
      </c>
      <c r="E26" s="172">
        <f t="shared" si="1"/>
        <v>100.79503241821799</v>
      </c>
      <c r="F26" s="172">
        <v>59.976399999999998</v>
      </c>
      <c r="G26" s="172">
        <f t="shared" si="2"/>
        <v>102.56162959314892</v>
      </c>
      <c r="H26" s="172">
        <v>62.179099999999998</v>
      </c>
      <c r="I26" s="173">
        <f t="shared" si="3"/>
        <v>103.67261122708264</v>
      </c>
      <c r="J26" s="165"/>
      <c r="M26" s="170"/>
    </row>
    <row r="27" spans="1:13" s="166" customFormat="1" x14ac:dyDescent="0.25">
      <c r="A27" s="171" t="s">
        <v>426</v>
      </c>
      <c r="B27" s="172"/>
      <c r="C27" s="172">
        <v>1.95</v>
      </c>
      <c r="D27" s="172"/>
      <c r="E27" s="172">
        <f t="shared" si="1"/>
        <v>0</v>
      </c>
      <c r="F27" s="172"/>
      <c r="G27" s="172"/>
      <c r="H27" s="172"/>
      <c r="I27" s="173"/>
      <c r="J27" s="165"/>
      <c r="M27" s="170"/>
    </row>
    <row r="28" spans="1:13" s="166" customFormat="1" x14ac:dyDescent="0.25">
      <c r="A28" s="171" t="s">
        <v>310</v>
      </c>
      <c r="B28" s="172">
        <v>1171.4191625000001</v>
      </c>
      <c r="C28" s="172">
        <v>1036.2559220600003</v>
      </c>
      <c r="D28" s="172">
        <v>1141.8796</v>
      </c>
      <c r="E28" s="172">
        <f t="shared" si="1"/>
        <v>110.19281778675172</v>
      </c>
      <c r="F28" s="172">
        <v>1033.633</v>
      </c>
      <c r="G28" s="172">
        <f t="shared" ref="G28:G41" si="8">F28/D28*100</f>
        <v>90.520314050623213</v>
      </c>
      <c r="H28" s="172">
        <v>1023.7826</v>
      </c>
      <c r="I28" s="173">
        <f t="shared" si="3"/>
        <v>99.047011850434345</v>
      </c>
      <c r="J28" s="165"/>
      <c r="M28" s="170"/>
    </row>
    <row r="29" spans="1:13" s="166" customFormat="1" x14ac:dyDescent="0.25">
      <c r="A29" s="171" t="s">
        <v>311</v>
      </c>
      <c r="B29" s="172">
        <v>84.021180419999993</v>
      </c>
      <c r="C29" s="172">
        <v>283.25216909000005</v>
      </c>
      <c r="D29" s="172">
        <v>152.72329999999999</v>
      </c>
      <c r="E29" s="172">
        <f t="shared" si="1"/>
        <v>53.917786575351499</v>
      </c>
      <c r="F29" s="172">
        <v>11.7301</v>
      </c>
      <c r="G29" s="172">
        <f t="shared" si="8"/>
        <v>7.6806224066661741</v>
      </c>
      <c r="H29" s="172">
        <v>11.7301</v>
      </c>
      <c r="I29" s="173">
        <f t="shared" si="3"/>
        <v>100</v>
      </c>
      <c r="J29" s="165"/>
      <c r="M29" s="170"/>
    </row>
    <row r="30" spans="1:13" s="166" customFormat="1" x14ac:dyDescent="0.25">
      <c r="A30" s="171" t="s">
        <v>312</v>
      </c>
      <c r="B30" s="172">
        <v>1069.1251540600001</v>
      </c>
      <c r="C30" s="172">
        <v>1283.1248682600003</v>
      </c>
      <c r="D30" s="172">
        <v>1459.9758999999999</v>
      </c>
      <c r="E30" s="172">
        <f t="shared" si="1"/>
        <v>113.78283876454059</v>
      </c>
      <c r="F30" s="172">
        <v>1343.8324</v>
      </c>
      <c r="G30" s="172">
        <f t="shared" si="8"/>
        <v>92.044834438705465</v>
      </c>
      <c r="H30" s="172">
        <v>1383.5268000000001</v>
      </c>
      <c r="I30" s="173">
        <f t="shared" si="3"/>
        <v>102.95382072943025</v>
      </c>
      <c r="J30" s="165"/>
      <c r="M30" s="170"/>
    </row>
    <row r="31" spans="1:13" s="166" customFormat="1" x14ac:dyDescent="0.25">
      <c r="A31" s="171" t="s">
        <v>313</v>
      </c>
      <c r="B31" s="172">
        <v>1100.33987028</v>
      </c>
      <c r="C31" s="172">
        <v>2280.1551849700004</v>
      </c>
      <c r="D31" s="172">
        <v>2117.3258000000001</v>
      </c>
      <c r="E31" s="172">
        <f t="shared" si="1"/>
        <v>92.858846360839138</v>
      </c>
      <c r="F31" s="172">
        <v>579.18209999999999</v>
      </c>
      <c r="G31" s="172">
        <f t="shared" si="8"/>
        <v>27.35441565015644</v>
      </c>
      <c r="H31" s="172">
        <v>996.09960000000001</v>
      </c>
      <c r="I31" s="173">
        <f t="shared" si="3"/>
        <v>171.98383720767615</v>
      </c>
      <c r="J31" s="165"/>
      <c r="M31" s="170"/>
    </row>
    <row r="32" spans="1:13" s="166" customFormat="1" x14ac:dyDescent="0.25">
      <c r="A32" s="171" t="s">
        <v>314</v>
      </c>
      <c r="B32" s="172">
        <v>5094.9185917300001</v>
      </c>
      <c r="C32" s="172">
        <v>7840.2934555299998</v>
      </c>
      <c r="D32" s="172">
        <v>8636.0490000000009</v>
      </c>
      <c r="E32" s="172">
        <f t="shared" si="1"/>
        <v>110.14956326550163</v>
      </c>
      <c r="F32" s="172">
        <v>11034.4287</v>
      </c>
      <c r="G32" s="172">
        <f t="shared" si="8"/>
        <v>127.77172408354791</v>
      </c>
      <c r="H32" s="172">
        <v>11059.895399999999</v>
      </c>
      <c r="I32" s="173">
        <f t="shared" si="3"/>
        <v>100.2307930994198</v>
      </c>
      <c r="J32" s="165"/>
      <c r="M32" s="170"/>
    </row>
    <row r="33" spans="1:13" s="166" customFormat="1" x14ac:dyDescent="0.25">
      <c r="A33" s="171" t="s">
        <v>315</v>
      </c>
      <c r="B33" s="172">
        <v>33.308202029999997</v>
      </c>
      <c r="C33" s="172">
        <v>33.420749999999998</v>
      </c>
      <c r="D33" s="172">
        <v>35.014899999999997</v>
      </c>
      <c r="E33" s="172">
        <f t="shared" si="1"/>
        <v>104.76994083017286</v>
      </c>
      <c r="F33" s="172">
        <v>35.638500000000001</v>
      </c>
      <c r="G33" s="172">
        <f t="shared" si="8"/>
        <v>101.78095610725721</v>
      </c>
      <c r="H33" s="172">
        <v>36.9392</v>
      </c>
      <c r="I33" s="173">
        <f t="shared" si="3"/>
        <v>103.64970467331678</v>
      </c>
      <c r="J33" s="165"/>
      <c r="M33" s="170"/>
    </row>
    <row r="34" spans="1:13" s="166" customFormat="1" ht="25" x14ac:dyDescent="0.25">
      <c r="A34" s="171" t="s">
        <v>316</v>
      </c>
      <c r="B34" s="172">
        <v>5.5136469999999997</v>
      </c>
      <c r="C34" s="172">
        <v>7.3476030000000003</v>
      </c>
      <c r="D34" s="172">
        <v>1.5</v>
      </c>
      <c r="E34" s="172">
        <f t="shared" si="1"/>
        <v>20.414820996725052</v>
      </c>
      <c r="F34" s="172">
        <v>0.5</v>
      </c>
      <c r="G34" s="172">
        <f t="shared" si="8"/>
        <v>33.333333333333329</v>
      </c>
      <c r="H34" s="172">
        <v>0.5</v>
      </c>
      <c r="I34" s="173">
        <f t="shared" si="3"/>
        <v>100</v>
      </c>
      <c r="J34" s="165"/>
      <c r="M34" s="170"/>
    </row>
    <row r="35" spans="1:13" s="166" customFormat="1" ht="25" x14ac:dyDescent="0.25">
      <c r="A35" s="171" t="s">
        <v>317</v>
      </c>
      <c r="B35" s="172">
        <v>316.69078202999998</v>
      </c>
      <c r="C35" s="172">
        <v>967.5295923299999</v>
      </c>
      <c r="D35" s="172">
        <v>706.15930000000003</v>
      </c>
      <c r="E35" s="172">
        <f t="shared" si="1"/>
        <v>72.985808971426991</v>
      </c>
      <c r="F35" s="172">
        <v>580.23500000000001</v>
      </c>
      <c r="G35" s="172">
        <f t="shared" si="8"/>
        <v>82.167720512921093</v>
      </c>
      <c r="H35" s="172">
        <v>516.24950000000001</v>
      </c>
      <c r="I35" s="173">
        <f t="shared" si="3"/>
        <v>88.972485286134059</v>
      </c>
      <c r="J35" s="165"/>
      <c r="M35" s="170"/>
    </row>
    <row r="36" spans="1:13" s="166" customFormat="1" x14ac:dyDescent="0.25">
      <c r="A36" s="167" t="s">
        <v>318</v>
      </c>
      <c r="B36" s="168">
        <f t="shared" ref="B36" si="9">SUM(B37:B40)</f>
        <v>5079.9329311699994</v>
      </c>
      <c r="C36" s="168">
        <f>SUM(C37:C40)</f>
        <v>7962.6587401400011</v>
      </c>
      <c r="D36" s="168">
        <f t="shared" ref="D36:H36" si="10">SUM(D37:D40)</f>
        <v>8242.3948999999993</v>
      </c>
      <c r="E36" s="168">
        <f t="shared" si="1"/>
        <v>103.51309994549736</v>
      </c>
      <c r="F36" s="168">
        <f t="shared" si="10"/>
        <v>7221.9507999999996</v>
      </c>
      <c r="G36" s="168">
        <f t="shared" si="8"/>
        <v>87.619567948631044</v>
      </c>
      <c r="H36" s="168">
        <f t="shared" si="10"/>
        <v>7355.026100000001</v>
      </c>
      <c r="I36" s="169">
        <f t="shared" si="3"/>
        <v>101.84265032655722</v>
      </c>
      <c r="J36" s="165" t="e">
        <f>#REF!-D36</f>
        <v>#REF!</v>
      </c>
      <c r="K36" s="166" t="e">
        <f>J36/#REF!*100</f>
        <v>#REF!</v>
      </c>
      <c r="M36" s="170"/>
    </row>
    <row r="37" spans="1:13" s="166" customFormat="1" x14ac:dyDescent="0.25">
      <c r="A37" s="171" t="s">
        <v>319</v>
      </c>
      <c r="B37" s="172">
        <v>944.79705695999996</v>
      </c>
      <c r="C37" s="172">
        <v>2769.4759744199996</v>
      </c>
      <c r="D37" s="172">
        <v>2960.4211</v>
      </c>
      <c r="E37" s="172">
        <f t="shared" si="1"/>
        <v>106.89463015182825</v>
      </c>
      <c r="F37" s="172">
        <v>3353.8656000000001</v>
      </c>
      <c r="G37" s="172">
        <f t="shared" si="8"/>
        <v>113.29015321502742</v>
      </c>
      <c r="H37" s="172">
        <v>5734.6220000000003</v>
      </c>
      <c r="I37" s="173">
        <f t="shared" si="3"/>
        <v>170.98544437797389</v>
      </c>
      <c r="J37" s="165"/>
      <c r="M37" s="170"/>
    </row>
    <row r="38" spans="1:13" s="166" customFormat="1" x14ac:dyDescent="0.25">
      <c r="A38" s="171" t="s">
        <v>320</v>
      </c>
      <c r="B38" s="172">
        <v>3714.96819293</v>
      </c>
      <c r="C38" s="172">
        <v>4523.4113835200005</v>
      </c>
      <c r="D38" s="172">
        <v>4606.3863000000001</v>
      </c>
      <c r="E38" s="172">
        <f t="shared" si="1"/>
        <v>101.83434380481731</v>
      </c>
      <c r="F38" s="172">
        <v>3004.1934000000001</v>
      </c>
      <c r="G38" s="172">
        <f t="shared" si="8"/>
        <v>65.218008311634662</v>
      </c>
      <c r="H38" s="172">
        <v>530.16070000000002</v>
      </c>
      <c r="I38" s="173">
        <f t="shared" si="3"/>
        <v>17.647355859313187</v>
      </c>
      <c r="J38" s="165"/>
      <c r="M38" s="170"/>
    </row>
    <row r="39" spans="1:13" s="166" customFormat="1" x14ac:dyDescent="0.25">
      <c r="A39" s="171" t="s">
        <v>321</v>
      </c>
      <c r="B39" s="172">
        <v>364.08967659000001</v>
      </c>
      <c r="C39" s="172">
        <v>385.92400271000002</v>
      </c>
      <c r="D39" s="172">
        <v>401.17509999999999</v>
      </c>
      <c r="E39" s="172">
        <f t="shared" si="1"/>
        <v>103.95183952874274</v>
      </c>
      <c r="F39" s="172">
        <v>361.89109999999999</v>
      </c>
      <c r="G39" s="172">
        <f t="shared" si="8"/>
        <v>90.207767132107648</v>
      </c>
      <c r="H39" s="172">
        <v>357.68200000000002</v>
      </c>
      <c r="I39" s="173">
        <f t="shared" si="3"/>
        <v>98.836915304079056</v>
      </c>
      <c r="J39" s="165"/>
      <c r="M39" s="170"/>
    </row>
    <row r="40" spans="1:13" s="166" customFormat="1" ht="25" x14ac:dyDescent="0.25">
      <c r="A40" s="171" t="s">
        <v>322</v>
      </c>
      <c r="B40" s="172">
        <v>56.07800469</v>
      </c>
      <c r="C40" s="172">
        <v>283.84737949000004</v>
      </c>
      <c r="D40" s="172">
        <v>274.41239999999999</v>
      </c>
      <c r="E40" s="172">
        <f t="shared" si="1"/>
        <v>96.676037838731403</v>
      </c>
      <c r="F40" s="172">
        <v>502.00069999999999</v>
      </c>
      <c r="G40" s="172">
        <f t="shared" si="8"/>
        <v>182.9365947019887</v>
      </c>
      <c r="H40" s="172">
        <v>732.56140000000005</v>
      </c>
      <c r="I40" s="173">
        <f t="shared" si="3"/>
        <v>145.92836225128772</v>
      </c>
      <c r="J40" s="165"/>
      <c r="M40" s="170"/>
    </row>
    <row r="41" spans="1:13" s="166" customFormat="1" x14ac:dyDescent="0.25">
      <c r="A41" s="167" t="s">
        <v>323</v>
      </c>
      <c r="B41" s="168">
        <f t="shared" ref="B41" si="11">SUM(B43:B45)</f>
        <v>62.655637769999998</v>
      </c>
      <c r="C41" s="168">
        <f>SUM(C42:C45)</f>
        <v>387.60570100000001</v>
      </c>
      <c r="D41" s="168">
        <f t="shared" ref="D41:F41" si="12">SUM(D43:D45)</f>
        <v>384.38249999999999</v>
      </c>
      <c r="E41" s="168">
        <f t="shared" si="1"/>
        <v>99.168433025705156</v>
      </c>
      <c r="F41" s="168">
        <f t="shared" si="12"/>
        <v>104.2269</v>
      </c>
      <c r="G41" s="168">
        <f t="shared" si="8"/>
        <v>27.115412382197423</v>
      </c>
      <c r="H41" s="168">
        <f>SUM(H43:H45)</f>
        <v>106.1314</v>
      </c>
      <c r="I41" s="169">
        <f t="shared" si="3"/>
        <v>101.82726340320973</v>
      </c>
      <c r="J41" s="165" t="e">
        <f>#REF!-D41</f>
        <v>#REF!</v>
      </c>
      <c r="K41" s="166" t="e">
        <f>J41/#REF!*100</f>
        <v>#REF!</v>
      </c>
      <c r="M41" s="170"/>
    </row>
    <row r="42" spans="1:13" s="166" customFormat="1" x14ac:dyDescent="0.25">
      <c r="A42" s="176" t="s">
        <v>469</v>
      </c>
      <c r="B42" s="172"/>
      <c r="C42" s="172">
        <v>4.3884277000000003</v>
      </c>
      <c r="D42" s="172"/>
      <c r="E42" s="172"/>
      <c r="F42" s="172"/>
      <c r="G42" s="172"/>
      <c r="H42" s="172"/>
      <c r="I42" s="173"/>
      <c r="J42" s="165"/>
      <c r="M42" s="170"/>
    </row>
    <row r="43" spans="1:13" s="166" customFormat="1" ht="25" x14ac:dyDescent="0.25">
      <c r="A43" s="171" t="s">
        <v>324</v>
      </c>
      <c r="B43" s="172">
        <v>37.232921320000003</v>
      </c>
      <c r="C43" s="172">
        <v>54.296793299999997</v>
      </c>
      <c r="D43" s="172">
        <v>81.659599999999998</v>
      </c>
      <c r="E43" s="172">
        <f>D43/C43*100</f>
        <v>150.39488529058309</v>
      </c>
      <c r="F43" s="172">
        <v>43.570399999999999</v>
      </c>
      <c r="G43" s="172">
        <f>F43/D43*100</f>
        <v>53.356127142430289</v>
      </c>
      <c r="H43" s="172">
        <v>73.116900000000001</v>
      </c>
      <c r="I43" s="173">
        <f t="shared" si="3"/>
        <v>167.81324018140756</v>
      </c>
      <c r="J43" s="165"/>
      <c r="M43" s="170"/>
    </row>
    <row r="44" spans="1:13" s="166" customFormat="1" ht="25" x14ac:dyDescent="0.25">
      <c r="A44" s="171" t="s">
        <v>325</v>
      </c>
      <c r="B44" s="172">
        <f>3</f>
        <v>3</v>
      </c>
      <c r="C44" s="172"/>
      <c r="D44" s="172"/>
      <c r="E44" s="172"/>
      <c r="F44" s="172"/>
      <c r="G44" s="172"/>
      <c r="H44" s="172"/>
      <c r="I44" s="173">
        <v>0</v>
      </c>
      <c r="J44" s="165"/>
      <c r="M44" s="170"/>
    </row>
    <row r="45" spans="1:13" s="166" customFormat="1" ht="25" x14ac:dyDescent="0.25">
      <c r="A45" s="171" t="s">
        <v>326</v>
      </c>
      <c r="B45" s="172">
        <v>22.422716449999999</v>
      </c>
      <c r="C45" s="172">
        <v>328.92048</v>
      </c>
      <c r="D45" s="172">
        <v>302.72289999999998</v>
      </c>
      <c r="E45" s="172">
        <f t="shared" ref="E45:E51" si="13">D45/C45*100</f>
        <v>92.035284637794518</v>
      </c>
      <c r="F45" s="172">
        <v>60.656500000000001</v>
      </c>
      <c r="G45" s="172">
        <v>0</v>
      </c>
      <c r="H45" s="172">
        <v>33.014499999999998</v>
      </c>
      <c r="I45" s="173">
        <f t="shared" si="3"/>
        <v>54.428626775366197</v>
      </c>
      <c r="J45" s="165"/>
      <c r="M45" s="170"/>
    </row>
    <row r="46" spans="1:13" s="166" customFormat="1" x14ac:dyDescent="0.25">
      <c r="A46" s="167" t="s">
        <v>327</v>
      </c>
      <c r="B46" s="168">
        <f>SUM(B47:B55)</f>
        <v>20077.453957729998</v>
      </c>
      <c r="C46" s="168">
        <f>SUM(C47:C55)</f>
        <v>24194.612105649994</v>
      </c>
      <c r="D46" s="168">
        <f>SUM(D47:D55)</f>
        <v>24816.053</v>
      </c>
      <c r="E46" s="168">
        <f t="shared" si="13"/>
        <v>102.56850943357296</v>
      </c>
      <c r="F46" s="168">
        <f>SUM(F47:F55)</f>
        <v>25154.913699999997</v>
      </c>
      <c r="G46" s="168">
        <f t="shared" ref="G46:G51" si="14">F46/D46*100</f>
        <v>101.36548991090564</v>
      </c>
      <c r="H46" s="168">
        <f>SUM(H47:H55)</f>
        <v>25029.679099999998</v>
      </c>
      <c r="I46" s="169">
        <f t="shared" si="3"/>
        <v>99.502146572659484</v>
      </c>
      <c r="J46" s="165" t="e">
        <f>#REF!-D46</f>
        <v>#REF!</v>
      </c>
      <c r="K46" s="166" t="e">
        <f>J46/#REF!*100</f>
        <v>#REF!</v>
      </c>
      <c r="M46" s="170"/>
    </row>
    <row r="47" spans="1:13" s="166" customFormat="1" x14ac:dyDescent="0.25">
      <c r="A47" s="171" t="s">
        <v>328</v>
      </c>
      <c r="B47" s="172">
        <v>338.79891223999999</v>
      </c>
      <c r="C47" s="172">
        <v>2766.3472757299996</v>
      </c>
      <c r="D47" s="172">
        <v>1137.2064</v>
      </c>
      <c r="E47" s="172">
        <f t="shared" si="13"/>
        <v>41.108591461999559</v>
      </c>
      <c r="F47" s="172">
        <v>797.19650000000001</v>
      </c>
      <c r="G47" s="172">
        <f t="shared" si="14"/>
        <v>70.101302630727375</v>
      </c>
      <c r="H47" s="172">
        <v>14.535399999999999</v>
      </c>
      <c r="I47" s="173">
        <f t="shared" si="3"/>
        <v>1.823314578024364</v>
      </c>
      <c r="J47" s="165"/>
      <c r="M47" s="170"/>
    </row>
    <row r="48" spans="1:13" s="166" customFormat="1" x14ac:dyDescent="0.25">
      <c r="A48" s="171" t="s">
        <v>329</v>
      </c>
      <c r="B48" s="172">
        <v>15488.931212420001</v>
      </c>
      <c r="C48" s="172">
        <v>16782.306355069999</v>
      </c>
      <c r="D48" s="172">
        <v>18583.6247</v>
      </c>
      <c r="E48" s="172">
        <f t="shared" si="13"/>
        <v>110.73343738827539</v>
      </c>
      <c r="F48" s="172">
        <v>19141.5383</v>
      </c>
      <c r="G48" s="172">
        <f t="shared" si="14"/>
        <v>103.00217857929515</v>
      </c>
      <c r="H48" s="172">
        <v>20014.114399999999</v>
      </c>
      <c r="I48" s="173">
        <f t="shared" si="3"/>
        <v>104.55854741831277</v>
      </c>
      <c r="J48" s="165"/>
      <c r="M48" s="170"/>
    </row>
    <row r="49" spans="1:13" s="166" customFormat="1" x14ac:dyDescent="0.25">
      <c r="A49" s="171" t="s">
        <v>330</v>
      </c>
      <c r="B49" s="172">
        <v>237.59470299</v>
      </c>
      <c r="C49" s="172">
        <v>304.51539169</v>
      </c>
      <c r="D49" s="172">
        <v>284.89190000000002</v>
      </c>
      <c r="E49" s="172">
        <f t="shared" si="13"/>
        <v>93.555829286298632</v>
      </c>
      <c r="F49" s="172">
        <v>654.04300000000001</v>
      </c>
      <c r="G49" s="172">
        <f t="shared" si="14"/>
        <v>229.57584964683093</v>
      </c>
      <c r="H49" s="172">
        <v>257.69400000000002</v>
      </c>
      <c r="I49" s="173">
        <f t="shared" si="3"/>
        <v>39.40016176306451</v>
      </c>
      <c r="J49" s="165"/>
      <c r="M49" s="170"/>
    </row>
    <row r="50" spans="1:13" s="166" customFormat="1" x14ac:dyDescent="0.25">
      <c r="A50" s="171" t="s">
        <v>331</v>
      </c>
      <c r="B50" s="172">
        <v>2615.05666071</v>
      </c>
      <c r="C50" s="172">
        <v>2681.6850953400003</v>
      </c>
      <c r="D50" s="172">
        <v>2899.857</v>
      </c>
      <c r="E50" s="172">
        <f t="shared" si="13"/>
        <v>108.13562729789265</v>
      </c>
      <c r="F50" s="172">
        <v>2954.1253999999999</v>
      </c>
      <c r="G50" s="172">
        <f t="shared" si="14"/>
        <v>101.87141641811992</v>
      </c>
      <c r="H50" s="172">
        <v>3106.9495000000002</v>
      </c>
      <c r="I50" s="173">
        <f t="shared" si="3"/>
        <v>105.17324349196551</v>
      </c>
      <c r="J50" s="165"/>
      <c r="M50" s="170"/>
    </row>
    <row r="51" spans="1:13" s="166" customFormat="1" ht="25" x14ac:dyDescent="0.25">
      <c r="A51" s="171" t="s">
        <v>332</v>
      </c>
      <c r="B51" s="172">
        <v>136.67161419999999</v>
      </c>
      <c r="C51" s="172">
        <v>149.26283484000001</v>
      </c>
      <c r="D51" s="172">
        <v>158.22300000000001</v>
      </c>
      <c r="E51" s="172">
        <f t="shared" si="13"/>
        <v>106.00294451703583</v>
      </c>
      <c r="F51" s="172">
        <v>132.7227</v>
      </c>
      <c r="G51" s="172">
        <f t="shared" si="14"/>
        <v>83.88331658482015</v>
      </c>
      <c r="H51" s="172">
        <v>130.3475</v>
      </c>
      <c r="I51" s="173">
        <f t="shared" si="3"/>
        <v>98.210404098168581</v>
      </c>
      <c r="J51" s="165"/>
      <c r="M51" s="170"/>
    </row>
    <row r="52" spans="1:13" s="166" customFormat="1" x14ac:dyDescent="0.25">
      <c r="A52" s="171" t="s">
        <v>470</v>
      </c>
      <c r="B52" s="172">
        <f>50000/1000000</f>
        <v>0.05</v>
      </c>
      <c r="C52" s="172">
        <v>0.35260000000000002</v>
      </c>
      <c r="D52" s="172"/>
      <c r="E52" s="172"/>
      <c r="F52" s="172"/>
      <c r="G52" s="172"/>
      <c r="H52" s="172"/>
      <c r="I52" s="173"/>
      <c r="J52" s="165"/>
      <c r="M52" s="170"/>
    </row>
    <row r="53" spans="1:13" s="166" customFormat="1" x14ac:dyDescent="0.25">
      <c r="A53" s="171" t="s">
        <v>333</v>
      </c>
      <c r="B53" s="172">
        <v>525.63197645000002</v>
      </c>
      <c r="C53" s="172">
        <v>661.45826111999997</v>
      </c>
      <c r="D53" s="172">
        <v>772.54750000000001</v>
      </c>
      <c r="E53" s="172">
        <f t="shared" ref="E53:E73" si="15">D53/C53*100</f>
        <v>116.79459542797161</v>
      </c>
      <c r="F53" s="172">
        <v>519.17989999999998</v>
      </c>
      <c r="G53" s="172">
        <f t="shared" ref="G53:G73" si="16">F53/D53*100</f>
        <v>67.203621783773798</v>
      </c>
      <c r="H53" s="172">
        <v>527.51279999999997</v>
      </c>
      <c r="I53" s="173">
        <f t="shared" si="3"/>
        <v>101.60501205844064</v>
      </c>
      <c r="J53" s="165"/>
      <c r="M53" s="170"/>
    </row>
    <row r="54" spans="1:13" s="166" customFormat="1" ht="25" x14ac:dyDescent="0.25">
      <c r="A54" s="171" t="s">
        <v>334</v>
      </c>
      <c r="B54" s="172">
        <v>4.09172432</v>
      </c>
      <c r="C54" s="172">
        <v>7.0869</v>
      </c>
      <c r="D54" s="172">
        <v>8.5031999999999996</v>
      </c>
      <c r="E54" s="172">
        <f t="shared" si="15"/>
        <v>119.9847606146552</v>
      </c>
      <c r="F54" s="172">
        <v>8.8009000000000004</v>
      </c>
      <c r="G54" s="172">
        <f t="shared" si="16"/>
        <v>103.50103490450655</v>
      </c>
      <c r="H54" s="172">
        <v>9.0960999999999999</v>
      </c>
      <c r="I54" s="173">
        <f t="shared" si="3"/>
        <v>103.35420241111703</v>
      </c>
      <c r="J54" s="165"/>
      <c r="M54" s="170"/>
    </row>
    <row r="55" spans="1:13" s="166" customFormat="1" x14ac:dyDescent="0.25">
      <c r="A55" s="171" t="s">
        <v>335</v>
      </c>
      <c r="B55" s="172">
        <v>730.62715439999999</v>
      </c>
      <c r="C55" s="172">
        <v>841.59739186000002</v>
      </c>
      <c r="D55" s="172">
        <v>971.19929999999999</v>
      </c>
      <c r="E55" s="172">
        <f t="shared" si="15"/>
        <v>115.39951399487694</v>
      </c>
      <c r="F55" s="172">
        <v>947.30700000000002</v>
      </c>
      <c r="G55" s="172">
        <f t="shared" si="16"/>
        <v>97.539917913861757</v>
      </c>
      <c r="H55" s="172">
        <v>969.42939999999999</v>
      </c>
      <c r="I55" s="173">
        <f t="shared" si="3"/>
        <v>102.33529362709237</v>
      </c>
      <c r="J55" s="165"/>
      <c r="M55" s="170"/>
    </row>
    <row r="56" spans="1:13" s="166" customFormat="1" x14ac:dyDescent="0.25">
      <c r="A56" s="167" t="s">
        <v>336</v>
      </c>
      <c r="B56" s="168">
        <f t="shared" ref="B56" si="17">SUM(B57:B58)</f>
        <v>1830.3082653500001</v>
      </c>
      <c r="C56" s="168">
        <f>SUM(C57:C58)</f>
        <v>1281.8602353499996</v>
      </c>
      <c r="D56" s="168">
        <f t="shared" ref="D56:H56" si="18">SUM(D57:D58)</f>
        <v>1363.8389</v>
      </c>
      <c r="E56" s="168">
        <f t="shared" si="15"/>
        <v>106.39528884579346</v>
      </c>
      <c r="F56" s="168">
        <f t="shared" si="18"/>
        <v>1197.7158999999999</v>
      </c>
      <c r="G56" s="168">
        <f t="shared" si="16"/>
        <v>87.819455802294527</v>
      </c>
      <c r="H56" s="168">
        <f t="shared" si="18"/>
        <v>1162.0181</v>
      </c>
      <c r="I56" s="169">
        <f t="shared" si="3"/>
        <v>97.019510219410137</v>
      </c>
      <c r="J56" s="165" t="e">
        <f>#REF!-D56</f>
        <v>#REF!</v>
      </c>
      <c r="K56" s="166" t="e">
        <f>J56/#REF!*100</f>
        <v>#REF!</v>
      </c>
      <c r="M56" s="170"/>
    </row>
    <row r="57" spans="1:13" s="166" customFormat="1" x14ac:dyDescent="0.25">
      <c r="A57" s="171" t="s">
        <v>337</v>
      </c>
      <c r="B57" s="172">
        <v>1784.3689159800001</v>
      </c>
      <c r="C57" s="172">
        <v>1231.6268793499996</v>
      </c>
      <c r="D57" s="172">
        <v>1311.0987</v>
      </c>
      <c r="E57" s="172">
        <f t="shared" si="15"/>
        <v>106.45258900909521</v>
      </c>
      <c r="F57" s="172">
        <v>1145.3779</v>
      </c>
      <c r="G57" s="172">
        <f t="shared" si="16"/>
        <v>87.360158316074902</v>
      </c>
      <c r="H57" s="172">
        <v>1107.79</v>
      </c>
      <c r="I57" s="173">
        <f t="shared" si="3"/>
        <v>96.718297079068833</v>
      </c>
      <c r="J57" s="165"/>
      <c r="M57" s="170"/>
    </row>
    <row r="58" spans="1:13" s="166" customFormat="1" ht="25" x14ac:dyDescent="0.25">
      <c r="A58" s="171" t="s">
        <v>338</v>
      </c>
      <c r="B58" s="172">
        <v>45.939349370000002</v>
      </c>
      <c r="C58" s="172">
        <v>50.233356000000001</v>
      </c>
      <c r="D58" s="172">
        <v>52.740200000000002</v>
      </c>
      <c r="E58" s="172">
        <f t="shared" si="15"/>
        <v>104.99039721733901</v>
      </c>
      <c r="F58" s="172">
        <v>52.338000000000001</v>
      </c>
      <c r="G58" s="172">
        <f t="shared" si="16"/>
        <v>99.237393866538241</v>
      </c>
      <c r="H58" s="172">
        <v>54.228099999999998</v>
      </c>
      <c r="I58" s="173">
        <f t="shared" si="3"/>
        <v>103.61133402117008</v>
      </c>
      <c r="J58" s="165"/>
      <c r="M58" s="170"/>
    </row>
    <row r="59" spans="1:13" s="166" customFormat="1" x14ac:dyDescent="0.25">
      <c r="A59" s="167" t="s">
        <v>339</v>
      </c>
      <c r="B59" s="168">
        <f t="shared" ref="B59" si="19">SUM(B60:B66)</f>
        <v>6830.5578313199994</v>
      </c>
      <c r="C59" s="168">
        <f>SUM(C60:C66)</f>
        <v>8813.1178765900004</v>
      </c>
      <c r="D59" s="168">
        <f t="shared" ref="D59:H59" si="20">SUM(D60:D66)</f>
        <v>10762.025200000002</v>
      </c>
      <c r="E59" s="168">
        <f t="shared" si="15"/>
        <v>122.11370993444692</v>
      </c>
      <c r="F59" s="168">
        <f t="shared" si="20"/>
        <v>8605.6854000000003</v>
      </c>
      <c r="G59" s="168">
        <f t="shared" si="16"/>
        <v>79.963438479961923</v>
      </c>
      <c r="H59" s="168">
        <f t="shared" si="20"/>
        <v>8890.7680999999993</v>
      </c>
      <c r="I59" s="169">
        <f t="shared" si="3"/>
        <v>103.31272509682958</v>
      </c>
      <c r="J59" s="165" t="e">
        <f>#REF!-D59</f>
        <v>#REF!</v>
      </c>
      <c r="K59" s="166" t="e">
        <f>J59/#REF!*100</f>
        <v>#REF!</v>
      </c>
      <c r="M59" s="170"/>
    </row>
    <row r="60" spans="1:13" s="166" customFormat="1" x14ac:dyDescent="0.25">
      <c r="A60" s="171" t="s">
        <v>340</v>
      </c>
      <c r="B60" s="172">
        <v>2428.5360178699998</v>
      </c>
      <c r="C60" s="172">
        <v>3338.6772458800001</v>
      </c>
      <c r="D60" s="175">
        <v>4695.4614000000001</v>
      </c>
      <c r="E60" s="172">
        <f t="shared" si="15"/>
        <v>140.63837424819368</v>
      </c>
      <c r="F60" s="172">
        <v>3795.0974000000001</v>
      </c>
      <c r="G60" s="172">
        <f t="shared" si="16"/>
        <v>80.824802435815997</v>
      </c>
      <c r="H60" s="172">
        <v>4394.9694</v>
      </c>
      <c r="I60" s="173">
        <f t="shared" si="3"/>
        <v>115.80649814152333</v>
      </c>
      <c r="J60" s="165"/>
      <c r="M60" s="170"/>
    </row>
    <row r="61" spans="1:13" s="166" customFormat="1" x14ac:dyDescent="0.25">
      <c r="A61" s="171" t="s">
        <v>341</v>
      </c>
      <c r="B61" s="172">
        <v>2464.1489332900001</v>
      </c>
      <c r="C61" s="172">
        <v>3295.1054594500001</v>
      </c>
      <c r="D61" s="175">
        <v>3103.9841000000001</v>
      </c>
      <c r="E61" s="172">
        <f t="shared" si="15"/>
        <v>94.199840891225961</v>
      </c>
      <c r="F61" s="172">
        <v>2456.3114</v>
      </c>
      <c r="G61" s="172">
        <f t="shared" si="16"/>
        <v>79.134148915260226</v>
      </c>
      <c r="H61" s="172">
        <v>2048.5877999999998</v>
      </c>
      <c r="I61" s="173">
        <f t="shared" si="3"/>
        <v>83.400980836550275</v>
      </c>
      <c r="J61" s="165"/>
      <c r="M61" s="170"/>
    </row>
    <row r="62" spans="1:13" s="166" customFormat="1" ht="25" x14ac:dyDescent="0.25">
      <c r="A62" s="171" t="s">
        <v>342</v>
      </c>
      <c r="B62" s="172">
        <v>28.8066</v>
      </c>
      <c r="C62" s="172">
        <v>70.222399999999993</v>
      </c>
      <c r="D62" s="175">
        <v>72.135900000000007</v>
      </c>
      <c r="E62" s="172">
        <f t="shared" si="15"/>
        <v>102.72491398755955</v>
      </c>
      <c r="F62" s="172">
        <v>75.021600000000007</v>
      </c>
      <c r="G62" s="172">
        <f t="shared" si="16"/>
        <v>104.00036597588718</v>
      </c>
      <c r="H62" s="172">
        <v>78.022400000000005</v>
      </c>
      <c r="I62" s="173">
        <f t="shared" si="3"/>
        <v>103.9999146912356</v>
      </c>
      <c r="J62" s="165"/>
      <c r="M62" s="170"/>
    </row>
    <row r="63" spans="1:13" s="166" customFormat="1" x14ac:dyDescent="0.25">
      <c r="A63" s="171" t="s">
        <v>343</v>
      </c>
      <c r="B63" s="172">
        <v>492.24087410999999</v>
      </c>
      <c r="C63" s="172">
        <v>574.78929840000001</v>
      </c>
      <c r="D63" s="175">
        <v>659.00030000000004</v>
      </c>
      <c r="E63" s="172">
        <f t="shared" si="15"/>
        <v>114.65076017149454</v>
      </c>
      <c r="F63" s="172">
        <v>689.38229999999999</v>
      </c>
      <c r="G63" s="172">
        <f t="shared" si="16"/>
        <v>104.61031656586499</v>
      </c>
      <c r="H63" s="172">
        <v>742.84180000000003</v>
      </c>
      <c r="I63" s="173">
        <f t="shared" si="3"/>
        <v>107.75469576169856</v>
      </c>
      <c r="J63" s="165"/>
      <c r="M63" s="170"/>
    </row>
    <row r="64" spans="1:13" s="166" customFormat="1" x14ac:dyDescent="0.25">
      <c r="A64" s="171" t="s">
        <v>344</v>
      </c>
      <c r="B64" s="172">
        <v>173.90414211000001</v>
      </c>
      <c r="C64" s="172">
        <v>181.95050481000001</v>
      </c>
      <c r="D64" s="175">
        <v>194.72630000000001</v>
      </c>
      <c r="E64" s="172">
        <f t="shared" si="15"/>
        <v>107.02157721592529</v>
      </c>
      <c r="F64" s="172">
        <v>199.74799999999999</v>
      </c>
      <c r="G64" s="172">
        <f t="shared" si="16"/>
        <v>102.57885041722663</v>
      </c>
      <c r="H64" s="172">
        <v>207.00710000000001</v>
      </c>
      <c r="I64" s="173">
        <f t="shared" si="3"/>
        <v>103.6341290025432</v>
      </c>
      <c r="J64" s="165"/>
      <c r="M64" s="170"/>
    </row>
    <row r="65" spans="1:13" s="166" customFormat="1" ht="25" x14ac:dyDescent="0.25">
      <c r="A65" s="171" t="s">
        <v>345</v>
      </c>
      <c r="B65" s="172">
        <v>144.00409999999999</v>
      </c>
      <c r="C65" s="172">
        <v>149.27610000000001</v>
      </c>
      <c r="D65" s="175">
        <v>158.55080000000001</v>
      </c>
      <c r="E65" s="172">
        <f t="shared" si="15"/>
        <v>106.21311784002931</v>
      </c>
      <c r="F65" s="172">
        <v>164.059</v>
      </c>
      <c r="G65" s="172">
        <f t="shared" si="16"/>
        <v>103.47409158452685</v>
      </c>
      <c r="H65" s="172">
        <v>170.6165</v>
      </c>
      <c r="I65" s="173">
        <f t="shared" si="3"/>
        <v>103.99703765108895</v>
      </c>
      <c r="J65" s="165"/>
      <c r="M65" s="170"/>
    </row>
    <row r="66" spans="1:13" s="166" customFormat="1" x14ac:dyDescent="0.25">
      <c r="A66" s="171" t="s">
        <v>346</v>
      </c>
      <c r="B66" s="172">
        <v>1098.9171639399999</v>
      </c>
      <c r="C66" s="172">
        <v>1203.0968680500002</v>
      </c>
      <c r="D66" s="175">
        <v>1878.1664000000001</v>
      </c>
      <c r="E66" s="172">
        <f t="shared" si="15"/>
        <v>156.11098739240873</v>
      </c>
      <c r="F66" s="172">
        <v>1226.0657000000001</v>
      </c>
      <c r="G66" s="172">
        <f t="shared" si="16"/>
        <v>65.279929403486292</v>
      </c>
      <c r="H66" s="172">
        <v>1248.7230999999999</v>
      </c>
      <c r="I66" s="173">
        <f t="shared" si="3"/>
        <v>101.84797600976847</v>
      </c>
      <c r="J66" s="165"/>
      <c r="M66" s="170"/>
    </row>
    <row r="67" spans="1:13" s="166" customFormat="1" x14ac:dyDescent="0.25">
      <c r="A67" s="167" t="s">
        <v>347</v>
      </c>
      <c r="B67" s="168">
        <f t="shared" ref="B67" si="21">SUM(B68:B72)</f>
        <v>21334.217243809999</v>
      </c>
      <c r="C67" s="168">
        <f>SUM(C68:C72)</f>
        <v>22271.670283220003</v>
      </c>
      <c r="D67" s="168">
        <f t="shared" ref="D67:H67" si="22">SUM(D68:D72)</f>
        <v>23917.476599999998</v>
      </c>
      <c r="E67" s="168">
        <f t="shared" si="15"/>
        <v>107.38968517336566</v>
      </c>
      <c r="F67" s="168">
        <f t="shared" si="22"/>
        <v>23432.146700000001</v>
      </c>
      <c r="G67" s="168">
        <f t="shared" si="16"/>
        <v>97.970814780686368</v>
      </c>
      <c r="H67" s="168">
        <f t="shared" si="22"/>
        <v>25383.561999999998</v>
      </c>
      <c r="I67" s="169">
        <f t="shared" si="3"/>
        <v>108.32794077718879</v>
      </c>
      <c r="J67" s="165"/>
      <c r="K67" s="165" t="e">
        <f>D67-#REF!</f>
        <v>#REF!</v>
      </c>
      <c r="L67" s="165" t="e">
        <f>K67/#REF!*100</f>
        <v>#REF!</v>
      </c>
      <c r="M67" s="170"/>
    </row>
    <row r="68" spans="1:13" s="166" customFormat="1" x14ac:dyDescent="0.25">
      <c r="A68" s="171" t="s">
        <v>348</v>
      </c>
      <c r="B68" s="172">
        <v>78.079284290000004</v>
      </c>
      <c r="C68" s="172">
        <v>83.925399999999996</v>
      </c>
      <c r="D68" s="172">
        <v>100.20350000000001</v>
      </c>
      <c r="E68" s="172">
        <f t="shared" si="15"/>
        <v>119.39591589673688</v>
      </c>
      <c r="F68" s="172">
        <v>99.463999999999999</v>
      </c>
      <c r="G68" s="172">
        <f t="shared" si="16"/>
        <v>99.262001826283509</v>
      </c>
      <c r="H68" s="172">
        <v>99.218599999999995</v>
      </c>
      <c r="I68" s="173">
        <f t="shared" si="3"/>
        <v>99.753277567763206</v>
      </c>
      <c r="J68" s="165"/>
      <c r="K68" s="165"/>
      <c r="L68" s="165"/>
      <c r="M68" s="170"/>
    </row>
    <row r="69" spans="1:13" s="166" customFormat="1" x14ac:dyDescent="0.25">
      <c r="A69" s="171" t="s">
        <v>349</v>
      </c>
      <c r="B69" s="172">
        <v>2742.9049724400002</v>
      </c>
      <c r="C69" s="172">
        <v>2953.4801499999999</v>
      </c>
      <c r="D69" s="172">
        <v>2974.7242000000001</v>
      </c>
      <c r="E69" s="172">
        <f t="shared" si="15"/>
        <v>100.71928873468137</v>
      </c>
      <c r="F69" s="172">
        <v>3056.5313999999998</v>
      </c>
      <c r="G69" s="172">
        <f t="shared" si="16"/>
        <v>102.75007679703549</v>
      </c>
      <c r="H69" s="172">
        <v>3158.5720999999999</v>
      </c>
      <c r="I69" s="173">
        <f t="shared" si="3"/>
        <v>103.33844762726795</v>
      </c>
      <c r="J69" s="165"/>
      <c r="K69" s="165"/>
      <c r="L69" s="165"/>
      <c r="M69" s="170"/>
    </row>
    <row r="70" spans="1:13" s="166" customFormat="1" x14ac:dyDescent="0.25">
      <c r="A70" s="171" t="s">
        <v>350</v>
      </c>
      <c r="B70" s="172">
        <v>15423.16738909</v>
      </c>
      <c r="C70" s="172">
        <v>15694.948887</v>
      </c>
      <c r="D70" s="172">
        <v>16267.811100000001</v>
      </c>
      <c r="E70" s="172">
        <f t="shared" si="15"/>
        <v>103.64997820078597</v>
      </c>
      <c r="F70" s="172">
        <v>15665.1206</v>
      </c>
      <c r="G70" s="172">
        <f t="shared" si="16"/>
        <v>96.295196100475991</v>
      </c>
      <c r="H70" s="172">
        <v>17584.295999999998</v>
      </c>
      <c r="I70" s="173">
        <f t="shared" si="3"/>
        <v>112.25126476204721</v>
      </c>
      <c r="J70" s="165"/>
      <c r="K70" s="165"/>
      <c r="L70" s="165"/>
      <c r="M70" s="170"/>
    </row>
    <row r="71" spans="1:13" s="166" customFormat="1" x14ac:dyDescent="0.25">
      <c r="A71" s="171" t="s">
        <v>351</v>
      </c>
      <c r="B71" s="172">
        <v>2934.3343878800001</v>
      </c>
      <c r="C71" s="172">
        <v>3528.1806462200002</v>
      </c>
      <c r="D71" s="172">
        <v>4562.9314999999997</v>
      </c>
      <c r="E71" s="172">
        <f t="shared" si="15"/>
        <v>129.32817101892456</v>
      </c>
      <c r="F71" s="172">
        <v>4599.8195999999998</v>
      </c>
      <c r="G71" s="172">
        <f t="shared" si="16"/>
        <v>100.80842984384053</v>
      </c>
      <c r="H71" s="172">
        <v>4530.6337000000003</v>
      </c>
      <c r="I71" s="173">
        <f t="shared" si="3"/>
        <v>98.495899708762508</v>
      </c>
      <c r="J71" s="165"/>
      <c r="K71" s="165"/>
      <c r="L71" s="165"/>
      <c r="M71" s="170"/>
    </row>
    <row r="72" spans="1:13" s="166" customFormat="1" x14ac:dyDescent="0.25">
      <c r="A72" s="171" t="s">
        <v>352</v>
      </c>
      <c r="B72" s="172">
        <v>155.73121011000001</v>
      </c>
      <c r="C72" s="172">
        <v>11.135199999999999</v>
      </c>
      <c r="D72" s="172">
        <v>11.8063</v>
      </c>
      <c r="E72" s="172">
        <f t="shared" si="15"/>
        <v>106.02683382426899</v>
      </c>
      <c r="F72" s="172">
        <v>11.2111</v>
      </c>
      <c r="G72" s="172">
        <f t="shared" si="16"/>
        <v>94.958623785605994</v>
      </c>
      <c r="H72" s="172">
        <v>10.8416</v>
      </c>
      <c r="I72" s="173">
        <f t="shared" si="3"/>
        <v>96.704159270722769</v>
      </c>
      <c r="J72" s="165"/>
      <c r="K72" s="165"/>
      <c r="L72" s="165"/>
      <c r="M72" s="170"/>
    </row>
    <row r="73" spans="1:13" s="166" customFormat="1" x14ac:dyDescent="0.25">
      <c r="A73" s="167" t="s">
        <v>353</v>
      </c>
      <c r="B73" s="168">
        <f>SUM(B75:B77)</f>
        <v>553.4794828900001</v>
      </c>
      <c r="C73" s="168">
        <f>SUM(C74:C77)</f>
        <v>837.29334205000009</v>
      </c>
      <c r="D73" s="168">
        <f>SUM(D75:D77)</f>
        <v>1182.1921999999997</v>
      </c>
      <c r="E73" s="168">
        <f t="shared" si="15"/>
        <v>141.19211758038838</v>
      </c>
      <c r="F73" s="168">
        <f>SUM(F75:F77)</f>
        <v>1000.5617</v>
      </c>
      <c r="G73" s="168">
        <f t="shared" si="16"/>
        <v>84.636127695648838</v>
      </c>
      <c r="H73" s="168">
        <f>SUM(H75:H77)</f>
        <v>699.2414</v>
      </c>
      <c r="I73" s="169">
        <f t="shared" si="3"/>
        <v>69.884885659724944</v>
      </c>
      <c r="J73" s="165" t="e">
        <f>#REF!-D73</f>
        <v>#REF!</v>
      </c>
      <c r="K73" s="166" t="e">
        <f>J73/#REF!*100</f>
        <v>#REF!</v>
      </c>
      <c r="M73" s="170"/>
    </row>
    <row r="74" spans="1:13" s="166" customFormat="1" x14ac:dyDescent="0.25">
      <c r="A74" s="176" t="s">
        <v>471</v>
      </c>
      <c r="B74" s="172"/>
      <c r="C74" s="172">
        <v>2.5666666</v>
      </c>
      <c r="D74" s="172"/>
      <c r="E74" s="172"/>
      <c r="F74" s="172"/>
      <c r="G74" s="172"/>
      <c r="H74" s="172"/>
      <c r="I74" s="173"/>
      <c r="J74" s="165"/>
      <c r="M74" s="170"/>
    </row>
    <row r="75" spans="1:13" s="166" customFormat="1" x14ac:dyDescent="0.25">
      <c r="A75" s="171" t="s">
        <v>354</v>
      </c>
      <c r="B75" s="172">
        <v>105.57773288999999</v>
      </c>
      <c r="C75" s="172">
        <v>356.09559482000003</v>
      </c>
      <c r="D75" s="172">
        <v>554.90409999999997</v>
      </c>
      <c r="E75" s="172">
        <f>D75/C75*100</f>
        <v>155.83009396128423</v>
      </c>
      <c r="F75" s="172">
        <v>475.09739999999999</v>
      </c>
      <c r="G75" s="172">
        <f>F75/D75*100</f>
        <v>85.617929296251376</v>
      </c>
      <c r="H75" s="172">
        <v>169.8356</v>
      </c>
      <c r="I75" s="173">
        <f t="shared" si="3"/>
        <v>35.747533032174033</v>
      </c>
      <c r="J75" s="165"/>
      <c r="M75" s="170"/>
    </row>
    <row r="76" spans="1:13" s="166" customFormat="1" x14ac:dyDescent="0.25">
      <c r="A76" s="171" t="s">
        <v>355</v>
      </c>
      <c r="B76" s="172">
        <v>432.09755000000001</v>
      </c>
      <c r="C76" s="172">
        <v>462.10718063000002</v>
      </c>
      <c r="D76" s="172">
        <v>608.95889999999997</v>
      </c>
      <c r="E76" s="172">
        <f>D76/C76*100</f>
        <v>131.77871401387748</v>
      </c>
      <c r="F76" s="172">
        <v>507.21690000000001</v>
      </c>
      <c r="G76" s="172">
        <f>F76/D76*100</f>
        <v>83.292468506495283</v>
      </c>
      <c r="H76" s="172">
        <v>510.49400000000003</v>
      </c>
      <c r="I76" s="173">
        <f t="shared" si="3"/>
        <v>100.64609440261158</v>
      </c>
      <c r="J76" s="165"/>
      <c r="M76" s="170"/>
    </row>
    <row r="77" spans="1:13" s="166" customFormat="1" ht="25" x14ac:dyDescent="0.25">
      <c r="A77" s="171" t="s">
        <v>356</v>
      </c>
      <c r="B77" s="172">
        <v>15.8042</v>
      </c>
      <c r="C77" s="172">
        <v>16.523900000000001</v>
      </c>
      <c r="D77" s="172">
        <v>18.3292</v>
      </c>
      <c r="E77" s="172">
        <f>D77/C77*100</f>
        <v>110.92538686387596</v>
      </c>
      <c r="F77" s="172">
        <v>18.247399999999999</v>
      </c>
      <c r="G77" s="172">
        <f>F77/D77*100</f>
        <v>99.553717565414743</v>
      </c>
      <c r="H77" s="172">
        <v>18.911799999999999</v>
      </c>
      <c r="I77" s="173">
        <f t="shared" si="3"/>
        <v>103.64106667251225</v>
      </c>
      <c r="J77" s="165"/>
      <c r="M77" s="170"/>
    </row>
    <row r="78" spans="1:13" s="166" customFormat="1" x14ac:dyDescent="0.25">
      <c r="A78" s="167" t="s">
        <v>357</v>
      </c>
      <c r="B78" s="168">
        <f t="shared" ref="B78:H78" si="23">SUM(B79:B80)</f>
        <v>76.369936999999993</v>
      </c>
      <c r="C78" s="168">
        <f t="shared" si="23"/>
        <v>96.813000000000002</v>
      </c>
      <c r="D78" s="168">
        <f t="shared" si="23"/>
        <v>126.20229999999999</v>
      </c>
      <c r="E78" s="168">
        <f>D78/C78*100</f>
        <v>130.35677026845568</v>
      </c>
      <c r="F78" s="168">
        <f t="shared" si="23"/>
        <v>78.675299999999993</v>
      </c>
      <c r="G78" s="168">
        <f>F78/D78*100</f>
        <v>62.34062295219659</v>
      </c>
      <c r="H78" s="168">
        <f t="shared" si="23"/>
        <v>79.719700000000003</v>
      </c>
      <c r="I78" s="169">
        <f t="shared" ref="I78:I87" si="24">H78/F78*100</f>
        <v>101.3274814331817</v>
      </c>
      <c r="J78" s="165" t="e">
        <f>#REF!-D78</f>
        <v>#REF!</v>
      </c>
      <c r="K78" s="166" t="e">
        <f>J78/#REF!*100</f>
        <v>#REF!</v>
      </c>
      <c r="M78" s="170"/>
    </row>
    <row r="79" spans="1:13" s="166" customFormat="1" ht="12" customHeight="1" x14ac:dyDescent="0.25">
      <c r="A79" s="171" t="s">
        <v>358</v>
      </c>
      <c r="B79" s="172">
        <v>76.369936999999993</v>
      </c>
      <c r="C79" s="172">
        <v>96.813000000000002</v>
      </c>
      <c r="D79" s="172">
        <v>126.20229999999999</v>
      </c>
      <c r="E79" s="172">
        <f>D79/C79*100</f>
        <v>130.35677026845568</v>
      </c>
      <c r="F79" s="172">
        <v>78.675299999999993</v>
      </c>
      <c r="G79" s="172">
        <f>F79/D79*100</f>
        <v>62.34062295219659</v>
      </c>
      <c r="H79" s="172">
        <v>79.719700000000003</v>
      </c>
      <c r="I79" s="173">
        <f t="shared" si="24"/>
        <v>101.3274814331817</v>
      </c>
      <c r="J79" s="165"/>
      <c r="M79" s="170"/>
    </row>
    <row r="80" spans="1:13" s="166" customFormat="1" ht="25" hidden="1" x14ac:dyDescent="0.25">
      <c r="A80" s="171" t="s">
        <v>359</v>
      </c>
      <c r="B80" s="172"/>
      <c r="C80" s="172"/>
      <c r="D80" s="172"/>
      <c r="E80" s="172"/>
      <c r="F80" s="172"/>
      <c r="G80" s="172"/>
      <c r="H80" s="172"/>
      <c r="I80" s="173"/>
      <c r="J80" s="165"/>
      <c r="M80" s="170"/>
    </row>
    <row r="81" spans="1:13" s="166" customFormat="1" ht="25" x14ac:dyDescent="0.25">
      <c r="A81" s="167" t="s">
        <v>360</v>
      </c>
      <c r="B81" s="168">
        <f t="shared" ref="B81:H81" si="25">+B82</f>
        <v>1270.99251443</v>
      </c>
      <c r="C81" s="168">
        <f t="shared" si="25"/>
        <v>2220.6699284000001</v>
      </c>
      <c r="D81" s="168">
        <f t="shared" si="25"/>
        <v>3240.0641000000001</v>
      </c>
      <c r="E81" s="168">
        <f t="shared" ref="E81:E86" si="26">D81/C81*100</f>
        <v>145.90480370644173</v>
      </c>
      <c r="F81" s="168">
        <f t="shared" si="25"/>
        <v>4233.9939000000004</v>
      </c>
      <c r="G81" s="168">
        <f t="shared" ref="G81:G86" si="27">F81/D81*100</f>
        <v>130.67623878181917</v>
      </c>
      <c r="H81" s="168">
        <f t="shared" si="25"/>
        <v>1873.7947999999999</v>
      </c>
      <c r="I81" s="169">
        <f t="shared" si="24"/>
        <v>44.255963618653297</v>
      </c>
      <c r="J81" s="165" t="e">
        <f>#REF!-D81</f>
        <v>#REF!</v>
      </c>
      <c r="K81" s="166" t="e">
        <f>J81/#REF!*100</f>
        <v>#REF!</v>
      </c>
      <c r="M81" s="170"/>
    </row>
    <row r="82" spans="1:13" s="166" customFormat="1" ht="25" x14ac:dyDescent="0.25">
      <c r="A82" s="171" t="s">
        <v>361</v>
      </c>
      <c r="B82" s="172">
        <v>1270.99251443</v>
      </c>
      <c r="C82" s="172">
        <v>2220.6699284000001</v>
      </c>
      <c r="D82" s="172">
        <v>3240.0641000000001</v>
      </c>
      <c r="E82" s="172">
        <f t="shared" si="26"/>
        <v>145.90480370644173</v>
      </c>
      <c r="F82" s="172">
        <v>4233.9939000000004</v>
      </c>
      <c r="G82" s="172">
        <f t="shared" si="27"/>
        <v>130.67623878181917</v>
      </c>
      <c r="H82" s="172">
        <v>1873.7947999999999</v>
      </c>
      <c r="I82" s="173">
        <f t="shared" si="24"/>
        <v>44.255963618653297</v>
      </c>
      <c r="J82" s="165"/>
      <c r="M82" s="170"/>
    </row>
    <row r="83" spans="1:13" s="166" customFormat="1" ht="37.5" x14ac:dyDescent="0.25">
      <c r="A83" s="167" t="s">
        <v>362</v>
      </c>
      <c r="B83" s="168">
        <f>SUM(B84:B86)</f>
        <v>4625.0285503699997</v>
      </c>
      <c r="C83" s="168">
        <f t="shared" ref="C83:H83" si="28">SUM(C84:C86)</f>
        <v>6000.9374000000007</v>
      </c>
      <c r="D83" s="168">
        <f t="shared" si="28"/>
        <v>6094.5583000000006</v>
      </c>
      <c r="E83" s="168">
        <f t="shared" si="26"/>
        <v>101.56010459299243</v>
      </c>
      <c r="F83" s="168">
        <f t="shared" si="28"/>
        <v>6374.7479999999996</v>
      </c>
      <c r="G83" s="168">
        <f t="shared" si="27"/>
        <v>104.597375005831</v>
      </c>
      <c r="H83" s="168">
        <f t="shared" si="28"/>
        <v>7848.0399000000007</v>
      </c>
      <c r="I83" s="169">
        <f t="shared" si="24"/>
        <v>123.11137475551976</v>
      </c>
      <c r="J83" s="165" t="e">
        <f>#REF!-D83</f>
        <v>#REF!</v>
      </c>
      <c r="K83" s="166" t="e">
        <f>J83/#REF!*100</f>
        <v>#REF!</v>
      </c>
      <c r="M83" s="170"/>
    </row>
    <row r="84" spans="1:13" s="166" customFormat="1" ht="37.5" x14ac:dyDescent="0.25">
      <c r="A84" s="171" t="s">
        <v>363</v>
      </c>
      <c r="B84" s="172">
        <v>1345.1325999999999</v>
      </c>
      <c r="C84" s="172">
        <v>1353.9517000000001</v>
      </c>
      <c r="D84" s="172">
        <v>1393.9377999999999</v>
      </c>
      <c r="E84" s="172">
        <f t="shared" si="26"/>
        <v>102.95328851095647</v>
      </c>
      <c r="F84" s="172">
        <v>1374.8026</v>
      </c>
      <c r="G84" s="172">
        <f t="shared" si="27"/>
        <v>98.627255821601224</v>
      </c>
      <c r="H84" s="172">
        <v>1456.7997</v>
      </c>
      <c r="I84" s="173">
        <f t="shared" si="24"/>
        <v>105.96428170851584</v>
      </c>
      <c r="J84" s="165"/>
      <c r="M84" s="170"/>
    </row>
    <row r="85" spans="1:13" s="166" customFormat="1" x14ac:dyDescent="0.25">
      <c r="A85" s="171" t="s">
        <v>364</v>
      </c>
      <c r="B85" s="172">
        <v>498.22728375999998</v>
      </c>
      <c r="C85" s="172">
        <v>358.01260000000002</v>
      </c>
      <c r="D85" s="172">
        <v>165.14599999999999</v>
      </c>
      <c r="E85" s="172">
        <f t="shared" si="26"/>
        <v>46.128544079174858</v>
      </c>
      <c r="F85" s="172">
        <v>129.958</v>
      </c>
      <c r="G85" s="172">
        <f t="shared" si="27"/>
        <v>78.692793043731001</v>
      </c>
      <c r="H85" s="172">
        <v>133.459</v>
      </c>
      <c r="I85" s="173">
        <f t="shared" si="24"/>
        <v>102.69394727527354</v>
      </c>
      <c r="J85" s="165"/>
      <c r="M85" s="170"/>
    </row>
    <row r="86" spans="1:13" s="166" customFormat="1" ht="25" x14ac:dyDescent="0.25">
      <c r="A86" s="171" t="s">
        <v>365</v>
      </c>
      <c r="B86" s="172">
        <v>2781.6686666099999</v>
      </c>
      <c r="C86" s="172">
        <v>4288.9731000000002</v>
      </c>
      <c r="D86" s="172">
        <v>4535.4745000000003</v>
      </c>
      <c r="E86" s="172">
        <f t="shared" si="26"/>
        <v>105.74732912174245</v>
      </c>
      <c r="F86" s="172">
        <v>4869.9874</v>
      </c>
      <c r="G86" s="172">
        <f t="shared" si="27"/>
        <v>107.37547747209248</v>
      </c>
      <c r="H86" s="172">
        <v>6257.7812000000004</v>
      </c>
      <c r="I86" s="173">
        <f t="shared" si="24"/>
        <v>128.49686633686156</v>
      </c>
      <c r="J86" s="165"/>
      <c r="M86" s="170"/>
    </row>
    <row r="87" spans="1:13" s="166" customFormat="1" x14ac:dyDescent="0.25">
      <c r="A87" s="176" t="s">
        <v>59</v>
      </c>
      <c r="B87" s="172"/>
      <c r="C87" s="172"/>
      <c r="D87" s="172"/>
      <c r="E87" s="172"/>
      <c r="F87" s="172">
        <v>2077.3362999999999</v>
      </c>
      <c r="G87" s="172"/>
      <c r="H87" s="172">
        <v>4265.2280000000001</v>
      </c>
      <c r="I87" s="173">
        <f t="shared" si="24"/>
        <v>205.3219789207939</v>
      </c>
      <c r="J87" s="165" t="e">
        <f>#REF!-D87</f>
        <v>#REF!</v>
      </c>
      <c r="M87" s="170"/>
    </row>
    <row r="88" spans="1:13" s="166" customFormat="1" ht="13" x14ac:dyDescent="0.3">
      <c r="A88" s="177" t="s">
        <v>60</v>
      </c>
      <c r="B88" s="178">
        <f>+B9+B19+B21+B24+B36+B41+B46+B56+B59+B67+B73+B78+B81+B83+B87</f>
        <v>75536.314734730011</v>
      </c>
      <c r="C88" s="178">
        <f>C9+C19+C21+C24+C36+C41+C46+C56+C59+C67+C73+C78+C81+C83+C87</f>
        <v>93370.431550429988</v>
      </c>
      <c r="D88" s="178">
        <f>D9+D19+D21+D24+D36+D41+D46+D56+D59+D67+D73+D78+D81+D83+D87</f>
        <v>100508.69270000001</v>
      </c>
      <c r="E88" s="179">
        <f>D88/C88*100</f>
        <v>107.64509816548787</v>
      </c>
      <c r="F88" s="178">
        <f>F9+F19+F21+F24+F36+F41+F46+F56+F59+F67+F73+F78+F81+F83+F87</f>
        <v>98807.05190000002</v>
      </c>
      <c r="G88" s="179">
        <f>F88/D88*100</f>
        <v>98.306971512325731</v>
      </c>
      <c r="H88" s="178">
        <f>H9+H19+H21+H24+H36+H41+H46+H56+H59+H67+H73+H78+H81+H83+H87</f>
        <v>102557.56211000001</v>
      </c>
      <c r="I88" s="180">
        <f>H88/F88*100</f>
        <v>103.7957920390093</v>
      </c>
      <c r="J88" s="181" t="e">
        <f>SUM(J9:J87)</f>
        <v>#REF!</v>
      </c>
      <c r="K88" s="182" t="e">
        <f>SUM(K9:K87)</f>
        <v>#REF!</v>
      </c>
    </row>
    <row r="89" spans="1:13" s="166" customFormat="1" x14ac:dyDescent="0.25">
      <c r="A89" s="176" t="s">
        <v>61</v>
      </c>
      <c r="B89" s="183"/>
      <c r="C89" s="183"/>
      <c r="D89" s="183"/>
      <c r="E89" s="172"/>
      <c r="F89" s="183"/>
      <c r="G89" s="183"/>
      <c r="H89" s="183"/>
      <c r="I89" s="184"/>
      <c r="J89" s="165" t="e">
        <f>J88+K88</f>
        <v>#REF!</v>
      </c>
    </row>
    <row r="90" spans="1:13" s="166" customFormat="1" x14ac:dyDescent="0.25">
      <c r="A90" s="185" t="s">
        <v>62</v>
      </c>
      <c r="B90" s="183">
        <f>B46+B56+B59+B67+B73</f>
        <v>50626.016781099992</v>
      </c>
      <c r="C90" s="183">
        <f>C46+C56+C59+C67+C73</f>
        <v>57398.553842859998</v>
      </c>
      <c r="D90" s="183">
        <f>D46+D56+D59+D67+D73</f>
        <v>62041.585899999998</v>
      </c>
      <c r="E90" s="172">
        <f>D90/C90*100</f>
        <v>108.08910982296041</v>
      </c>
      <c r="F90" s="183">
        <f>F46+F56+F59+F67+F73</f>
        <v>59391.023399999998</v>
      </c>
      <c r="G90" s="172">
        <f>F90/D90*100</f>
        <v>95.72776475399543</v>
      </c>
      <c r="H90" s="183">
        <f>H46+H56+H59+H67+H73</f>
        <v>61165.268699999993</v>
      </c>
      <c r="I90" s="173">
        <f>H90/F90*100</f>
        <v>102.98739640846128</v>
      </c>
      <c r="J90" s="186" t="e">
        <f>J89/#REF!*100</f>
        <v>#REF!</v>
      </c>
    </row>
    <row r="91" spans="1:13" s="166" customFormat="1" x14ac:dyDescent="0.25">
      <c r="A91" s="176" t="s">
        <v>63</v>
      </c>
      <c r="B91" s="183">
        <f t="shared" ref="B91:H91" si="29">B90/B88*100</f>
        <v>67.022089916471941</v>
      </c>
      <c r="C91" s="183">
        <f t="shared" si="29"/>
        <v>61.47401579895093</v>
      </c>
      <c r="D91" s="183">
        <f t="shared" si="29"/>
        <v>61.727582195485056</v>
      </c>
      <c r="E91" s="172"/>
      <c r="F91" s="183">
        <f t="shared" si="29"/>
        <v>60.108081617603638</v>
      </c>
      <c r="G91" s="183"/>
      <c r="H91" s="183">
        <f t="shared" si="29"/>
        <v>59.639940187341864</v>
      </c>
      <c r="I91" s="184"/>
      <c r="J91" s="186" t="e">
        <f>J88/#REF!*100</f>
        <v>#REF!</v>
      </c>
    </row>
    <row r="92" spans="1:13" s="166" customFormat="1" x14ac:dyDescent="0.25">
      <c r="A92" s="187" t="s">
        <v>64</v>
      </c>
      <c r="B92" s="183">
        <f>B24+B36</f>
        <v>14560.5281694</v>
      </c>
      <c r="C92" s="183">
        <f>C24+C36</f>
        <v>22452.528554950004</v>
      </c>
      <c r="D92" s="183">
        <f>D24+D36</f>
        <v>23239.4218</v>
      </c>
      <c r="E92" s="172">
        <f>D92/C92*100</f>
        <v>103.50469766968192</v>
      </c>
      <c r="F92" s="183">
        <f>F24+F36</f>
        <v>22541.2988</v>
      </c>
      <c r="G92" s="183">
        <f>F92/D92*100</f>
        <v>96.995953660086329</v>
      </c>
      <c r="H92" s="183">
        <f>H24+H36</f>
        <v>23109.375800000002</v>
      </c>
      <c r="I92" s="184">
        <f>H92/F92*100</f>
        <v>102.52016090572387</v>
      </c>
      <c r="J92" s="165" t="e">
        <f>J91+L67</f>
        <v>#REF!</v>
      </c>
    </row>
    <row r="93" spans="1:13" s="166" customFormat="1" ht="13" thickBot="1" x14ac:dyDescent="0.3">
      <c r="A93" s="188" t="s">
        <v>63</v>
      </c>
      <c r="B93" s="189">
        <f t="shared" ref="B93:H93" si="30">B92/B88*100</f>
        <v>19.276196119090486</v>
      </c>
      <c r="C93" s="189">
        <f t="shared" si="30"/>
        <v>24.04672248175617</v>
      </c>
      <c r="D93" s="189">
        <f t="shared" si="30"/>
        <v>23.121802876658048</v>
      </c>
      <c r="E93" s="190"/>
      <c r="F93" s="189">
        <f t="shared" si="30"/>
        <v>22.813451435443543</v>
      </c>
      <c r="G93" s="189"/>
      <c r="H93" s="189">
        <f t="shared" si="30"/>
        <v>22.533078326504693</v>
      </c>
      <c r="I93" s="191"/>
    </row>
    <row r="94" spans="1:13" ht="13" thickTop="1" x14ac:dyDescent="0.25">
      <c r="C94" s="192"/>
      <c r="D94" s="192"/>
      <c r="F94" s="192"/>
      <c r="H94" s="192"/>
    </row>
    <row r="95" spans="1:13" hidden="1" x14ac:dyDescent="0.25">
      <c r="B95" s="192"/>
      <c r="C95" s="192"/>
      <c r="D95" s="192"/>
      <c r="E95" s="192"/>
    </row>
    <row r="96" spans="1:13" hidden="1" x14ac:dyDescent="0.25">
      <c r="B96" s="192"/>
      <c r="C96" s="192"/>
      <c r="D96" s="193"/>
      <c r="E96" s="192"/>
    </row>
    <row r="97" spans="3:5" hidden="1" x14ac:dyDescent="0.25">
      <c r="E97" s="192"/>
    </row>
    <row r="98" spans="3:5" hidden="1" x14ac:dyDescent="0.25"/>
    <row r="99" spans="3:5" hidden="1" x14ac:dyDescent="0.25"/>
    <row r="100" spans="3:5" hidden="1" x14ac:dyDescent="0.25"/>
    <row r="101" spans="3:5" hidden="1" x14ac:dyDescent="0.25"/>
    <row r="102" spans="3:5" x14ac:dyDescent="0.25">
      <c r="C102" s="192"/>
      <c r="D102" s="192"/>
    </row>
    <row r="103" spans="3:5" x14ac:dyDescent="0.25">
      <c r="C103" s="192"/>
      <c r="D103" s="192"/>
      <c r="E103" s="194"/>
    </row>
    <row r="104" spans="3:5" x14ac:dyDescent="0.25">
      <c r="C104" s="192"/>
      <c r="D104" s="192"/>
      <c r="E104" s="194"/>
    </row>
  </sheetData>
  <mergeCells count="5">
    <mergeCell ref="A6:A7"/>
    <mergeCell ref="A3:I3"/>
    <mergeCell ref="B6:B7"/>
    <mergeCell ref="C6:C7"/>
    <mergeCell ref="D6:I6"/>
  </mergeCells>
  <pageMargins left="0.39370078740157483" right="0.39370078740157483" top="0.78740157480314965" bottom="0.59055118110236227" header="0.31496062992125984" footer="0.31496062992125984"/>
  <pageSetup paperSize="9" scale="98" fitToHeight="0" orientation="landscape" r:id="rId1"/>
  <headerFooter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N40"/>
  <sheetViews>
    <sheetView topLeftCell="A4" zoomScale="115" zoomScaleNormal="115" workbookViewId="0">
      <pane xSplit="3" ySplit="5" topLeftCell="T9" activePane="bottomRight" state="frozen"/>
      <selection activeCell="A4" sqref="A4"/>
      <selection pane="topRight" activeCell="D4" sqref="D4"/>
      <selection pane="bottomLeft" activeCell="A9" sqref="A9"/>
      <selection pane="bottomRight" activeCell="W1" sqref="W1"/>
    </sheetView>
  </sheetViews>
  <sheetFormatPr defaultColWidth="9.1796875" defaultRowHeight="12.5" x14ac:dyDescent="0.35"/>
  <cols>
    <col min="1" max="1" width="48.453125" style="195" customWidth="1"/>
    <col min="2" max="2" width="4.1796875" style="195" customWidth="1"/>
    <col min="3" max="3" width="4.81640625" style="195" customWidth="1"/>
    <col min="4" max="4" width="7.7265625" style="196" bestFit="1" customWidth="1"/>
    <col min="5" max="5" width="10.453125" style="196" customWidth="1"/>
    <col min="6" max="6" width="7.7265625" style="196" bestFit="1" customWidth="1"/>
    <col min="7" max="7" width="9.1796875" style="196" customWidth="1"/>
    <col min="8" max="8" width="7.453125" style="196" bestFit="1" customWidth="1"/>
    <col min="9" max="9" width="10.453125" style="196" customWidth="1"/>
    <col min="10" max="10" width="7.7265625" style="196" bestFit="1" customWidth="1"/>
    <col min="11" max="11" width="9.1796875" style="196" customWidth="1"/>
    <col min="12" max="12" width="7.7265625" style="196" bestFit="1" customWidth="1"/>
    <col min="13" max="13" width="10.1796875" style="196" customWidth="1"/>
    <col min="14" max="14" width="7.7265625" style="196" bestFit="1" customWidth="1"/>
    <col min="15" max="15" width="9.1796875" style="196"/>
    <col min="16" max="16" width="7.7265625" style="196" bestFit="1" customWidth="1"/>
    <col min="17" max="17" width="10.81640625" style="196" customWidth="1"/>
    <col min="18" max="18" width="7.7265625" style="196" bestFit="1" customWidth="1"/>
    <col min="19" max="19" width="9.1796875" style="196"/>
    <col min="20" max="20" width="7.7265625" style="196" bestFit="1" customWidth="1"/>
    <col min="21" max="21" width="10.54296875" style="196" customWidth="1"/>
    <col min="22" max="22" width="7.7265625" style="196" bestFit="1" customWidth="1"/>
    <col min="23" max="23" width="9.1796875" style="196" customWidth="1"/>
    <col min="24" max="26" width="9.1796875" style="198"/>
    <col min="27" max="16384" width="9.1796875" style="196"/>
  </cols>
  <sheetData>
    <row r="1" spans="1:40" ht="13.9" customHeight="1" x14ac:dyDescent="0.35">
      <c r="W1" s="197" t="s">
        <v>561</v>
      </c>
    </row>
    <row r="3" spans="1:40" s="195" customFormat="1" ht="15.65" customHeight="1" x14ac:dyDescent="0.35">
      <c r="A3" s="464" t="s">
        <v>472</v>
      </c>
      <c r="B3" s="464"/>
      <c r="C3" s="464"/>
      <c r="D3" s="464"/>
      <c r="E3" s="464"/>
      <c r="F3" s="464"/>
      <c r="G3" s="464"/>
      <c r="H3" s="464"/>
      <c r="I3" s="464"/>
      <c r="J3" s="464"/>
      <c r="K3" s="464"/>
      <c r="L3" s="464"/>
      <c r="M3" s="464"/>
      <c r="N3" s="464"/>
      <c r="O3" s="464"/>
      <c r="P3" s="464"/>
      <c r="Q3" s="464"/>
      <c r="R3" s="464"/>
      <c r="S3" s="464"/>
      <c r="T3" s="464"/>
      <c r="U3" s="464"/>
      <c r="V3" s="464"/>
      <c r="W3" s="464"/>
      <c r="X3" s="198"/>
      <c r="Y3" s="198"/>
      <c r="Z3" s="198"/>
    </row>
    <row r="4" spans="1:40" s="195" customFormat="1" ht="14.5" customHeight="1" thickBot="1" x14ac:dyDescent="0.4">
      <c r="A4" s="116"/>
      <c r="B4" s="116"/>
      <c r="C4" s="116"/>
      <c r="D4" s="116"/>
      <c r="E4" s="116"/>
      <c r="F4" s="116"/>
      <c r="G4" s="116"/>
      <c r="H4" s="116"/>
      <c r="I4" s="116"/>
      <c r="J4" s="116"/>
      <c r="K4" s="116"/>
      <c r="L4" s="116"/>
      <c r="M4" s="116"/>
      <c r="N4" s="116"/>
      <c r="O4" s="116"/>
      <c r="P4" s="116"/>
      <c r="X4" s="198"/>
      <c r="Y4" s="198"/>
      <c r="Z4" s="198"/>
    </row>
    <row r="5" spans="1:40" s="116" customFormat="1" ht="34.5" customHeight="1" thickTop="1" x14ac:dyDescent="0.35">
      <c r="A5" s="469" t="s">
        <v>0</v>
      </c>
      <c r="B5" s="471" t="s">
        <v>22</v>
      </c>
      <c r="C5" s="471" t="s">
        <v>23</v>
      </c>
      <c r="D5" s="466" t="s">
        <v>473</v>
      </c>
      <c r="E5" s="466"/>
      <c r="F5" s="466"/>
      <c r="G5" s="466"/>
      <c r="H5" s="466" t="s">
        <v>463</v>
      </c>
      <c r="I5" s="466"/>
      <c r="J5" s="466"/>
      <c r="K5" s="466"/>
      <c r="L5" s="466" t="s">
        <v>234</v>
      </c>
      <c r="M5" s="466"/>
      <c r="N5" s="466"/>
      <c r="O5" s="466"/>
      <c r="P5" s="466" t="s">
        <v>415</v>
      </c>
      <c r="Q5" s="466"/>
      <c r="R5" s="466"/>
      <c r="S5" s="466"/>
      <c r="T5" s="466" t="s">
        <v>474</v>
      </c>
      <c r="U5" s="466"/>
      <c r="V5" s="466"/>
      <c r="W5" s="467"/>
      <c r="X5" s="199"/>
      <c r="Y5" s="199"/>
      <c r="Z5" s="199"/>
    </row>
    <row r="6" spans="1:40" s="116" customFormat="1" ht="13" x14ac:dyDescent="0.35">
      <c r="A6" s="470"/>
      <c r="B6" s="472"/>
      <c r="C6" s="472"/>
      <c r="D6" s="465" t="s">
        <v>24</v>
      </c>
      <c r="E6" s="465" t="s">
        <v>25</v>
      </c>
      <c r="F6" s="465"/>
      <c r="G6" s="465"/>
      <c r="H6" s="465" t="s">
        <v>24</v>
      </c>
      <c r="I6" s="465" t="s">
        <v>25</v>
      </c>
      <c r="J6" s="465"/>
      <c r="K6" s="465"/>
      <c r="L6" s="465" t="s">
        <v>24</v>
      </c>
      <c r="M6" s="465" t="s">
        <v>25</v>
      </c>
      <c r="N6" s="465"/>
      <c r="O6" s="465"/>
      <c r="P6" s="465" t="s">
        <v>24</v>
      </c>
      <c r="Q6" s="465" t="s">
        <v>25</v>
      </c>
      <c r="R6" s="465"/>
      <c r="S6" s="465"/>
      <c r="T6" s="465" t="s">
        <v>24</v>
      </c>
      <c r="U6" s="465" t="s">
        <v>25</v>
      </c>
      <c r="V6" s="465"/>
      <c r="W6" s="468"/>
      <c r="X6" s="199"/>
      <c r="Y6" s="199"/>
      <c r="Z6" s="199"/>
    </row>
    <row r="7" spans="1:40" s="116" customFormat="1" ht="39" x14ac:dyDescent="0.35">
      <c r="A7" s="470"/>
      <c r="B7" s="472"/>
      <c r="C7" s="472"/>
      <c r="D7" s="465"/>
      <c r="E7" s="114" t="s">
        <v>26</v>
      </c>
      <c r="F7" s="114" t="s">
        <v>27</v>
      </c>
      <c r="G7" s="114" t="s">
        <v>56</v>
      </c>
      <c r="H7" s="465"/>
      <c r="I7" s="114" t="s">
        <v>26</v>
      </c>
      <c r="J7" s="114" t="s">
        <v>27</v>
      </c>
      <c r="K7" s="114" t="s">
        <v>56</v>
      </c>
      <c r="L7" s="465"/>
      <c r="M7" s="114" t="s">
        <v>26</v>
      </c>
      <c r="N7" s="114" t="s">
        <v>27</v>
      </c>
      <c r="O7" s="114" t="s">
        <v>56</v>
      </c>
      <c r="P7" s="465"/>
      <c r="Q7" s="114" t="s">
        <v>26</v>
      </c>
      <c r="R7" s="114" t="s">
        <v>27</v>
      </c>
      <c r="S7" s="114" t="s">
        <v>56</v>
      </c>
      <c r="T7" s="465"/>
      <c r="U7" s="114" t="s">
        <v>26</v>
      </c>
      <c r="V7" s="114" t="s">
        <v>27</v>
      </c>
      <c r="W7" s="115" t="s">
        <v>56</v>
      </c>
      <c r="X7" s="199"/>
      <c r="Y7" s="199"/>
      <c r="Z7" s="199"/>
    </row>
    <row r="8" spans="1:40" s="195" customFormat="1" x14ac:dyDescent="0.35">
      <c r="A8" s="200" t="s">
        <v>17</v>
      </c>
      <c r="B8" s="201" t="s">
        <v>237</v>
      </c>
      <c r="C8" s="201" t="s">
        <v>238</v>
      </c>
      <c r="D8" s="202">
        <v>1</v>
      </c>
      <c r="E8" s="202">
        <v>2</v>
      </c>
      <c r="F8" s="202">
        <v>3</v>
      </c>
      <c r="G8" s="202">
        <v>4</v>
      </c>
      <c r="H8" s="202">
        <v>5</v>
      </c>
      <c r="I8" s="202">
        <v>6</v>
      </c>
      <c r="J8" s="202">
        <v>7</v>
      </c>
      <c r="K8" s="202">
        <v>8</v>
      </c>
      <c r="L8" s="202">
        <v>9</v>
      </c>
      <c r="M8" s="202">
        <v>10</v>
      </c>
      <c r="N8" s="202">
        <v>11</v>
      </c>
      <c r="O8" s="202">
        <v>12</v>
      </c>
      <c r="P8" s="202">
        <v>13</v>
      </c>
      <c r="Q8" s="202">
        <v>14</v>
      </c>
      <c r="R8" s="202">
        <v>15</v>
      </c>
      <c r="S8" s="202">
        <v>16</v>
      </c>
      <c r="T8" s="202">
        <v>17</v>
      </c>
      <c r="U8" s="202">
        <v>18</v>
      </c>
      <c r="V8" s="202">
        <v>19</v>
      </c>
      <c r="W8" s="203">
        <v>20</v>
      </c>
      <c r="X8" s="198"/>
      <c r="Y8" s="198"/>
      <c r="Z8" s="198"/>
    </row>
    <row r="9" spans="1:40" s="56" customFormat="1" ht="13" x14ac:dyDescent="0.35">
      <c r="A9" s="204" t="s">
        <v>28</v>
      </c>
      <c r="B9" s="205">
        <v>1</v>
      </c>
      <c r="C9" s="205"/>
      <c r="D9" s="206">
        <f>E9+F9+G9</f>
        <v>1060.2382</v>
      </c>
      <c r="E9" s="206">
        <f>E10+E11+E12+E13+E14+E15+E16</f>
        <v>951.15470000000005</v>
      </c>
      <c r="F9" s="206">
        <f>F10+F11+F12+F13+F14+F15+F16</f>
        <v>107.51350000000001</v>
      </c>
      <c r="G9" s="206">
        <f>G10+G11+G12+G13+G14+G15+G16</f>
        <v>1.57</v>
      </c>
      <c r="H9" s="206">
        <f t="shared" ref="H9:K9" si="0">H10+H11+H12+H13+H14+H15+H16</f>
        <v>1119.3245297399999</v>
      </c>
      <c r="I9" s="206">
        <f t="shared" si="0"/>
        <v>992.06894407999994</v>
      </c>
      <c r="J9" s="206">
        <f t="shared" si="0"/>
        <v>124.86520891999999</v>
      </c>
      <c r="K9" s="206">
        <f t="shared" si="0"/>
        <v>2.3903767399999998</v>
      </c>
      <c r="L9" s="206">
        <f>L10+L11+L12+L13+L14+L15+L16</f>
        <v>1149.2003</v>
      </c>
      <c r="M9" s="206">
        <f>M10+M11+M12+M13+M14+M15+M16</f>
        <v>1045.0592999999999</v>
      </c>
      <c r="N9" s="206">
        <f t="shared" ref="N9" si="1">N10+N11+N12+N13+N14+N15+N16</f>
        <v>103.14099999999999</v>
      </c>
      <c r="O9" s="206">
        <f>O10+O11+O12+O13+O14+O15+O16</f>
        <v>1</v>
      </c>
      <c r="P9" s="206">
        <f>P10+P11+P12+P13+P14+P15+P16</f>
        <v>1168.6532</v>
      </c>
      <c r="Q9" s="206">
        <f t="shared" ref="Q9:U9" si="2">Q10+Q11+Q12+Q13+Q14+Q15+Q16</f>
        <v>1074.8968</v>
      </c>
      <c r="R9" s="206">
        <f t="shared" si="2"/>
        <v>92.681899999999999</v>
      </c>
      <c r="S9" s="206">
        <f t="shared" si="2"/>
        <v>1.0745</v>
      </c>
      <c r="T9" s="206">
        <f t="shared" si="2"/>
        <v>1206.9411</v>
      </c>
      <c r="U9" s="206">
        <f t="shared" si="2"/>
        <v>1112.1222</v>
      </c>
      <c r="V9" s="206">
        <f>V10+V11+V12+V13+V14+V15+V16</f>
        <v>93.728399999999993</v>
      </c>
      <c r="W9" s="207">
        <f t="shared" ref="W9" si="3">W10+W11+W12+W13+W14+W15+W16</f>
        <v>1.0905</v>
      </c>
      <c r="X9" s="208"/>
      <c r="Y9" s="208"/>
      <c r="Z9" s="208"/>
      <c r="AA9" s="55"/>
      <c r="AB9" s="55"/>
      <c r="AC9" s="55"/>
      <c r="AD9" s="55"/>
      <c r="AE9" s="55"/>
      <c r="AF9" s="55"/>
      <c r="AG9" s="55"/>
      <c r="AH9" s="55"/>
      <c r="AI9" s="55"/>
      <c r="AJ9" s="55"/>
      <c r="AK9" s="55"/>
      <c r="AL9" s="55"/>
      <c r="AM9" s="55"/>
      <c r="AN9" s="55"/>
    </row>
    <row r="10" spans="1:40" ht="37.5" x14ac:dyDescent="0.35">
      <c r="A10" s="209" t="s">
        <v>29</v>
      </c>
      <c r="B10" s="210">
        <v>1</v>
      </c>
      <c r="C10" s="210">
        <v>2</v>
      </c>
      <c r="D10" s="211">
        <f>E10+F10+G10</f>
        <v>6.4</v>
      </c>
      <c r="E10" s="211">
        <v>6.4</v>
      </c>
      <c r="F10" s="211"/>
      <c r="G10" s="211"/>
      <c r="H10" s="211">
        <f>I10+J10+K10</f>
        <v>6.4958</v>
      </c>
      <c r="I10" s="211">
        <v>6.4958</v>
      </c>
      <c r="J10" s="343"/>
      <c r="K10" s="211"/>
      <c r="L10" s="211">
        <f>M10+N10+O10</f>
        <v>6.6707999999999998</v>
      </c>
      <c r="M10" s="211">
        <v>6.6707999999999998</v>
      </c>
      <c r="N10" s="212"/>
      <c r="O10" s="212"/>
      <c r="P10" s="211">
        <f>Q10+R10+S10</f>
        <v>7.0396000000000001</v>
      </c>
      <c r="Q10" s="211">
        <v>7.0396000000000001</v>
      </c>
      <c r="R10" s="212"/>
      <c r="S10" s="211"/>
      <c r="T10" s="211">
        <f>U10+V10+W10</f>
        <v>7.3191999999999995</v>
      </c>
      <c r="U10" s="211">
        <v>7.3191999999999995</v>
      </c>
      <c r="V10" s="211"/>
      <c r="W10" s="213"/>
      <c r="AA10" s="214"/>
      <c r="AB10" s="214"/>
      <c r="AC10" s="214"/>
      <c r="AD10" s="214"/>
      <c r="AE10" s="214"/>
      <c r="AF10" s="214"/>
      <c r="AG10" s="214"/>
      <c r="AH10" s="214"/>
      <c r="AI10" s="214"/>
      <c r="AJ10" s="214"/>
      <c r="AK10" s="214"/>
      <c r="AL10" s="214"/>
      <c r="AM10" s="214"/>
      <c r="AN10" s="214"/>
    </row>
    <row r="11" spans="1:40" ht="50.5" customHeight="1" x14ac:dyDescent="0.35">
      <c r="A11" s="209" t="s">
        <v>30</v>
      </c>
      <c r="B11" s="210">
        <v>1</v>
      </c>
      <c r="C11" s="210">
        <v>3</v>
      </c>
      <c r="D11" s="211">
        <f t="shared" ref="D11:D19" si="4">E11+F11+G11</f>
        <v>179.02689999999998</v>
      </c>
      <c r="E11" s="211">
        <v>156.86799999999999</v>
      </c>
      <c r="F11" s="211">
        <v>21.945</v>
      </c>
      <c r="G11" s="211">
        <v>0.21390000000000001</v>
      </c>
      <c r="H11" s="211">
        <f t="shared" ref="H11:H16" si="5">I11+J11+K11</f>
        <v>164.25326639999997</v>
      </c>
      <c r="I11" s="211">
        <v>145.71166639999998</v>
      </c>
      <c r="J11" s="343">
        <v>18.5</v>
      </c>
      <c r="K11" s="211">
        <v>4.1599999999999998E-2</v>
      </c>
      <c r="L11" s="211">
        <f t="shared" ref="L11:L16" si="6">M11+N11+O11</f>
        <v>185.83630000000002</v>
      </c>
      <c r="M11" s="211">
        <v>161.20280000000002</v>
      </c>
      <c r="N11" s="212">
        <v>24.633500000000002</v>
      </c>
      <c r="O11" s="212"/>
      <c r="P11" s="211">
        <f t="shared" ref="P11:P16" si="7">Q11+R11+S11</f>
        <v>189.03010000000003</v>
      </c>
      <c r="Q11" s="211">
        <v>165.11020000000002</v>
      </c>
      <c r="R11" s="212">
        <v>23.919900000000002</v>
      </c>
      <c r="S11" s="211"/>
      <c r="T11" s="211">
        <f t="shared" ref="T11:T16" si="8">U11+V11+W11</f>
        <v>193.34970000000001</v>
      </c>
      <c r="U11" s="211">
        <v>170.0027</v>
      </c>
      <c r="V11" s="211">
        <v>23.347000000000001</v>
      </c>
      <c r="W11" s="57"/>
      <c r="AA11" s="214"/>
      <c r="AB11" s="214"/>
      <c r="AC11" s="214"/>
      <c r="AD11" s="214"/>
      <c r="AE11" s="214"/>
      <c r="AF11" s="214"/>
      <c r="AG11" s="214"/>
      <c r="AH11" s="214"/>
      <c r="AI11" s="214"/>
      <c r="AJ11" s="214"/>
      <c r="AK11" s="214"/>
      <c r="AL11" s="214"/>
      <c r="AM11" s="214"/>
      <c r="AN11" s="214"/>
    </row>
    <row r="12" spans="1:40" ht="50" x14ac:dyDescent="0.35">
      <c r="A12" s="209" t="s">
        <v>31</v>
      </c>
      <c r="B12" s="210">
        <v>1</v>
      </c>
      <c r="C12" s="210">
        <v>4</v>
      </c>
      <c r="D12" s="211">
        <f t="shared" si="4"/>
        <v>298.09190000000001</v>
      </c>
      <c r="E12" s="211">
        <v>256.85809999999998</v>
      </c>
      <c r="F12" s="211">
        <v>40.482900000000001</v>
      </c>
      <c r="G12" s="211">
        <v>0.75090000000000001</v>
      </c>
      <c r="H12" s="211">
        <f t="shared" si="5"/>
        <v>346.68816128999998</v>
      </c>
      <c r="I12" s="211">
        <v>286.90553132999997</v>
      </c>
      <c r="J12" s="211">
        <v>59.616048200000002</v>
      </c>
      <c r="K12" s="211">
        <v>0.16658176</v>
      </c>
      <c r="L12" s="211">
        <f t="shared" si="6"/>
        <v>334.98920000000004</v>
      </c>
      <c r="M12" s="211">
        <v>296.44</v>
      </c>
      <c r="N12" s="212">
        <v>38.449199999999998</v>
      </c>
      <c r="O12" s="212">
        <v>0.1</v>
      </c>
      <c r="P12" s="211">
        <f t="shared" si="7"/>
        <v>334.22429999999997</v>
      </c>
      <c r="Q12" s="211">
        <v>304.44749999999999</v>
      </c>
      <c r="R12" s="212">
        <v>29.6568</v>
      </c>
      <c r="S12" s="211">
        <v>0.12</v>
      </c>
      <c r="T12" s="211">
        <f t="shared" si="8"/>
        <v>345.12150000000003</v>
      </c>
      <c r="U12" s="211">
        <v>313.76510000000002</v>
      </c>
      <c r="V12" s="211">
        <v>31.2364</v>
      </c>
      <c r="W12" s="213">
        <v>0.12</v>
      </c>
      <c r="AA12" s="214"/>
      <c r="AB12" s="214"/>
      <c r="AC12" s="214"/>
      <c r="AD12" s="214"/>
      <c r="AE12" s="214"/>
      <c r="AF12" s="214"/>
      <c r="AG12" s="214"/>
      <c r="AH12" s="214"/>
      <c r="AI12" s="214"/>
      <c r="AJ12" s="214"/>
      <c r="AK12" s="214"/>
      <c r="AL12" s="214"/>
      <c r="AM12" s="214"/>
      <c r="AN12" s="214"/>
    </row>
    <row r="13" spans="1:40" x14ac:dyDescent="0.35">
      <c r="A13" s="209" t="s">
        <v>32</v>
      </c>
      <c r="B13" s="210">
        <v>1</v>
      </c>
      <c r="C13" s="210">
        <v>5</v>
      </c>
      <c r="D13" s="211">
        <f t="shared" si="4"/>
        <v>173.60840000000002</v>
      </c>
      <c r="E13" s="211">
        <v>166.26060000000001</v>
      </c>
      <c r="F13" s="211">
        <v>7.1642000000000001</v>
      </c>
      <c r="G13" s="211">
        <v>0.18360000000000001</v>
      </c>
      <c r="H13" s="211">
        <f t="shared" si="5"/>
        <v>185.18639999999999</v>
      </c>
      <c r="I13" s="211">
        <v>174.9248</v>
      </c>
      <c r="J13" s="211">
        <v>8.7806999999999995</v>
      </c>
      <c r="K13" s="211">
        <v>1.4809000000000001</v>
      </c>
      <c r="L13" s="211">
        <f t="shared" si="6"/>
        <v>190.6216</v>
      </c>
      <c r="M13" s="211">
        <v>182.3689</v>
      </c>
      <c r="N13" s="212">
        <v>7.8526999999999996</v>
      </c>
      <c r="O13" s="212">
        <v>0.4</v>
      </c>
      <c r="P13" s="211">
        <f t="shared" si="7"/>
        <v>197.4357</v>
      </c>
      <c r="Q13" s="211">
        <v>189.1086</v>
      </c>
      <c r="R13" s="212">
        <v>7.91</v>
      </c>
      <c r="S13" s="211">
        <v>0.41710000000000003</v>
      </c>
      <c r="T13" s="211">
        <f t="shared" si="8"/>
        <v>204.8665</v>
      </c>
      <c r="U13" s="211">
        <v>196.48349999999999</v>
      </c>
      <c r="V13" s="211">
        <v>7.9498999999999995</v>
      </c>
      <c r="W13" s="213">
        <v>0.43310000000000004</v>
      </c>
      <c r="AA13" s="214"/>
      <c r="AB13" s="214"/>
      <c r="AC13" s="214"/>
      <c r="AD13" s="214"/>
      <c r="AE13" s="214"/>
      <c r="AF13" s="214"/>
      <c r="AG13" s="214"/>
      <c r="AH13" s="214"/>
      <c r="AI13" s="214"/>
      <c r="AJ13" s="214"/>
      <c r="AK13" s="214"/>
      <c r="AL13" s="214"/>
      <c r="AM13" s="214"/>
      <c r="AN13" s="214"/>
    </row>
    <row r="14" spans="1:40" ht="37.5" x14ac:dyDescent="0.35">
      <c r="A14" s="209" t="s">
        <v>33</v>
      </c>
      <c r="B14" s="210">
        <v>1</v>
      </c>
      <c r="C14" s="210">
        <v>6</v>
      </c>
      <c r="D14" s="211">
        <f t="shared" si="4"/>
        <v>137.02930000000001</v>
      </c>
      <c r="E14" s="211">
        <v>130.5608</v>
      </c>
      <c r="F14" s="211">
        <v>6.3704999999999998</v>
      </c>
      <c r="G14" s="211">
        <v>9.8000000000000004E-2</v>
      </c>
      <c r="H14" s="211">
        <f t="shared" si="5"/>
        <v>143.23840852999999</v>
      </c>
      <c r="I14" s="211">
        <v>133.92628532000001</v>
      </c>
      <c r="J14" s="211">
        <v>9.1917232099999993</v>
      </c>
      <c r="K14" s="211">
        <v>0.12039999999999999</v>
      </c>
      <c r="L14" s="211">
        <f t="shared" si="6"/>
        <v>154.99869999999999</v>
      </c>
      <c r="M14" s="211">
        <v>148.60989999999998</v>
      </c>
      <c r="N14" s="212">
        <v>6.2887999999999993</v>
      </c>
      <c r="O14" s="212">
        <v>0.1</v>
      </c>
      <c r="P14" s="211">
        <f t="shared" si="7"/>
        <v>159.44290000000001</v>
      </c>
      <c r="Q14" s="211">
        <v>153.94470000000001</v>
      </c>
      <c r="R14" s="212">
        <v>5.3812999999999995</v>
      </c>
      <c r="S14" s="211">
        <v>0.1169</v>
      </c>
      <c r="T14" s="211">
        <f t="shared" si="8"/>
        <v>165.33519999999999</v>
      </c>
      <c r="U14" s="211">
        <v>159.83699999999999</v>
      </c>
      <c r="V14" s="211">
        <v>5.3812999999999995</v>
      </c>
      <c r="W14" s="213">
        <v>0.1169</v>
      </c>
      <c r="AA14" s="214"/>
      <c r="AB14" s="214"/>
      <c r="AC14" s="214"/>
      <c r="AD14" s="214"/>
      <c r="AE14" s="214"/>
      <c r="AF14" s="214"/>
      <c r="AG14" s="214"/>
      <c r="AH14" s="214"/>
      <c r="AI14" s="214"/>
      <c r="AJ14" s="214"/>
      <c r="AK14" s="214"/>
      <c r="AL14" s="214"/>
      <c r="AM14" s="214"/>
      <c r="AN14" s="214"/>
    </row>
    <row r="15" spans="1:40" x14ac:dyDescent="0.35">
      <c r="A15" s="209" t="s">
        <v>34</v>
      </c>
      <c r="B15" s="210">
        <v>1</v>
      </c>
      <c r="C15" s="210">
        <v>7</v>
      </c>
      <c r="D15" s="211">
        <f t="shared" si="4"/>
        <v>41.378200000000007</v>
      </c>
      <c r="E15" s="211">
        <v>40.848300000000002</v>
      </c>
      <c r="F15" s="211">
        <v>0.51290000000000002</v>
      </c>
      <c r="G15" s="211">
        <v>1.7000000000000001E-2</v>
      </c>
      <c r="H15" s="211">
        <f t="shared" si="5"/>
        <v>43.660599089999998</v>
      </c>
      <c r="I15" s="211">
        <v>43.090499089999994</v>
      </c>
      <c r="J15" s="211">
        <v>0.55310000000000004</v>
      </c>
      <c r="K15" s="211">
        <v>1.7000000000000001E-2</v>
      </c>
      <c r="L15" s="211">
        <f t="shared" si="6"/>
        <v>45.087299999999999</v>
      </c>
      <c r="M15" s="211">
        <v>44.6614</v>
      </c>
      <c r="N15" s="212">
        <v>0.4259</v>
      </c>
      <c r="O15" s="212"/>
      <c r="P15" s="211">
        <f t="shared" si="7"/>
        <v>46.610199999999999</v>
      </c>
      <c r="Q15" s="211">
        <v>46.1843</v>
      </c>
      <c r="R15" s="212">
        <v>0.4259</v>
      </c>
      <c r="S15" s="211"/>
      <c r="T15" s="211">
        <f t="shared" si="8"/>
        <v>48.300799999999995</v>
      </c>
      <c r="U15" s="211">
        <v>47.874899999999997</v>
      </c>
      <c r="V15" s="211">
        <v>0.4259</v>
      </c>
      <c r="W15" s="213"/>
      <c r="AA15" s="214"/>
      <c r="AB15" s="214"/>
      <c r="AC15" s="214"/>
      <c r="AD15" s="214"/>
      <c r="AE15" s="214"/>
      <c r="AF15" s="214"/>
      <c r="AG15" s="214"/>
      <c r="AH15" s="214"/>
      <c r="AI15" s="214"/>
      <c r="AJ15" s="214"/>
      <c r="AK15" s="214"/>
      <c r="AL15" s="214"/>
      <c r="AM15" s="214"/>
      <c r="AN15" s="214"/>
    </row>
    <row r="16" spans="1:40" x14ac:dyDescent="0.35">
      <c r="A16" s="209" t="s">
        <v>35</v>
      </c>
      <c r="B16" s="210">
        <v>1</v>
      </c>
      <c r="C16" s="210">
        <v>13</v>
      </c>
      <c r="D16" s="211">
        <f t="shared" si="4"/>
        <v>224.70350000000002</v>
      </c>
      <c r="E16" s="211">
        <v>193.35890000000001</v>
      </c>
      <c r="F16" s="211">
        <v>31.038</v>
      </c>
      <c r="G16" s="211">
        <v>0.30659999999999998</v>
      </c>
      <c r="H16" s="211">
        <f t="shared" si="5"/>
        <v>229.80189442999995</v>
      </c>
      <c r="I16" s="211">
        <v>201.01436193999996</v>
      </c>
      <c r="J16" s="211">
        <v>28.223637509999996</v>
      </c>
      <c r="K16" s="211">
        <v>0.56389497999999993</v>
      </c>
      <c r="L16" s="211">
        <f t="shared" si="6"/>
        <v>230.99640000000002</v>
      </c>
      <c r="M16" s="211">
        <v>205.10550000000001</v>
      </c>
      <c r="N16" s="212">
        <v>25.4909</v>
      </c>
      <c r="O16" s="212">
        <v>0.4</v>
      </c>
      <c r="P16" s="211">
        <f t="shared" si="7"/>
        <v>234.87040000000005</v>
      </c>
      <c r="Q16" s="211">
        <v>209.06190000000004</v>
      </c>
      <c r="R16" s="212">
        <v>25.388000000000002</v>
      </c>
      <c r="S16" s="211">
        <v>0.42049999999999998</v>
      </c>
      <c r="T16" s="211">
        <f t="shared" si="8"/>
        <v>242.6482</v>
      </c>
      <c r="U16" s="211">
        <v>216.8398</v>
      </c>
      <c r="V16" s="211">
        <v>25.387900000000002</v>
      </c>
      <c r="W16" s="213">
        <v>0.42049999999999998</v>
      </c>
      <c r="AA16" s="214"/>
      <c r="AB16" s="214"/>
      <c r="AC16" s="214"/>
      <c r="AD16" s="214"/>
      <c r="AE16" s="214"/>
      <c r="AF16" s="214"/>
      <c r="AG16" s="214"/>
      <c r="AH16" s="214"/>
      <c r="AI16" s="214"/>
      <c r="AJ16" s="214"/>
      <c r="AK16" s="214"/>
      <c r="AL16" s="214"/>
      <c r="AM16" s="214"/>
      <c r="AN16" s="214"/>
    </row>
    <row r="17" spans="1:40" s="56" customFormat="1" ht="26" x14ac:dyDescent="0.35">
      <c r="A17" s="204" t="s">
        <v>36</v>
      </c>
      <c r="B17" s="205">
        <v>3</v>
      </c>
      <c r="C17" s="205"/>
      <c r="D17" s="206">
        <f t="shared" si="4"/>
        <v>16.906399999999998</v>
      </c>
      <c r="E17" s="206">
        <f>E18</f>
        <v>15.8653</v>
      </c>
      <c r="F17" s="206">
        <f>F18</f>
        <v>0.94750000000000001</v>
      </c>
      <c r="G17" s="206">
        <f>G18</f>
        <v>9.3600000000000003E-2</v>
      </c>
      <c r="H17" s="206">
        <f t="shared" ref="H17:W17" si="9">H18</f>
        <v>17.321784820000001</v>
      </c>
      <c r="I17" s="206">
        <f t="shared" si="9"/>
        <v>16.341100000000001</v>
      </c>
      <c r="J17" s="206">
        <f t="shared" si="9"/>
        <v>0.92576848999999994</v>
      </c>
      <c r="K17" s="206">
        <f t="shared" si="9"/>
        <v>5.4916329999999999E-2</v>
      </c>
      <c r="L17" s="206">
        <f t="shared" si="9"/>
        <v>18.251899999999999</v>
      </c>
      <c r="M17" s="206">
        <f t="shared" si="9"/>
        <v>17.305299999999999</v>
      </c>
      <c r="N17" s="206">
        <f t="shared" si="9"/>
        <v>0.9466</v>
      </c>
      <c r="O17" s="206">
        <f t="shared" si="9"/>
        <v>0</v>
      </c>
      <c r="P17" s="206">
        <f t="shared" si="9"/>
        <v>18.852899999999998</v>
      </c>
      <c r="Q17" s="206">
        <f t="shared" si="9"/>
        <v>17.906299999999998</v>
      </c>
      <c r="R17" s="206">
        <f t="shared" si="9"/>
        <v>0.9466</v>
      </c>
      <c r="S17" s="206">
        <f t="shared" si="9"/>
        <v>0</v>
      </c>
      <c r="T17" s="206">
        <f t="shared" si="9"/>
        <v>19.514300000000002</v>
      </c>
      <c r="U17" s="206">
        <f t="shared" si="9"/>
        <v>18.567700000000002</v>
      </c>
      <c r="V17" s="206">
        <f t="shared" si="9"/>
        <v>0.9466</v>
      </c>
      <c r="W17" s="207">
        <f t="shared" si="9"/>
        <v>0</v>
      </c>
      <c r="X17" s="208"/>
      <c r="Y17" s="208"/>
      <c r="Z17" s="208"/>
      <c r="AA17" s="55"/>
      <c r="AB17" s="55"/>
      <c r="AC17" s="55"/>
      <c r="AD17" s="55"/>
      <c r="AE17" s="55"/>
      <c r="AF17" s="55"/>
      <c r="AG17" s="55"/>
      <c r="AH17" s="55"/>
      <c r="AI17" s="55"/>
      <c r="AJ17" s="55"/>
      <c r="AK17" s="55"/>
      <c r="AL17" s="55"/>
      <c r="AM17" s="55"/>
      <c r="AN17" s="55"/>
    </row>
    <row r="18" spans="1:40" ht="37.5" x14ac:dyDescent="0.35">
      <c r="A18" s="209" t="s">
        <v>37</v>
      </c>
      <c r="B18" s="210">
        <v>3</v>
      </c>
      <c r="C18" s="210">
        <v>9</v>
      </c>
      <c r="D18" s="211">
        <f t="shared" si="4"/>
        <v>16.906399999999998</v>
      </c>
      <c r="E18" s="211">
        <v>15.8653</v>
      </c>
      <c r="F18" s="211">
        <v>0.94750000000000001</v>
      </c>
      <c r="G18" s="211">
        <v>9.3600000000000003E-2</v>
      </c>
      <c r="H18" s="211">
        <f>I18+J18+K18</f>
        <v>17.321784820000001</v>
      </c>
      <c r="I18" s="211">
        <v>16.341100000000001</v>
      </c>
      <c r="J18" s="211">
        <v>0.92576848999999994</v>
      </c>
      <c r="K18" s="211">
        <v>5.4916329999999999E-2</v>
      </c>
      <c r="L18" s="211">
        <f>M18+N18+O18</f>
        <v>18.251899999999999</v>
      </c>
      <c r="M18" s="211">
        <v>17.305299999999999</v>
      </c>
      <c r="N18" s="211">
        <v>0.9466</v>
      </c>
      <c r="O18" s="211"/>
      <c r="P18" s="211">
        <f>Q18+R18+S18</f>
        <v>18.852899999999998</v>
      </c>
      <c r="Q18" s="211">
        <v>17.906299999999998</v>
      </c>
      <c r="R18" s="211">
        <v>0.9466</v>
      </c>
      <c r="S18" s="211"/>
      <c r="T18" s="211">
        <f>U18+V18+W18</f>
        <v>19.514300000000002</v>
      </c>
      <c r="U18" s="211">
        <v>18.567700000000002</v>
      </c>
      <c r="V18" s="211">
        <v>0.9466</v>
      </c>
      <c r="W18" s="213"/>
      <c r="AA18" s="214"/>
      <c r="AB18" s="214"/>
      <c r="AC18" s="214"/>
      <c r="AD18" s="214"/>
      <c r="AE18" s="214"/>
      <c r="AF18" s="214"/>
      <c r="AG18" s="214"/>
      <c r="AH18" s="214"/>
      <c r="AI18" s="214"/>
      <c r="AJ18" s="214"/>
      <c r="AK18" s="214"/>
      <c r="AL18" s="214"/>
      <c r="AM18" s="214"/>
      <c r="AN18" s="214"/>
    </row>
    <row r="19" spans="1:40" s="56" customFormat="1" ht="13" x14ac:dyDescent="0.35">
      <c r="A19" s="215" t="s">
        <v>38</v>
      </c>
      <c r="B19" s="205">
        <v>4</v>
      </c>
      <c r="C19" s="205"/>
      <c r="D19" s="206">
        <f t="shared" si="4"/>
        <v>459.04910000000001</v>
      </c>
      <c r="E19" s="206">
        <f>E20+E21+E22+E23+E24+E25</f>
        <v>431.62450000000001</v>
      </c>
      <c r="F19" s="206">
        <f>F20+F21+F22+F23+F24+F25</f>
        <v>25.1204</v>
      </c>
      <c r="G19" s="206">
        <f>G20+G21+G22+G23+G24+G25</f>
        <v>2.3041999999999998</v>
      </c>
      <c r="H19" s="206">
        <f t="shared" ref="H19:W19" si="10">H20+H21+H22+H23+H24+H25</f>
        <v>501.52467919999992</v>
      </c>
      <c r="I19" s="206">
        <f t="shared" si="10"/>
        <v>464.67571772000002</v>
      </c>
      <c r="J19" s="206">
        <f>J20+J21+J22+J23+J24+J25</f>
        <v>35.643978500000003</v>
      </c>
      <c r="K19" s="206">
        <f t="shared" si="10"/>
        <v>1.20498298</v>
      </c>
      <c r="L19" s="206">
        <f t="shared" si="10"/>
        <v>519.11110000000008</v>
      </c>
      <c r="M19" s="206">
        <f t="shared" si="10"/>
        <v>490.93850000000009</v>
      </c>
      <c r="N19" s="206">
        <f t="shared" si="10"/>
        <v>27.2864</v>
      </c>
      <c r="O19" s="206">
        <f t="shared" si="10"/>
        <v>0.88619999999999999</v>
      </c>
      <c r="P19" s="206">
        <f t="shared" si="10"/>
        <v>536.09159999999997</v>
      </c>
      <c r="Q19" s="206">
        <f t="shared" si="10"/>
        <v>508.67209999999994</v>
      </c>
      <c r="R19" s="206">
        <f t="shared" si="10"/>
        <v>26.533299999999997</v>
      </c>
      <c r="S19" s="206">
        <f t="shared" si="10"/>
        <v>0.88619999999999999</v>
      </c>
      <c r="T19" s="206">
        <f t="shared" si="10"/>
        <v>555.65520000000004</v>
      </c>
      <c r="U19" s="206">
        <f t="shared" si="10"/>
        <v>528.08010000000002</v>
      </c>
      <c r="V19" s="206">
        <f t="shared" si="10"/>
        <v>26.6889</v>
      </c>
      <c r="W19" s="207">
        <f t="shared" si="10"/>
        <v>0.88619999999999999</v>
      </c>
      <c r="X19" s="208"/>
      <c r="Y19" s="208"/>
      <c r="Z19" s="208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</row>
    <row r="20" spans="1:40" ht="14.5" x14ac:dyDescent="0.35">
      <c r="A20" s="209" t="s">
        <v>39</v>
      </c>
      <c r="B20" s="210">
        <v>4</v>
      </c>
      <c r="C20" s="210">
        <v>1</v>
      </c>
      <c r="D20" s="211">
        <f>E20+F20+G20</f>
        <v>230.71740000000003</v>
      </c>
      <c r="E20" s="211">
        <v>216.72290000000001</v>
      </c>
      <c r="F20" s="211">
        <v>12.1493</v>
      </c>
      <c r="G20" s="211">
        <v>1.8452</v>
      </c>
      <c r="H20" s="211">
        <f>I20+J20+K20</f>
        <v>250.92571756999999</v>
      </c>
      <c r="I20" s="211">
        <v>232.95889609</v>
      </c>
      <c r="J20" s="211">
        <v>17.139138500000001</v>
      </c>
      <c r="K20" s="211">
        <v>0.82768298000000007</v>
      </c>
      <c r="L20" s="211">
        <f>M20+N20+O20</f>
        <v>258.08600000000007</v>
      </c>
      <c r="M20" s="211">
        <v>245.15350000000004</v>
      </c>
      <c r="N20" s="211">
        <v>12.430800000000001</v>
      </c>
      <c r="O20" s="211">
        <v>0.50170000000000003</v>
      </c>
      <c r="P20" s="211">
        <f>Q20+R20+S20</f>
        <v>266.36380000000003</v>
      </c>
      <c r="Q20" s="211">
        <v>254.511</v>
      </c>
      <c r="R20" s="211">
        <v>11.351100000000001</v>
      </c>
      <c r="S20" s="58">
        <v>0.50170000000000003</v>
      </c>
      <c r="T20" s="211">
        <f>U20+V20+W20</f>
        <v>276.14750000000004</v>
      </c>
      <c r="U20" s="211">
        <v>264.29290000000003</v>
      </c>
      <c r="V20" s="211">
        <v>11.352900000000002</v>
      </c>
      <c r="W20" s="213">
        <v>0.50170000000000003</v>
      </c>
      <c r="AA20" s="214"/>
      <c r="AB20" s="214"/>
      <c r="AC20" s="214"/>
      <c r="AD20" s="214"/>
      <c r="AE20" s="214"/>
      <c r="AF20" s="214"/>
      <c r="AG20" s="214"/>
      <c r="AH20" s="214"/>
      <c r="AI20" s="214"/>
      <c r="AJ20" s="214"/>
      <c r="AK20" s="214"/>
      <c r="AL20" s="214"/>
      <c r="AM20" s="214"/>
      <c r="AN20" s="214"/>
    </row>
    <row r="21" spans="1:40" x14ac:dyDescent="0.35">
      <c r="A21" s="209" t="s">
        <v>40</v>
      </c>
      <c r="B21" s="210">
        <v>4</v>
      </c>
      <c r="C21" s="210">
        <v>2</v>
      </c>
      <c r="D21" s="211">
        <f t="shared" ref="D21:D38" si="11">E21+F21+G21</f>
        <v>55.433900000000001</v>
      </c>
      <c r="E21" s="211">
        <v>52.795400000000001</v>
      </c>
      <c r="F21" s="211">
        <v>2.6368999999999998</v>
      </c>
      <c r="G21" s="211">
        <v>1.6000000000000001E-3</v>
      </c>
      <c r="H21" s="211">
        <f t="shared" ref="H21:H25" si="12">I21+J21+K21</f>
        <v>55.387796889999997</v>
      </c>
      <c r="I21" s="211">
        <v>52.227494889999996</v>
      </c>
      <c r="J21" s="211">
        <v>3.1303019999999999</v>
      </c>
      <c r="K21" s="211">
        <v>0.03</v>
      </c>
      <c r="L21" s="211">
        <f t="shared" ref="L21:L25" si="13">M21+N21+O21</f>
        <v>57.078400000000002</v>
      </c>
      <c r="M21" s="211">
        <v>54.717100000000002</v>
      </c>
      <c r="N21" s="211">
        <v>2.3013000000000003</v>
      </c>
      <c r="O21" s="211">
        <v>0.06</v>
      </c>
      <c r="P21" s="211">
        <f t="shared" ref="P21:P25" si="14">Q21+R21+S21</f>
        <v>59.0764</v>
      </c>
      <c r="Q21" s="211">
        <v>56.7151</v>
      </c>
      <c r="R21" s="211">
        <v>2.3013000000000003</v>
      </c>
      <c r="S21" s="211">
        <v>0.06</v>
      </c>
      <c r="T21" s="211">
        <f t="shared" ref="T21:T25" si="15">U21+V21+W21</f>
        <v>61.2791</v>
      </c>
      <c r="U21" s="211">
        <v>58.9178</v>
      </c>
      <c r="V21" s="211">
        <v>2.3013000000000003</v>
      </c>
      <c r="W21" s="213">
        <v>0.06</v>
      </c>
      <c r="AA21" s="214"/>
      <c r="AB21" s="214"/>
      <c r="AC21" s="214"/>
      <c r="AD21" s="214"/>
      <c r="AE21" s="214"/>
      <c r="AF21" s="214"/>
      <c r="AG21" s="214"/>
      <c r="AH21" s="214"/>
      <c r="AI21" s="214"/>
      <c r="AJ21" s="214"/>
      <c r="AK21" s="214"/>
      <c r="AL21" s="214"/>
      <c r="AM21" s="214"/>
      <c r="AN21" s="214"/>
    </row>
    <row r="22" spans="1:40" x14ac:dyDescent="0.35">
      <c r="A22" s="209" t="s">
        <v>41</v>
      </c>
      <c r="B22" s="210">
        <v>4</v>
      </c>
      <c r="C22" s="210">
        <v>5</v>
      </c>
      <c r="D22" s="211">
        <f t="shared" si="11"/>
        <v>59.545900000000003</v>
      </c>
      <c r="E22" s="211">
        <v>58.0319</v>
      </c>
      <c r="F22" s="211">
        <v>1.444</v>
      </c>
      <c r="G22" s="211">
        <v>7.0000000000000007E-2</v>
      </c>
      <c r="H22" s="211">
        <f t="shared" si="12"/>
        <v>65.329373879999991</v>
      </c>
      <c r="I22" s="211">
        <v>62.850435879999999</v>
      </c>
      <c r="J22" s="211">
        <v>2.396938</v>
      </c>
      <c r="K22" s="211">
        <v>8.199999999999999E-2</v>
      </c>
      <c r="L22" s="211">
        <f t="shared" si="13"/>
        <v>70.302200000000013</v>
      </c>
      <c r="M22" s="211">
        <v>67.519400000000005</v>
      </c>
      <c r="N22" s="211">
        <v>2.6927999999999996</v>
      </c>
      <c r="O22" s="211">
        <v>0.09</v>
      </c>
      <c r="P22" s="211">
        <f t="shared" si="14"/>
        <v>72.686700000000002</v>
      </c>
      <c r="Q22" s="211">
        <v>69.903899999999993</v>
      </c>
      <c r="R22" s="211">
        <v>2.6927999999999996</v>
      </c>
      <c r="S22" s="211">
        <v>0.09</v>
      </c>
      <c r="T22" s="211">
        <f t="shared" si="15"/>
        <v>75.314300000000003</v>
      </c>
      <c r="U22" s="211">
        <v>72.531499999999994</v>
      </c>
      <c r="V22" s="211">
        <v>2.6927999999999996</v>
      </c>
      <c r="W22" s="213">
        <v>0.09</v>
      </c>
      <c r="AA22" s="214"/>
      <c r="AB22" s="214"/>
      <c r="AC22" s="214"/>
      <c r="AD22" s="214"/>
      <c r="AE22" s="214"/>
      <c r="AF22" s="214"/>
      <c r="AG22" s="214"/>
      <c r="AH22" s="214"/>
      <c r="AI22" s="214"/>
      <c r="AJ22" s="214"/>
      <c r="AK22" s="214"/>
      <c r="AL22" s="214"/>
      <c r="AM22" s="214"/>
      <c r="AN22" s="214"/>
    </row>
    <row r="23" spans="1:40" x14ac:dyDescent="0.35">
      <c r="A23" s="209" t="s">
        <v>42</v>
      </c>
      <c r="B23" s="210">
        <v>4</v>
      </c>
      <c r="C23" s="210">
        <v>8</v>
      </c>
      <c r="D23" s="211">
        <f t="shared" si="11"/>
        <v>44.561199999999999</v>
      </c>
      <c r="E23" s="211">
        <v>40.723700000000001</v>
      </c>
      <c r="F23" s="211">
        <v>3.4729999999999999</v>
      </c>
      <c r="G23" s="211">
        <v>0.36449999999999999</v>
      </c>
      <c r="H23" s="211">
        <f t="shared" si="12"/>
        <v>52.087107529999997</v>
      </c>
      <c r="I23" s="211">
        <v>44.803607529999994</v>
      </c>
      <c r="J23" s="211">
        <v>7.1417000000000002</v>
      </c>
      <c r="K23" s="211">
        <v>0.14179999999999998</v>
      </c>
      <c r="L23" s="211">
        <f t="shared" si="13"/>
        <v>51.574100000000001</v>
      </c>
      <c r="M23" s="211">
        <v>47.2624</v>
      </c>
      <c r="N23" s="211">
        <v>4.1672000000000002</v>
      </c>
      <c r="O23" s="211">
        <v>0.14449999999999999</v>
      </c>
      <c r="P23" s="211">
        <f t="shared" si="14"/>
        <v>53.182299999999998</v>
      </c>
      <c r="Q23" s="211">
        <v>48.540599999999998</v>
      </c>
      <c r="R23" s="211">
        <v>4.4971999999999994</v>
      </c>
      <c r="S23" s="211">
        <v>0.14449999999999999</v>
      </c>
      <c r="T23" s="211">
        <f t="shared" si="15"/>
        <v>54.981900000000003</v>
      </c>
      <c r="U23" s="211">
        <v>50.349800000000002</v>
      </c>
      <c r="V23" s="211">
        <v>4.4876000000000005</v>
      </c>
      <c r="W23" s="213">
        <v>0.14449999999999999</v>
      </c>
      <c r="AA23" s="214"/>
      <c r="AB23" s="214"/>
      <c r="AC23" s="214"/>
      <c r="AD23" s="214"/>
      <c r="AE23" s="214"/>
      <c r="AF23" s="214"/>
      <c r="AG23" s="214"/>
      <c r="AH23" s="214"/>
      <c r="AI23" s="214"/>
      <c r="AJ23" s="214"/>
      <c r="AK23" s="214"/>
      <c r="AL23" s="214"/>
      <c r="AM23" s="214"/>
      <c r="AN23" s="214"/>
    </row>
    <row r="24" spans="1:40" x14ac:dyDescent="0.35">
      <c r="A24" s="209" t="s">
        <v>43</v>
      </c>
      <c r="B24" s="210">
        <v>4</v>
      </c>
      <c r="C24" s="210">
        <v>10</v>
      </c>
      <c r="D24" s="211">
        <f t="shared" si="11"/>
        <v>26.480500000000003</v>
      </c>
      <c r="E24" s="211">
        <v>23.043500000000002</v>
      </c>
      <c r="F24" s="211">
        <v>3.4205999999999999</v>
      </c>
      <c r="G24" s="211">
        <v>1.6400000000000001E-2</v>
      </c>
      <c r="H24" s="211">
        <f t="shared" si="12"/>
        <v>28.847000000000005</v>
      </c>
      <c r="I24" s="211">
        <v>25.021100000000004</v>
      </c>
      <c r="J24" s="211">
        <v>3.7959000000000001</v>
      </c>
      <c r="K24" s="211">
        <v>0.03</v>
      </c>
      <c r="L24" s="211">
        <f t="shared" si="13"/>
        <v>30.060199999999998</v>
      </c>
      <c r="M24" s="211">
        <v>26.084199999999999</v>
      </c>
      <c r="N24" s="211">
        <v>3.976</v>
      </c>
      <c r="O24" s="211"/>
      <c r="P24" s="211">
        <f t="shared" si="14"/>
        <v>30.965699999999998</v>
      </c>
      <c r="Q24" s="211">
        <v>26.993099999999998</v>
      </c>
      <c r="R24" s="211">
        <v>3.9725999999999999</v>
      </c>
      <c r="S24" s="211"/>
      <c r="T24" s="211">
        <f t="shared" si="15"/>
        <v>32.122900000000001</v>
      </c>
      <c r="U24" s="211">
        <v>27.986900000000002</v>
      </c>
      <c r="V24" s="211">
        <v>4.1360000000000001</v>
      </c>
      <c r="W24" s="213"/>
      <c r="AA24" s="214"/>
      <c r="AB24" s="214"/>
      <c r="AC24" s="214"/>
      <c r="AD24" s="214"/>
      <c r="AE24" s="214"/>
      <c r="AF24" s="214"/>
      <c r="AG24" s="214"/>
      <c r="AH24" s="214"/>
      <c r="AI24" s="214"/>
      <c r="AJ24" s="214"/>
      <c r="AK24" s="214"/>
      <c r="AL24" s="214"/>
      <c r="AM24" s="214"/>
      <c r="AN24" s="214"/>
    </row>
    <row r="25" spans="1:40" ht="14" x14ac:dyDescent="0.3">
      <c r="A25" s="209" t="s">
        <v>44</v>
      </c>
      <c r="B25" s="210">
        <v>4</v>
      </c>
      <c r="C25" s="210">
        <v>12</v>
      </c>
      <c r="D25" s="211">
        <f t="shared" si="11"/>
        <v>42.310200000000002</v>
      </c>
      <c r="E25" s="211">
        <v>40.307099999999998</v>
      </c>
      <c r="F25" s="211">
        <v>1.9965999999999999</v>
      </c>
      <c r="G25" s="211">
        <v>6.4999999999999997E-3</v>
      </c>
      <c r="H25" s="211">
        <f t="shared" si="12"/>
        <v>48.947683329999997</v>
      </c>
      <c r="I25" s="211">
        <v>46.814183329999999</v>
      </c>
      <c r="J25" s="216">
        <v>2.04</v>
      </c>
      <c r="K25" s="211">
        <v>9.35E-2</v>
      </c>
      <c r="L25" s="211">
        <f t="shared" si="13"/>
        <v>52.010200000000005</v>
      </c>
      <c r="M25" s="211">
        <v>50.201900000000002</v>
      </c>
      <c r="N25" s="211">
        <v>1.7182999999999999</v>
      </c>
      <c r="O25" s="211">
        <v>0.09</v>
      </c>
      <c r="P25" s="211">
        <f t="shared" si="14"/>
        <v>53.816700000000004</v>
      </c>
      <c r="Q25" s="211">
        <v>52.008400000000002</v>
      </c>
      <c r="R25" s="211">
        <v>1.7182999999999999</v>
      </c>
      <c r="S25" s="211">
        <v>0.09</v>
      </c>
      <c r="T25" s="211">
        <f t="shared" si="15"/>
        <v>55.8095</v>
      </c>
      <c r="U25" s="211">
        <v>54.001199999999997</v>
      </c>
      <c r="V25" s="211">
        <v>1.7182999999999999</v>
      </c>
      <c r="W25" s="213">
        <v>0.09</v>
      </c>
      <c r="AA25" s="214"/>
      <c r="AB25" s="214"/>
      <c r="AC25" s="214"/>
      <c r="AD25" s="214"/>
      <c r="AE25" s="214"/>
      <c r="AF25" s="214"/>
      <c r="AG25" s="214"/>
      <c r="AH25" s="214"/>
      <c r="AI25" s="214"/>
      <c r="AJ25" s="214"/>
      <c r="AK25" s="214"/>
      <c r="AL25" s="214"/>
      <c r="AM25" s="214"/>
      <c r="AN25" s="214"/>
    </row>
    <row r="26" spans="1:40" s="56" customFormat="1" ht="13" x14ac:dyDescent="0.35">
      <c r="A26" s="204" t="s">
        <v>45</v>
      </c>
      <c r="B26" s="205">
        <v>5</v>
      </c>
      <c r="C26" s="205"/>
      <c r="D26" s="206">
        <f t="shared" si="11"/>
        <v>56.077999999999996</v>
      </c>
      <c r="E26" s="206">
        <f>E27</f>
        <v>50.561799999999998</v>
      </c>
      <c r="F26" s="206">
        <f>F27</f>
        <v>5.3747999999999996</v>
      </c>
      <c r="G26" s="206">
        <f>G27</f>
        <v>0.1414</v>
      </c>
      <c r="H26" s="206">
        <f t="shared" ref="H26:W26" si="16">H27</f>
        <v>57.953379489999996</v>
      </c>
      <c r="I26" s="206">
        <f t="shared" si="16"/>
        <v>52.5124</v>
      </c>
      <c r="J26" s="206">
        <f t="shared" si="16"/>
        <v>5.2909794899999998</v>
      </c>
      <c r="K26" s="206">
        <f t="shared" si="16"/>
        <v>0.15</v>
      </c>
      <c r="L26" s="206">
        <f t="shared" si="16"/>
        <v>60.1526</v>
      </c>
      <c r="M26" s="206">
        <f t="shared" si="16"/>
        <v>55.552599999999998</v>
      </c>
      <c r="N26" s="206">
        <f t="shared" si="16"/>
        <v>4.4000000000000004</v>
      </c>
      <c r="O26" s="206">
        <f t="shared" si="16"/>
        <v>0.2</v>
      </c>
      <c r="P26" s="206">
        <f t="shared" si="16"/>
        <v>62.1646</v>
      </c>
      <c r="Q26" s="206">
        <f t="shared" si="16"/>
        <v>57.564599999999999</v>
      </c>
      <c r="R26" s="206">
        <f t="shared" si="16"/>
        <v>4.4000000000000004</v>
      </c>
      <c r="S26" s="206">
        <f t="shared" si="16"/>
        <v>0.2</v>
      </c>
      <c r="T26" s="206">
        <f t="shared" si="16"/>
        <v>63.3752</v>
      </c>
      <c r="U26" s="206">
        <f t="shared" si="16"/>
        <v>59.775199999999998</v>
      </c>
      <c r="V26" s="206">
        <f t="shared" si="16"/>
        <v>3.4</v>
      </c>
      <c r="W26" s="207">
        <f t="shared" si="16"/>
        <v>0.2</v>
      </c>
      <c r="X26" s="208"/>
      <c r="Y26" s="208"/>
      <c r="Z26" s="208"/>
      <c r="AA26" s="55"/>
      <c r="AB26" s="55"/>
      <c r="AC26" s="55"/>
      <c r="AD26" s="55"/>
      <c r="AE26" s="55"/>
      <c r="AF26" s="55"/>
      <c r="AG26" s="55"/>
      <c r="AH26" s="55"/>
      <c r="AI26" s="55"/>
      <c r="AJ26" s="55"/>
      <c r="AK26" s="55"/>
      <c r="AL26" s="55"/>
      <c r="AM26" s="55"/>
      <c r="AN26" s="55"/>
    </row>
    <row r="27" spans="1:40" ht="25" x14ac:dyDescent="0.35">
      <c r="A27" s="209" t="s">
        <v>46</v>
      </c>
      <c r="B27" s="210">
        <v>5</v>
      </c>
      <c r="C27" s="210">
        <v>5</v>
      </c>
      <c r="D27" s="211">
        <f t="shared" si="11"/>
        <v>56.077999999999996</v>
      </c>
      <c r="E27" s="211">
        <v>50.561799999999998</v>
      </c>
      <c r="F27" s="211">
        <v>5.3747999999999996</v>
      </c>
      <c r="G27" s="211">
        <v>0.1414</v>
      </c>
      <c r="H27" s="211">
        <f>I27+J27+K27</f>
        <v>57.953379489999996</v>
      </c>
      <c r="I27" s="211">
        <v>52.5124</v>
      </c>
      <c r="J27" s="211">
        <v>5.2909794899999998</v>
      </c>
      <c r="K27" s="211">
        <v>0.15</v>
      </c>
      <c r="L27" s="211">
        <f>M27+N27+O27</f>
        <v>60.1526</v>
      </c>
      <c r="M27" s="211">
        <v>55.552599999999998</v>
      </c>
      <c r="N27" s="211">
        <v>4.4000000000000004</v>
      </c>
      <c r="O27" s="211">
        <v>0.2</v>
      </c>
      <c r="P27" s="211">
        <f>Q27+R27+S27</f>
        <v>62.1646</v>
      </c>
      <c r="Q27" s="211">
        <v>57.564599999999999</v>
      </c>
      <c r="R27" s="211">
        <v>4.4000000000000004</v>
      </c>
      <c r="S27" s="211">
        <v>0.2</v>
      </c>
      <c r="T27" s="211">
        <f>U27+V27+W27</f>
        <v>63.3752</v>
      </c>
      <c r="U27" s="211">
        <v>59.775199999999998</v>
      </c>
      <c r="V27" s="211">
        <v>3.4</v>
      </c>
      <c r="W27" s="213">
        <v>0.2</v>
      </c>
      <c r="AA27" s="214"/>
      <c r="AB27" s="214"/>
      <c r="AC27" s="214"/>
      <c r="AD27" s="214"/>
      <c r="AE27" s="214"/>
      <c r="AF27" s="214"/>
      <c r="AG27" s="214"/>
      <c r="AH27" s="214"/>
      <c r="AI27" s="214"/>
      <c r="AJ27" s="214"/>
      <c r="AK27" s="214"/>
      <c r="AL27" s="214"/>
      <c r="AM27" s="214"/>
      <c r="AN27" s="214"/>
    </row>
    <row r="28" spans="1:40" s="56" customFormat="1" ht="13" x14ac:dyDescent="0.35">
      <c r="A28" s="204" t="s">
        <v>47</v>
      </c>
      <c r="B28" s="205">
        <v>7</v>
      </c>
      <c r="C28" s="205"/>
      <c r="D28" s="206">
        <f t="shared" si="11"/>
        <v>52.355899999999998</v>
      </c>
      <c r="E28" s="206">
        <f t="shared" ref="E28:G28" si="17">E30</f>
        <v>49.853499999999997</v>
      </c>
      <c r="F28" s="206">
        <f>F30+F29</f>
        <v>2.3059000000000003</v>
      </c>
      <c r="G28" s="206">
        <f t="shared" si="17"/>
        <v>0.19650000000000001</v>
      </c>
      <c r="H28" s="206">
        <f t="shared" ref="H28:W28" si="18">H30+H29</f>
        <v>54.914843859999998</v>
      </c>
      <c r="I28" s="206">
        <f t="shared" si="18"/>
        <v>50.75862386</v>
      </c>
      <c r="J28" s="206">
        <f t="shared" si="18"/>
        <v>4.0071900000000005</v>
      </c>
      <c r="K28" s="206">
        <f t="shared" si="18"/>
        <v>0.14903</v>
      </c>
      <c r="L28" s="206">
        <f>L30+L29</f>
        <v>56.7316</v>
      </c>
      <c r="M28" s="206">
        <f t="shared" si="18"/>
        <v>52.755600000000001</v>
      </c>
      <c r="N28" s="206">
        <f t="shared" si="18"/>
        <v>3.8759999999999994</v>
      </c>
      <c r="O28" s="206">
        <f t="shared" si="18"/>
        <v>0.1</v>
      </c>
      <c r="P28" s="206">
        <f t="shared" si="18"/>
        <v>58.485199999999999</v>
      </c>
      <c r="Q28" s="206">
        <f t="shared" si="18"/>
        <v>54.659199999999998</v>
      </c>
      <c r="R28" s="206">
        <f t="shared" si="18"/>
        <v>3.726</v>
      </c>
      <c r="S28" s="206">
        <f t="shared" si="18"/>
        <v>0.1</v>
      </c>
      <c r="T28" s="206">
        <f t="shared" si="18"/>
        <v>60.584699999999998</v>
      </c>
      <c r="U28" s="206">
        <f t="shared" si="18"/>
        <v>56.758699999999997</v>
      </c>
      <c r="V28" s="206">
        <f t="shared" si="18"/>
        <v>3.726</v>
      </c>
      <c r="W28" s="207">
        <f t="shared" si="18"/>
        <v>0.1</v>
      </c>
      <c r="X28" s="208"/>
      <c r="Y28" s="208"/>
      <c r="Z28" s="208"/>
      <c r="AA28" s="55"/>
      <c r="AB28" s="55"/>
      <c r="AC28" s="55"/>
      <c r="AD28" s="55"/>
      <c r="AE28" s="55"/>
      <c r="AF28" s="55"/>
      <c r="AG28" s="55"/>
      <c r="AH28" s="55"/>
      <c r="AI28" s="55"/>
      <c r="AJ28" s="55"/>
      <c r="AK28" s="55"/>
      <c r="AL28" s="55"/>
      <c r="AM28" s="55"/>
      <c r="AN28" s="55"/>
    </row>
    <row r="29" spans="1:40" ht="25" x14ac:dyDescent="0.35">
      <c r="A29" s="209" t="s">
        <v>235</v>
      </c>
      <c r="B29" s="210">
        <v>7</v>
      </c>
      <c r="C29" s="210">
        <v>5</v>
      </c>
      <c r="D29" s="211">
        <v>0</v>
      </c>
      <c r="E29" s="211"/>
      <c r="F29" s="211">
        <v>0.77400000000000002</v>
      </c>
      <c r="G29" s="211"/>
      <c r="H29" s="211">
        <f>I29+J29+K29</f>
        <v>1.6095900000000001</v>
      </c>
      <c r="I29" s="211"/>
      <c r="J29" s="211">
        <v>1.6095900000000001</v>
      </c>
      <c r="K29" s="211"/>
      <c r="L29" s="211">
        <f>M29+N29+O29</f>
        <v>1.3432999999999999</v>
      </c>
      <c r="M29" s="211"/>
      <c r="N29" s="211">
        <v>1.3432999999999999</v>
      </c>
      <c r="O29" s="211"/>
      <c r="P29" s="211">
        <f>Q29+R29+S29</f>
        <v>1.1933</v>
      </c>
      <c r="Q29" s="211"/>
      <c r="R29" s="211">
        <v>1.1933</v>
      </c>
      <c r="S29" s="211"/>
      <c r="T29" s="211">
        <f>U29+V29+W29</f>
        <v>1.1933</v>
      </c>
      <c r="U29" s="211"/>
      <c r="V29" s="211">
        <v>1.1933</v>
      </c>
      <c r="W29" s="213"/>
      <c r="AA29" s="214"/>
      <c r="AB29" s="214"/>
      <c r="AC29" s="214"/>
      <c r="AD29" s="214"/>
      <c r="AE29" s="214"/>
      <c r="AF29" s="214"/>
      <c r="AG29" s="214"/>
      <c r="AH29" s="214"/>
      <c r="AI29" s="214"/>
      <c r="AJ29" s="214"/>
      <c r="AK29" s="214"/>
      <c r="AL29" s="214"/>
      <c r="AM29" s="214"/>
      <c r="AN29" s="214"/>
    </row>
    <row r="30" spans="1:40" s="56" customFormat="1" ht="13" x14ac:dyDescent="0.35">
      <c r="A30" s="209" t="s">
        <v>48</v>
      </c>
      <c r="B30" s="210">
        <v>7</v>
      </c>
      <c r="C30" s="210">
        <v>9</v>
      </c>
      <c r="D30" s="211">
        <f t="shared" si="11"/>
        <v>51.581899999999997</v>
      </c>
      <c r="E30" s="211">
        <v>49.853499999999997</v>
      </c>
      <c r="F30" s="211">
        <v>1.5319</v>
      </c>
      <c r="G30" s="211">
        <v>0.19650000000000001</v>
      </c>
      <c r="H30" s="211">
        <f>I30+J30+K30</f>
        <v>53.305253860000001</v>
      </c>
      <c r="I30" s="211">
        <v>50.75862386</v>
      </c>
      <c r="J30" s="211">
        <v>2.3976000000000002</v>
      </c>
      <c r="K30" s="211">
        <v>0.14903</v>
      </c>
      <c r="L30" s="211">
        <f>M30+N30+O30</f>
        <v>55.388300000000001</v>
      </c>
      <c r="M30" s="211">
        <v>52.755600000000001</v>
      </c>
      <c r="N30" s="211">
        <v>2.5326999999999997</v>
      </c>
      <c r="O30" s="211">
        <v>0.1</v>
      </c>
      <c r="P30" s="211">
        <f>Q30+R30+S30</f>
        <v>57.291899999999998</v>
      </c>
      <c r="Q30" s="211">
        <v>54.659199999999998</v>
      </c>
      <c r="R30" s="211">
        <v>2.5326999999999997</v>
      </c>
      <c r="S30" s="211">
        <v>0.1</v>
      </c>
      <c r="T30" s="211">
        <f>U30+V30+W30</f>
        <v>59.391399999999997</v>
      </c>
      <c r="U30" s="211">
        <v>56.758699999999997</v>
      </c>
      <c r="V30" s="211">
        <v>2.5326999999999997</v>
      </c>
      <c r="W30" s="213">
        <v>0.1</v>
      </c>
      <c r="X30" s="198"/>
      <c r="Y30" s="198"/>
      <c r="Z30" s="198"/>
      <c r="AA30" s="55"/>
      <c r="AB30" s="55"/>
      <c r="AC30" s="55"/>
      <c r="AD30" s="55"/>
      <c r="AE30" s="55"/>
      <c r="AF30" s="55"/>
      <c r="AG30" s="55"/>
      <c r="AH30" s="55"/>
      <c r="AI30" s="55"/>
      <c r="AJ30" s="55"/>
      <c r="AK30" s="55"/>
      <c r="AL30" s="55"/>
      <c r="AM30" s="55"/>
      <c r="AN30" s="55"/>
    </row>
    <row r="31" spans="1:40" ht="13" x14ac:dyDescent="0.35">
      <c r="A31" s="215" t="s">
        <v>49</v>
      </c>
      <c r="B31" s="205">
        <v>8</v>
      </c>
      <c r="C31" s="205"/>
      <c r="D31" s="206">
        <f t="shared" si="11"/>
        <v>36.980300000000007</v>
      </c>
      <c r="E31" s="206">
        <f>E32</f>
        <v>35.431600000000003</v>
      </c>
      <c r="F31" s="206">
        <f>F32</f>
        <v>1.5442</v>
      </c>
      <c r="G31" s="206">
        <f>G32</f>
        <v>4.4999999999999997E-3</v>
      </c>
      <c r="H31" s="206">
        <f t="shared" ref="H31:W31" si="19">H32</f>
        <v>45.277059999999999</v>
      </c>
      <c r="I31" s="206">
        <f t="shared" si="19"/>
        <v>43.059799999999996</v>
      </c>
      <c r="J31" s="206">
        <f t="shared" si="19"/>
        <v>2.21726</v>
      </c>
      <c r="K31" s="206">
        <f t="shared" si="19"/>
        <v>0</v>
      </c>
      <c r="L31" s="206">
        <f t="shared" si="19"/>
        <v>46.2761</v>
      </c>
      <c r="M31" s="206">
        <f t="shared" si="19"/>
        <v>44.232199999999999</v>
      </c>
      <c r="N31" s="206">
        <f t="shared" si="19"/>
        <v>2.0439000000000003</v>
      </c>
      <c r="O31" s="206">
        <f t="shared" si="19"/>
        <v>0</v>
      </c>
      <c r="P31" s="206">
        <f t="shared" si="19"/>
        <v>47.69959999999999</v>
      </c>
      <c r="Q31" s="206">
        <f t="shared" si="19"/>
        <v>45.806899999999992</v>
      </c>
      <c r="R31" s="206">
        <f t="shared" si="19"/>
        <v>1.8926999999999998</v>
      </c>
      <c r="S31" s="206">
        <f t="shared" si="19"/>
        <v>0</v>
      </c>
      <c r="T31" s="206">
        <f t="shared" si="19"/>
        <v>49.4084</v>
      </c>
      <c r="U31" s="206">
        <f t="shared" si="19"/>
        <v>47.545700000000004</v>
      </c>
      <c r="V31" s="206">
        <f t="shared" si="19"/>
        <v>1.8626999999999998</v>
      </c>
      <c r="W31" s="207">
        <f t="shared" si="19"/>
        <v>0</v>
      </c>
      <c r="AA31" s="214"/>
      <c r="AB31" s="214"/>
      <c r="AC31" s="214"/>
      <c r="AD31" s="214"/>
      <c r="AE31" s="214"/>
      <c r="AF31" s="214"/>
      <c r="AG31" s="214"/>
      <c r="AH31" s="214"/>
      <c r="AI31" s="214"/>
      <c r="AJ31" s="214"/>
      <c r="AK31" s="214"/>
      <c r="AL31" s="214"/>
      <c r="AM31" s="214"/>
      <c r="AN31" s="214"/>
    </row>
    <row r="32" spans="1:40" s="56" customFormat="1" ht="13" x14ac:dyDescent="0.35">
      <c r="A32" s="59" t="s">
        <v>50</v>
      </c>
      <c r="B32" s="210">
        <v>8</v>
      </c>
      <c r="C32" s="210">
        <v>4</v>
      </c>
      <c r="D32" s="211">
        <f t="shared" si="11"/>
        <v>36.980300000000007</v>
      </c>
      <c r="E32" s="211">
        <v>35.431600000000003</v>
      </c>
      <c r="F32" s="211">
        <v>1.5442</v>
      </c>
      <c r="G32" s="211">
        <v>4.4999999999999997E-3</v>
      </c>
      <c r="H32" s="211">
        <f>I32+J32+K32</f>
        <v>45.277059999999999</v>
      </c>
      <c r="I32" s="211">
        <v>43.059799999999996</v>
      </c>
      <c r="J32" s="211">
        <v>2.21726</v>
      </c>
      <c r="K32" s="211"/>
      <c r="L32" s="211">
        <f>M32+N32+O32</f>
        <v>46.2761</v>
      </c>
      <c r="M32" s="211">
        <v>44.232199999999999</v>
      </c>
      <c r="N32" s="211">
        <v>2.0439000000000003</v>
      </c>
      <c r="O32" s="211"/>
      <c r="P32" s="211">
        <f>Q32+R32+S32</f>
        <v>47.69959999999999</v>
      </c>
      <c r="Q32" s="211">
        <v>45.806899999999992</v>
      </c>
      <c r="R32" s="211">
        <v>1.8926999999999998</v>
      </c>
      <c r="S32" s="211"/>
      <c r="T32" s="211">
        <f>U32+V32+W32</f>
        <v>49.4084</v>
      </c>
      <c r="U32" s="211">
        <v>47.545700000000004</v>
      </c>
      <c r="V32" s="211">
        <v>1.8626999999999998</v>
      </c>
      <c r="W32" s="213"/>
      <c r="X32" s="208"/>
      <c r="Y32" s="208"/>
      <c r="Z32" s="208"/>
      <c r="AA32" s="55"/>
      <c r="AB32" s="55"/>
      <c r="AC32" s="55"/>
      <c r="AD32" s="55"/>
      <c r="AE32" s="55"/>
      <c r="AF32" s="55"/>
      <c r="AG32" s="55"/>
      <c r="AH32" s="55"/>
      <c r="AI32" s="55"/>
      <c r="AJ32" s="55"/>
      <c r="AK32" s="55"/>
      <c r="AL32" s="55"/>
      <c r="AM32" s="55"/>
      <c r="AN32" s="55"/>
    </row>
    <row r="33" spans="1:40" ht="13" x14ac:dyDescent="0.35">
      <c r="A33" s="215" t="s">
        <v>51</v>
      </c>
      <c r="B33" s="205">
        <v>9</v>
      </c>
      <c r="C33" s="205"/>
      <c r="D33" s="206">
        <f t="shared" si="11"/>
        <v>83.557900000000004</v>
      </c>
      <c r="E33" s="206">
        <f>E34</f>
        <v>79.973200000000006</v>
      </c>
      <c r="F33" s="206">
        <f>F34</f>
        <v>3.2479</v>
      </c>
      <c r="G33" s="206">
        <f>G34</f>
        <v>0.33679999999999999</v>
      </c>
      <c r="H33" s="206">
        <f t="shared" ref="H33:W33" si="20">H34</f>
        <v>88.381455070000001</v>
      </c>
      <c r="I33" s="206">
        <f t="shared" si="20"/>
        <v>84.323055069999995</v>
      </c>
      <c r="J33" s="206">
        <f t="shared" si="20"/>
        <v>3.8904000000000001</v>
      </c>
      <c r="K33" s="206">
        <f t="shared" si="20"/>
        <v>0.16799999999999998</v>
      </c>
      <c r="L33" s="206">
        <f t="shared" si="20"/>
        <v>91.633200000000002</v>
      </c>
      <c r="M33" s="206">
        <f t="shared" si="20"/>
        <v>88.197299999999998</v>
      </c>
      <c r="N33" s="206">
        <f t="shared" si="20"/>
        <v>3.2359</v>
      </c>
      <c r="O33" s="206">
        <f t="shared" si="20"/>
        <v>0.2</v>
      </c>
      <c r="P33" s="206">
        <f t="shared" si="20"/>
        <v>94.835900000000009</v>
      </c>
      <c r="Q33" s="206">
        <f t="shared" si="20"/>
        <v>91.4</v>
      </c>
      <c r="R33" s="206">
        <f t="shared" si="20"/>
        <v>3.2359</v>
      </c>
      <c r="S33" s="206">
        <f t="shared" si="20"/>
        <v>0.2</v>
      </c>
      <c r="T33" s="206">
        <f t="shared" si="20"/>
        <v>98.335900000000009</v>
      </c>
      <c r="U33" s="206">
        <f t="shared" si="20"/>
        <v>94.9</v>
      </c>
      <c r="V33" s="206">
        <f t="shared" si="20"/>
        <v>3.2359</v>
      </c>
      <c r="W33" s="207">
        <f t="shared" si="20"/>
        <v>0.2</v>
      </c>
      <c r="AA33" s="214"/>
      <c r="AB33" s="214"/>
      <c r="AC33" s="214"/>
      <c r="AD33" s="214"/>
      <c r="AE33" s="214"/>
      <c r="AF33" s="214"/>
      <c r="AG33" s="214"/>
      <c r="AH33" s="214"/>
      <c r="AI33" s="214"/>
      <c r="AJ33" s="214"/>
      <c r="AK33" s="214"/>
      <c r="AL33" s="214"/>
      <c r="AM33" s="214"/>
      <c r="AN33" s="214"/>
    </row>
    <row r="34" spans="1:40" s="56" customFormat="1" ht="13" x14ac:dyDescent="0.35">
      <c r="A34" s="59" t="s">
        <v>52</v>
      </c>
      <c r="B34" s="210">
        <v>9</v>
      </c>
      <c r="C34" s="210">
        <v>9</v>
      </c>
      <c r="D34" s="211">
        <f t="shared" si="11"/>
        <v>83.557900000000004</v>
      </c>
      <c r="E34" s="211">
        <v>79.973200000000006</v>
      </c>
      <c r="F34" s="211">
        <v>3.2479</v>
      </c>
      <c r="G34" s="211">
        <v>0.33679999999999999</v>
      </c>
      <c r="H34" s="211">
        <f>I34+J34+K34</f>
        <v>88.381455070000001</v>
      </c>
      <c r="I34" s="211">
        <v>84.323055069999995</v>
      </c>
      <c r="J34" s="211">
        <v>3.8904000000000001</v>
      </c>
      <c r="K34" s="211">
        <v>0.16799999999999998</v>
      </c>
      <c r="L34" s="211">
        <f>M34+N34+O34</f>
        <v>91.633200000000002</v>
      </c>
      <c r="M34" s="211">
        <v>88.197299999999998</v>
      </c>
      <c r="N34" s="211">
        <v>3.2359</v>
      </c>
      <c r="O34" s="211">
        <v>0.2</v>
      </c>
      <c r="P34" s="211">
        <f>Q34+R34+S34</f>
        <v>94.835900000000009</v>
      </c>
      <c r="Q34" s="211">
        <v>91.4</v>
      </c>
      <c r="R34" s="211">
        <v>3.2359</v>
      </c>
      <c r="S34" s="211">
        <v>0.2</v>
      </c>
      <c r="T34" s="211">
        <f>U34+V34+W34</f>
        <v>98.335900000000009</v>
      </c>
      <c r="U34" s="211">
        <v>94.9</v>
      </c>
      <c r="V34" s="211">
        <v>3.2359</v>
      </c>
      <c r="W34" s="213">
        <v>0.2</v>
      </c>
      <c r="X34" s="198"/>
      <c r="Y34" s="198"/>
      <c r="Z34" s="198"/>
      <c r="AA34" s="55"/>
      <c r="AB34" s="55"/>
      <c r="AC34" s="55"/>
      <c r="AD34" s="55"/>
      <c r="AE34" s="55"/>
      <c r="AF34" s="55"/>
      <c r="AG34" s="55"/>
      <c r="AH34" s="55"/>
      <c r="AI34" s="55"/>
      <c r="AJ34" s="55"/>
      <c r="AK34" s="55"/>
      <c r="AL34" s="55"/>
      <c r="AM34" s="55"/>
      <c r="AN34" s="55"/>
    </row>
    <row r="35" spans="1:40" ht="13" x14ac:dyDescent="0.35">
      <c r="A35" s="215" t="s">
        <v>58</v>
      </c>
      <c r="B35" s="205">
        <v>11</v>
      </c>
      <c r="C35" s="205"/>
      <c r="D35" s="206">
        <f>D36</f>
        <v>15.803699999999999</v>
      </c>
      <c r="E35" s="206">
        <f>E36</f>
        <v>15.1952</v>
      </c>
      <c r="F35" s="206">
        <f>F36</f>
        <v>0.60850000000000004</v>
      </c>
      <c r="G35" s="206">
        <f>G36</f>
        <v>0</v>
      </c>
      <c r="H35" s="206">
        <f t="shared" ref="H35:W35" si="21">H36</f>
        <v>16.523299999999999</v>
      </c>
      <c r="I35" s="206">
        <f t="shared" si="21"/>
        <v>15.9725</v>
      </c>
      <c r="J35" s="206">
        <f t="shared" si="21"/>
        <v>0.55079999999999996</v>
      </c>
      <c r="K35" s="206">
        <f t="shared" si="21"/>
        <v>0</v>
      </c>
      <c r="L35" s="206">
        <f t="shared" si="21"/>
        <v>18.329199999999997</v>
      </c>
      <c r="M35" s="206">
        <f t="shared" si="21"/>
        <v>17.208599999999997</v>
      </c>
      <c r="N35" s="206">
        <f t="shared" si="21"/>
        <v>1.1205999999999998</v>
      </c>
      <c r="O35" s="206">
        <f t="shared" si="21"/>
        <v>0</v>
      </c>
      <c r="P35" s="206">
        <f t="shared" si="21"/>
        <v>18.2348</v>
      </c>
      <c r="Q35" s="206">
        <f t="shared" si="21"/>
        <v>17.8</v>
      </c>
      <c r="R35" s="206">
        <f t="shared" si="21"/>
        <v>0.43480000000000002</v>
      </c>
      <c r="S35" s="206">
        <f t="shared" si="21"/>
        <v>0</v>
      </c>
      <c r="T35" s="206">
        <f t="shared" si="21"/>
        <v>18.934799999999999</v>
      </c>
      <c r="U35" s="206">
        <f t="shared" si="21"/>
        <v>18.5</v>
      </c>
      <c r="V35" s="206">
        <f t="shared" si="21"/>
        <v>0.43480000000000002</v>
      </c>
      <c r="W35" s="207">
        <f t="shared" si="21"/>
        <v>0</v>
      </c>
      <c r="AA35" s="214"/>
      <c r="AB35" s="214"/>
      <c r="AC35" s="214"/>
      <c r="AD35" s="214"/>
      <c r="AE35" s="214"/>
      <c r="AF35" s="214"/>
      <c r="AG35" s="214"/>
      <c r="AH35" s="214"/>
      <c r="AI35" s="214"/>
      <c r="AJ35" s="214"/>
      <c r="AK35" s="214"/>
      <c r="AL35" s="214"/>
      <c r="AM35" s="214"/>
      <c r="AN35" s="214"/>
    </row>
    <row r="36" spans="1:40" s="61" customFormat="1" ht="25" x14ac:dyDescent="0.35">
      <c r="A36" s="59" t="s">
        <v>236</v>
      </c>
      <c r="B36" s="210">
        <v>11</v>
      </c>
      <c r="C36" s="210">
        <v>5</v>
      </c>
      <c r="D36" s="211">
        <f>E36+F36+G36</f>
        <v>15.803699999999999</v>
      </c>
      <c r="E36" s="211">
        <v>15.1952</v>
      </c>
      <c r="F36" s="211">
        <v>0.60850000000000004</v>
      </c>
      <c r="G36" s="211"/>
      <c r="H36" s="211">
        <f>I36+J36+K36</f>
        <v>16.523299999999999</v>
      </c>
      <c r="I36" s="211">
        <v>15.9725</v>
      </c>
      <c r="J36" s="211">
        <v>0.55079999999999996</v>
      </c>
      <c r="K36" s="211"/>
      <c r="L36" s="211">
        <f>M36+N36+O36</f>
        <v>18.329199999999997</v>
      </c>
      <c r="M36" s="211">
        <v>17.208599999999997</v>
      </c>
      <c r="N36" s="211">
        <v>1.1205999999999998</v>
      </c>
      <c r="O36" s="211"/>
      <c r="P36" s="211">
        <f>Q36+R36+S36</f>
        <v>18.2348</v>
      </c>
      <c r="Q36" s="211">
        <v>17.8</v>
      </c>
      <c r="R36" s="211">
        <v>0.43480000000000002</v>
      </c>
      <c r="S36" s="211"/>
      <c r="T36" s="211">
        <f>U36+V36+W36</f>
        <v>18.934799999999999</v>
      </c>
      <c r="U36" s="211">
        <v>18.5</v>
      </c>
      <c r="V36" s="211">
        <v>0.43480000000000002</v>
      </c>
      <c r="W36" s="213"/>
      <c r="X36" s="217"/>
      <c r="Y36" s="217"/>
      <c r="Z36" s="217"/>
      <c r="AA36" s="60"/>
      <c r="AB36" s="60"/>
      <c r="AC36" s="60"/>
      <c r="AD36" s="60"/>
      <c r="AE36" s="60"/>
      <c r="AF36" s="60"/>
      <c r="AG36" s="60"/>
      <c r="AH36" s="60"/>
      <c r="AI36" s="60"/>
      <c r="AJ36" s="60"/>
      <c r="AK36" s="60"/>
      <c r="AL36" s="60"/>
      <c r="AM36" s="60"/>
      <c r="AN36" s="60"/>
    </row>
    <row r="37" spans="1:40" s="223" customFormat="1" ht="13" hidden="1" x14ac:dyDescent="0.35">
      <c r="A37" s="218" t="s">
        <v>53</v>
      </c>
      <c r="B37" s="219">
        <v>12</v>
      </c>
      <c r="C37" s="219"/>
      <c r="D37" s="220">
        <f t="shared" si="11"/>
        <v>0</v>
      </c>
      <c r="E37" s="220">
        <f>E38</f>
        <v>0</v>
      </c>
      <c r="F37" s="220">
        <f>F38</f>
        <v>0</v>
      </c>
      <c r="G37" s="220">
        <f>G38</f>
        <v>0</v>
      </c>
      <c r="H37" s="220">
        <f t="shared" ref="H37:W37" si="22">H38</f>
        <v>0</v>
      </c>
      <c r="I37" s="220">
        <f t="shared" si="22"/>
        <v>0</v>
      </c>
      <c r="J37" s="220">
        <f t="shared" si="22"/>
        <v>0</v>
      </c>
      <c r="K37" s="220">
        <f t="shared" si="22"/>
        <v>0</v>
      </c>
      <c r="L37" s="220">
        <f t="shared" si="22"/>
        <v>0</v>
      </c>
      <c r="M37" s="220">
        <f t="shared" si="22"/>
        <v>0</v>
      </c>
      <c r="N37" s="220">
        <f t="shared" si="22"/>
        <v>0</v>
      </c>
      <c r="O37" s="220">
        <f t="shared" si="22"/>
        <v>0</v>
      </c>
      <c r="P37" s="220">
        <f t="shared" si="22"/>
        <v>0</v>
      </c>
      <c r="Q37" s="220">
        <f t="shared" si="22"/>
        <v>0</v>
      </c>
      <c r="R37" s="220">
        <f t="shared" si="22"/>
        <v>0</v>
      </c>
      <c r="S37" s="220">
        <f t="shared" si="22"/>
        <v>0</v>
      </c>
      <c r="T37" s="220">
        <f t="shared" si="22"/>
        <v>0</v>
      </c>
      <c r="U37" s="220">
        <f t="shared" si="22"/>
        <v>0</v>
      </c>
      <c r="V37" s="220">
        <f t="shared" si="22"/>
        <v>0</v>
      </c>
      <c r="W37" s="221">
        <f t="shared" si="22"/>
        <v>0</v>
      </c>
      <c r="X37" s="222"/>
      <c r="Y37" s="222"/>
      <c r="Z37" s="222"/>
    </row>
    <row r="38" spans="1:40" ht="25" hidden="1" x14ac:dyDescent="0.35">
      <c r="A38" s="224" t="s">
        <v>54</v>
      </c>
      <c r="B38" s="210">
        <v>12</v>
      </c>
      <c r="C38" s="210">
        <v>4</v>
      </c>
      <c r="D38" s="225">
        <f t="shared" si="11"/>
        <v>0</v>
      </c>
      <c r="E38" s="225"/>
      <c r="F38" s="225"/>
      <c r="G38" s="225"/>
      <c r="H38" s="225">
        <f t="shared" ref="H38" si="23">SUM(I38:K38)</f>
        <v>0</v>
      </c>
      <c r="I38" s="225"/>
      <c r="J38" s="225"/>
      <c r="K38" s="225"/>
      <c r="L38" s="225">
        <f>M38+N38+O38</f>
        <v>0</v>
      </c>
      <c r="M38" s="225"/>
      <c r="N38" s="225"/>
      <c r="O38" s="225"/>
      <c r="P38" s="225">
        <f>Q38+R38+S38</f>
        <v>0</v>
      </c>
      <c r="Q38" s="225"/>
      <c r="R38" s="225"/>
      <c r="S38" s="225"/>
      <c r="T38" s="225">
        <f>U38+V38+W38</f>
        <v>0</v>
      </c>
      <c r="U38" s="225"/>
      <c r="V38" s="225">
        <f>W38+X38+Y38</f>
        <v>0</v>
      </c>
      <c r="W38" s="226"/>
    </row>
    <row r="39" spans="1:40" ht="13.5" thickBot="1" x14ac:dyDescent="0.4">
      <c r="A39" s="62" t="s">
        <v>55</v>
      </c>
      <c r="B39" s="63"/>
      <c r="C39" s="63"/>
      <c r="D39" s="64">
        <f>D9+D17+D19+D26+D28+D31+D33+D37+D35</f>
        <v>1780.9694999999999</v>
      </c>
      <c r="E39" s="64">
        <f>E9+E17+E19+E26+E28+E31+E33+E37+E35</f>
        <v>1629.6597999999999</v>
      </c>
      <c r="F39" s="64">
        <f t="shared" ref="F39:W39" si="24">F9+F17+F19+F26+F28+F31+F33+F37+F35</f>
        <v>146.66269999999997</v>
      </c>
      <c r="G39" s="64">
        <f t="shared" si="24"/>
        <v>4.6470000000000002</v>
      </c>
      <c r="H39" s="64">
        <f t="shared" si="24"/>
        <v>1901.2210321799998</v>
      </c>
      <c r="I39" s="64">
        <f>I9+I17+I19+I26+I28+I31+I33+I37+I35</f>
        <v>1719.7121407300001</v>
      </c>
      <c r="J39" s="64">
        <f t="shared" si="24"/>
        <v>177.39158540000003</v>
      </c>
      <c r="K39" s="64">
        <f t="shared" si="24"/>
        <v>4.1173060499999998</v>
      </c>
      <c r="L39" s="64">
        <f t="shared" si="24"/>
        <v>1959.6859999999999</v>
      </c>
      <c r="M39" s="64">
        <f t="shared" si="24"/>
        <v>1811.2493999999999</v>
      </c>
      <c r="N39" s="64">
        <f t="shared" si="24"/>
        <v>146.0504</v>
      </c>
      <c r="O39" s="64">
        <f>O9+O17+O19+O26+O28+O31+O33+O37+O35</f>
        <v>2.3862000000000005</v>
      </c>
      <c r="P39" s="64">
        <f t="shared" si="24"/>
        <v>2005.0178000000001</v>
      </c>
      <c r="Q39" s="64">
        <f t="shared" si="24"/>
        <v>1868.7059000000002</v>
      </c>
      <c r="R39" s="64">
        <f t="shared" si="24"/>
        <v>133.85119999999998</v>
      </c>
      <c r="S39" s="64">
        <f t="shared" si="24"/>
        <v>2.4607000000000006</v>
      </c>
      <c r="T39" s="64">
        <f t="shared" si="24"/>
        <v>2072.7495999999996</v>
      </c>
      <c r="U39" s="64">
        <f t="shared" si="24"/>
        <v>1936.2496000000001</v>
      </c>
      <c r="V39" s="64">
        <f t="shared" si="24"/>
        <v>134.02329999999998</v>
      </c>
      <c r="W39" s="65">
        <f t="shared" si="24"/>
        <v>2.4767000000000006</v>
      </c>
    </row>
    <row r="40" spans="1:40" ht="13" thickTop="1" x14ac:dyDescent="0.35">
      <c r="L40" s="227"/>
      <c r="M40" s="227"/>
    </row>
  </sheetData>
  <mergeCells count="19">
    <mergeCell ref="H5:K5"/>
    <mergeCell ref="D6:D7"/>
    <mergeCell ref="E6:G6"/>
    <mergeCell ref="A3:W3"/>
    <mergeCell ref="I6:K6"/>
    <mergeCell ref="T5:W5"/>
    <mergeCell ref="H6:H7"/>
    <mergeCell ref="L6:L7"/>
    <mergeCell ref="M6:O6"/>
    <mergeCell ref="P6:P7"/>
    <mergeCell ref="Q6:S6"/>
    <mergeCell ref="T6:T7"/>
    <mergeCell ref="U6:W6"/>
    <mergeCell ref="L5:O5"/>
    <mergeCell ref="P5:S5"/>
    <mergeCell ref="A5:A7"/>
    <mergeCell ref="B5:B7"/>
    <mergeCell ref="C5:C7"/>
    <mergeCell ref="D5:G5"/>
  </mergeCells>
  <pageMargins left="0.39370078740157483" right="0.39370078740157483" top="0.74803149606299213" bottom="0.74803149606299213" header="0.31496062992125984" footer="0.31496062992125984"/>
  <pageSetup paperSize="9" scale="59" fitToHeight="0" orientation="landscape" r:id="rId1"/>
  <headerFooter>
    <oddFooter>&amp;C&amp;P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P31"/>
  <sheetViews>
    <sheetView zoomScaleNormal="100" workbookViewId="0">
      <selection activeCell="M2" sqref="M2"/>
    </sheetView>
  </sheetViews>
  <sheetFormatPr defaultColWidth="9.1796875" defaultRowHeight="12.5" x14ac:dyDescent="0.35"/>
  <cols>
    <col min="1" max="1" width="35.54296875" style="118" customWidth="1"/>
    <col min="2" max="2" width="12.26953125" style="119" hidden="1" customWidth="1"/>
    <col min="3" max="4" width="12.1796875" style="120" customWidth="1"/>
    <col min="5" max="5" width="12.26953125" style="119" customWidth="1"/>
    <col min="6" max="6" width="11.26953125" style="119" bestFit="1" customWidth="1"/>
    <col min="7" max="7" width="9.453125" style="119" bestFit="1" customWidth="1"/>
    <col min="8" max="9" width="12.26953125" style="119" customWidth="1"/>
    <col min="10" max="10" width="10.26953125" style="119" hidden="1" customWidth="1"/>
    <col min="11" max="12" width="10.26953125" style="119" bestFit="1" customWidth="1"/>
    <col min="13" max="14" width="7.54296875" style="119" customWidth="1"/>
    <col min="15" max="15" width="7.453125" style="119" customWidth="1"/>
    <col min="16" max="16" width="17.453125" style="119" customWidth="1"/>
    <col min="17" max="16384" width="9.1796875" style="119"/>
  </cols>
  <sheetData>
    <row r="1" spans="1:16" ht="13.15" customHeight="1" x14ac:dyDescent="0.35">
      <c r="M1" s="494" t="s">
        <v>562</v>
      </c>
      <c r="N1" s="494"/>
      <c r="O1" s="494"/>
    </row>
    <row r="3" spans="1:16" s="118" customFormat="1" ht="34.5" customHeight="1" x14ac:dyDescent="0.35">
      <c r="A3" s="495" t="s">
        <v>564</v>
      </c>
      <c r="B3" s="495"/>
      <c r="C3" s="495"/>
      <c r="D3" s="495"/>
      <c r="E3" s="495"/>
      <c r="F3" s="495"/>
      <c r="G3" s="495"/>
      <c r="H3" s="495"/>
      <c r="I3" s="495"/>
      <c r="J3" s="495"/>
      <c r="K3" s="495"/>
      <c r="L3" s="495"/>
      <c r="M3" s="495"/>
      <c r="N3" s="495"/>
      <c r="O3" s="495"/>
    </row>
    <row r="4" spans="1:16" s="118" customFormat="1" ht="13.5" thickBot="1" x14ac:dyDescent="0.4">
      <c r="A4" s="113"/>
      <c r="B4" s="113"/>
      <c r="C4" s="18"/>
      <c r="D4" s="18"/>
      <c r="E4" s="113"/>
      <c r="F4" s="113"/>
      <c r="G4" s="113"/>
      <c r="H4" s="113"/>
      <c r="I4" s="113"/>
      <c r="J4" s="113"/>
      <c r="K4" s="113"/>
      <c r="L4" s="113"/>
      <c r="M4" s="113"/>
    </row>
    <row r="5" spans="1:16" s="118" customFormat="1" ht="30" customHeight="1" thickTop="1" x14ac:dyDescent="0.35">
      <c r="A5" s="487" t="s">
        <v>245</v>
      </c>
      <c r="B5" s="496" t="s">
        <v>244</v>
      </c>
      <c r="C5" s="496"/>
      <c r="D5" s="496"/>
      <c r="E5" s="496"/>
      <c r="F5" s="496"/>
      <c r="G5" s="496"/>
      <c r="H5" s="496"/>
      <c r="I5" s="496"/>
      <c r="J5" s="496" t="s">
        <v>210</v>
      </c>
      <c r="K5" s="496"/>
      <c r="L5" s="496"/>
      <c r="M5" s="496"/>
      <c r="N5" s="496"/>
      <c r="O5" s="497"/>
    </row>
    <row r="6" spans="1:16" s="121" customFormat="1" ht="49.5" customHeight="1" x14ac:dyDescent="0.35">
      <c r="A6" s="488"/>
      <c r="B6" s="490" t="s">
        <v>456</v>
      </c>
      <c r="C6" s="490" t="s">
        <v>457</v>
      </c>
      <c r="D6" s="492" t="s">
        <v>458</v>
      </c>
      <c r="E6" s="490" t="s">
        <v>243</v>
      </c>
      <c r="F6" s="498" t="s">
        <v>451</v>
      </c>
      <c r="G6" s="499"/>
      <c r="H6" s="490" t="s">
        <v>416</v>
      </c>
      <c r="I6" s="490" t="s">
        <v>452</v>
      </c>
      <c r="J6" s="502" t="s">
        <v>423</v>
      </c>
      <c r="K6" s="502" t="s">
        <v>459</v>
      </c>
      <c r="L6" s="502" t="s">
        <v>460</v>
      </c>
      <c r="M6" s="490" t="s">
        <v>243</v>
      </c>
      <c r="N6" s="490" t="s">
        <v>416</v>
      </c>
      <c r="O6" s="500" t="s">
        <v>452</v>
      </c>
    </row>
    <row r="7" spans="1:16" s="121" customFormat="1" ht="13" x14ac:dyDescent="0.35">
      <c r="A7" s="489"/>
      <c r="B7" s="491"/>
      <c r="C7" s="491"/>
      <c r="D7" s="493"/>
      <c r="E7" s="491"/>
      <c r="F7" s="50" t="s">
        <v>424</v>
      </c>
      <c r="G7" s="50" t="s">
        <v>13</v>
      </c>
      <c r="H7" s="491"/>
      <c r="I7" s="491"/>
      <c r="J7" s="503"/>
      <c r="K7" s="503"/>
      <c r="L7" s="503"/>
      <c r="M7" s="491"/>
      <c r="N7" s="491"/>
      <c r="O7" s="501"/>
    </row>
    <row r="8" spans="1:16" s="122" customFormat="1" ht="13" x14ac:dyDescent="0.35">
      <c r="A8" s="51" t="s">
        <v>17</v>
      </c>
      <c r="B8" s="52"/>
      <c r="C8" s="53">
        <v>1</v>
      </c>
      <c r="D8" s="53">
        <v>2</v>
      </c>
      <c r="E8" s="52">
        <v>3</v>
      </c>
      <c r="F8" s="53" t="s">
        <v>425</v>
      </c>
      <c r="G8" s="53" t="s">
        <v>453</v>
      </c>
      <c r="H8" s="52">
        <v>6</v>
      </c>
      <c r="I8" s="52">
        <v>7</v>
      </c>
      <c r="J8" s="52"/>
      <c r="K8" s="52">
        <v>8</v>
      </c>
      <c r="L8" s="52">
        <v>9</v>
      </c>
      <c r="M8" s="52">
        <v>10</v>
      </c>
      <c r="N8" s="52">
        <v>11</v>
      </c>
      <c r="O8" s="54">
        <v>12</v>
      </c>
    </row>
    <row r="9" spans="1:16" ht="25" x14ac:dyDescent="0.35">
      <c r="A9" s="123" t="s">
        <v>211</v>
      </c>
      <c r="B9" s="124">
        <v>9476.2739999999994</v>
      </c>
      <c r="C9" s="125">
        <v>9849.6</v>
      </c>
      <c r="D9" s="125">
        <v>70490.995120000007</v>
      </c>
      <c r="E9" s="124">
        <v>52046.5</v>
      </c>
      <c r="F9" s="124">
        <f>E9-D9</f>
        <v>-18444.495120000007</v>
      </c>
      <c r="G9" s="124">
        <f>E9/D9%-100</f>
        <v>-26.165746544790736</v>
      </c>
      <c r="H9" s="124">
        <v>29003.3</v>
      </c>
      <c r="I9" s="124">
        <v>29687.599999999999</v>
      </c>
      <c r="J9" s="126">
        <v>2</v>
      </c>
      <c r="K9" s="126">
        <v>2</v>
      </c>
      <c r="L9" s="126">
        <v>2</v>
      </c>
      <c r="M9" s="127">
        <v>2</v>
      </c>
      <c r="N9" s="127">
        <v>2</v>
      </c>
      <c r="O9" s="128">
        <v>2</v>
      </c>
      <c r="P9" s="129">
        <f>M9-L9</f>
        <v>0</v>
      </c>
    </row>
    <row r="10" spans="1:16" ht="25" x14ac:dyDescent="0.35">
      <c r="A10" s="123" t="s">
        <v>212</v>
      </c>
      <c r="B10" s="124">
        <v>313071.62857</v>
      </c>
      <c r="C10" s="125">
        <v>460009.33214999997</v>
      </c>
      <c r="D10" s="125">
        <v>500409.32156000001</v>
      </c>
      <c r="E10" s="124">
        <v>564806.9</v>
      </c>
      <c r="F10" s="124">
        <f t="shared" ref="F10:F25" si="0">E10-D10</f>
        <v>64397.578440000012</v>
      </c>
      <c r="G10" s="124">
        <f t="shared" ref="G10:G26" si="1">E10/D10%-100</f>
        <v>12.868980585582207</v>
      </c>
      <c r="H10" s="124">
        <v>571335.00000000012</v>
      </c>
      <c r="I10" s="124">
        <v>584429.69999999995</v>
      </c>
      <c r="J10" s="126">
        <v>2</v>
      </c>
      <c r="K10" s="126">
        <v>2</v>
      </c>
      <c r="L10" s="126">
        <v>2</v>
      </c>
      <c r="M10" s="126">
        <v>2</v>
      </c>
      <c r="N10" s="126">
        <v>2</v>
      </c>
      <c r="O10" s="130">
        <v>2</v>
      </c>
      <c r="P10" s="129">
        <f t="shared" ref="P10:P26" si="2">M10-L10</f>
        <v>0</v>
      </c>
    </row>
    <row r="11" spans="1:16" x14ac:dyDescent="0.35">
      <c r="A11" s="123" t="s">
        <v>213</v>
      </c>
      <c r="B11" s="124">
        <v>2896655.6592399999</v>
      </c>
      <c r="C11" s="125">
        <v>3482496.0279100002</v>
      </c>
      <c r="D11" s="125">
        <v>4083638.1039999998</v>
      </c>
      <c r="E11" s="124">
        <v>4375950.3000000007</v>
      </c>
      <c r="F11" s="124">
        <f t="shared" si="0"/>
        <v>292312.19600000093</v>
      </c>
      <c r="G11" s="124">
        <f t="shared" si="1"/>
        <v>7.1581317578968537</v>
      </c>
      <c r="H11" s="124">
        <v>4586298.5999999996</v>
      </c>
      <c r="I11" s="124">
        <v>4832910.5984999994</v>
      </c>
      <c r="J11" s="126">
        <v>63</v>
      </c>
      <c r="K11" s="127">
        <v>62</v>
      </c>
      <c r="L11" s="127">
        <v>61</v>
      </c>
      <c r="M11" s="127">
        <v>61</v>
      </c>
      <c r="N11" s="43">
        <v>61</v>
      </c>
      <c r="O11" s="44">
        <v>61</v>
      </c>
      <c r="P11" s="129">
        <f t="shared" si="2"/>
        <v>0</v>
      </c>
    </row>
    <row r="12" spans="1:16" ht="25" x14ac:dyDescent="0.35">
      <c r="A12" s="131" t="s">
        <v>214</v>
      </c>
      <c r="B12" s="124">
        <v>3342.721</v>
      </c>
      <c r="C12" s="125">
        <v>4281.8999999999996</v>
      </c>
      <c r="D12" s="125">
        <v>4573.3999999999996</v>
      </c>
      <c r="E12" s="124">
        <v>4830.5</v>
      </c>
      <c r="F12" s="124">
        <f t="shared" si="0"/>
        <v>257.10000000000036</v>
      </c>
      <c r="G12" s="124">
        <f t="shared" si="1"/>
        <v>5.6216381685398318</v>
      </c>
      <c r="H12" s="124">
        <v>5510.8</v>
      </c>
      <c r="I12" s="124">
        <v>5700.3</v>
      </c>
      <c r="J12" s="126">
        <v>1</v>
      </c>
      <c r="K12" s="126">
        <v>1</v>
      </c>
      <c r="L12" s="126">
        <v>1</v>
      </c>
      <c r="M12" s="127">
        <v>1</v>
      </c>
      <c r="N12" s="127">
        <v>1</v>
      </c>
      <c r="O12" s="128">
        <v>1</v>
      </c>
      <c r="P12" s="129">
        <f t="shared" si="2"/>
        <v>0</v>
      </c>
    </row>
    <row r="13" spans="1:16" x14ac:dyDescent="0.35">
      <c r="A13" s="123" t="s">
        <v>215</v>
      </c>
      <c r="B13" s="124">
        <v>801512.31946999999</v>
      </c>
      <c r="C13" s="125">
        <v>989170.01560000004</v>
      </c>
      <c r="D13" s="125">
        <v>1120423.6259699999</v>
      </c>
      <c r="E13" s="124">
        <v>1181776</v>
      </c>
      <c r="F13" s="124">
        <f t="shared" si="0"/>
        <v>61352.374030000065</v>
      </c>
      <c r="G13" s="124">
        <f t="shared" si="1"/>
        <v>5.4758193783074347</v>
      </c>
      <c r="H13" s="124">
        <v>1221275.3999999999</v>
      </c>
      <c r="I13" s="124">
        <v>1295004.8999999999</v>
      </c>
      <c r="J13" s="126">
        <v>20</v>
      </c>
      <c r="K13" s="126">
        <v>20</v>
      </c>
      <c r="L13" s="126">
        <v>20</v>
      </c>
      <c r="M13" s="126">
        <v>20</v>
      </c>
      <c r="N13" s="126">
        <v>20</v>
      </c>
      <c r="O13" s="130">
        <v>20</v>
      </c>
      <c r="P13" s="129">
        <f t="shared" si="2"/>
        <v>0</v>
      </c>
    </row>
    <row r="14" spans="1:16" ht="25" x14ac:dyDescent="0.35">
      <c r="A14" s="123" t="s">
        <v>216</v>
      </c>
      <c r="B14" s="124">
        <v>308659.43347000005</v>
      </c>
      <c r="C14" s="125">
        <v>402021.4</v>
      </c>
      <c r="D14" s="125">
        <v>431960.80000000005</v>
      </c>
      <c r="E14" s="124">
        <v>448867.55</v>
      </c>
      <c r="F14" s="124">
        <f t="shared" si="0"/>
        <v>16906.749999999942</v>
      </c>
      <c r="G14" s="124">
        <f t="shared" si="1"/>
        <v>3.9139546921850297</v>
      </c>
      <c r="H14" s="124">
        <v>404748.1</v>
      </c>
      <c r="I14" s="124">
        <v>418820.5</v>
      </c>
      <c r="J14" s="126">
        <v>3</v>
      </c>
      <c r="K14" s="126">
        <v>3</v>
      </c>
      <c r="L14" s="126">
        <v>3</v>
      </c>
      <c r="M14" s="127">
        <v>3</v>
      </c>
      <c r="N14" s="43">
        <v>3</v>
      </c>
      <c r="O14" s="44">
        <v>3</v>
      </c>
      <c r="P14" s="129">
        <f t="shared" si="2"/>
        <v>0</v>
      </c>
    </row>
    <row r="15" spans="1:16" x14ac:dyDescent="0.35">
      <c r="A15" s="123" t="s">
        <v>217</v>
      </c>
      <c r="B15" s="124">
        <v>3364737.4179999996</v>
      </c>
      <c r="C15" s="125">
        <v>3842690.3154099998</v>
      </c>
      <c r="D15" s="125">
        <v>3921446.9270000001</v>
      </c>
      <c r="E15" s="124">
        <v>4322104.9666999998</v>
      </c>
      <c r="F15" s="124">
        <f t="shared" si="0"/>
        <v>400658.03969999962</v>
      </c>
      <c r="G15" s="124">
        <f t="shared" si="1"/>
        <v>10.217097085807367</v>
      </c>
      <c r="H15" s="124">
        <v>4480507.9000000004</v>
      </c>
      <c r="I15" s="124">
        <v>4687277.25</v>
      </c>
      <c r="J15" s="126">
        <v>88</v>
      </c>
      <c r="K15" s="126">
        <f>71+17</f>
        <v>88</v>
      </c>
      <c r="L15" s="126">
        <v>88</v>
      </c>
      <c r="M15" s="126">
        <v>85</v>
      </c>
      <c r="N15" s="126">
        <v>85</v>
      </c>
      <c r="O15" s="130">
        <v>85</v>
      </c>
      <c r="P15" s="129">
        <f t="shared" si="2"/>
        <v>-3</v>
      </c>
    </row>
    <row r="16" spans="1:16" ht="25" x14ac:dyDescent="0.35">
      <c r="A16" s="123" t="s">
        <v>218</v>
      </c>
      <c r="B16" s="124">
        <v>614.6</v>
      </c>
      <c r="C16" s="125">
        <v>614.6</v>
      </c>
      <c r="D16" s="125">
        <v>614.6</v>
      </c>
      <c r="E16" s="124">
        <v>613.79999999999995</v>
      </c>
      <c r="F16" s="124">
        <f t="shared" si="0"/>
        <v>-0.80000000000006821</v>
      </c>
      <c r="G16" s="124">
        <f t="shared" si="1"/>
        <v>-0.13016596160105109</v>
      </c>
      <c r="H16" s="124">
        <v>613.79999999999995</v>
      </c>
      <c r="I16" s="124">
        <v>613.79999999999995</v>
      </c>
      <c r="J16" s="126">
        <v>1</v>
      </c>
      <c r="K16" s="126">
        <v>1</v>
      </c>
      <c r="L16" s="126">
        <v>1</v>
      </c>
      <c r="M16" s="126">
        <v>1</v>
      </c>
      <c r="N16" s="126">
        <v>1</v>
      </c>
      <c r="O16" s="130">
        <v>1</v>
      </c>
      <c r="P16" s="129">
        <f t="shared" si="2"/>
        <v>0</v>
      </c>
    </row>
    <row r="17" spans="1:16" ht="13" x14ac:dyDescent="0.35">
      <c r="A17" s="134" t="s">
        <v>420</v>
      </c>
      <c r="B17" s="124">
        <v>48905.8</v>
      </c>
      <c r="C17" s="125">
        <v>55560.6</v>
      </c>
      <c r="D17" s="125">
        <v>60156.1</v>
      </c>
      <c r="E17" s="124">
        <v>82338</v>
      </c>
      <c r="F17" s="124">
        <f t="shared" si="0"/>
        <v>22181.9</v>
      </c>
      <c r="G17" s="124">
        <f t="shared" si="1"/>
        <v>36.873899737516211</v>
      </c>
      <c r="H17" s="124">
        <v>93654.3</v>
      </c>
      <c r="I17" s="124">
        <v>105107.80000000002</v>
      </c>
      <c r="J17" s="126">
        <v>1</v>
      </c>
      <c r="K17" s="126">
        <v>1</v>
      </c>
      <c r="L17" s="126">
        <v>1</v>
      </c>
      <c r="M17" s="127">
        <v>1</v>
      </c>
      <c r="N17" s="127">
        <v>1</v>
      </c>
      <c r="O17" s="128">
        <v>1</v>
      </c>
      <c r="P17" s="129">
        <f t="shared" si="2"/>
        <v>0</v>
      </c>
    </row>
    <row r="18" spans="1:16" ht="25" x14ac:dyDescent="0.35">
      <c r="A18" s="123" t="s">
        <v>219</v>
      </c>
      <c r="B18" s="124">
        <v>5632.2005799999997</v>
      </c>
      <c r="C18" s="125">
        <v>42915.6</v>
      </c>
      <c r="D18" s="125"/>
      <c r="E18" s="124"/>
      <c r="F18" s="124">
        <f t="shared" si="0"/>
        <v>0</v>
      </c>
      <c r="G18" s="124"/>
      <c r="H18" s="124"/>
      <c r="I18" s="124"/>
      <c r="J18" s="126">
        <v>1</v>
      </c>
      <c r="K18" s="126">
        <v>1</v>
      </c>
      <c r="L18" s="126">
        <v>1</v>
      </c>
      <c r="M18" s="126"/>
      <c r="N18" s="126"/>
      <c r="O18" s="130"/>
      <c r="P18" s="129">
        <f t="shared" si="2"/>
        <v>-1</v>
      </c>
    </row>
    <row r="19" spans="1:16" ht="25" x14ac:dyDescent="0.35">
      <c r="A19" s="123" t="s">
        <v>220</v>
      </c>
      <c r="B19" s="124">
        <v>1746481.0673199999</v>
      </c>
      <c r="C19" s="125">
        <v>2268048.3493400002</v>
      </c>
      <c r="D19" s="125">
        <v>2239076.8569999998</v>
      </c>
      <c r="E19" s="124">
        <v>2410686.0067599998</v>
      </c>
      <c r="F19" s="124">
        <f t="shared" si="0"/>
        <v>171609.14975999994</v>
      </c>
      <c r="G19" s="124">
        <f t="shared" si="1"/>
        <v>7.6642813409240489</v>
      </c>
      <c r="H19" s="124">
        <v>2555905.65888</v>
      </c>
      <c r="I19" s="124">
        <v>2697198.6634999998</v>
      </c>
      <c r="J19" s="126">
        <v>56</v>
      </c>
      <c r="K19" s="126">
        <f>52+3</f>
        <v>55</v>
      </c>
      <c r="L19" s="126">
        <f>49+3</f>
        <v>52</v>
      </c>
      <c r="M19" s="126">
        <v>51</v>
      </c>
      <c r="N19" s="126">
        <v>51</v>
      </c>
      <c r="O19" s="130">
        <v>51</v>
      </c>
      <c r="P19" s="129">
        <f t="shared" si="2"/>
        <v>-1</v>
      </c>
    </row>
    <row r="20" spans="1:16" ht="26" x14ac:dyDescent="0.35">
      <c r="A20" s="134" t="s">
        <v>421</v>
      </c>
      <c r="B20" s="124">
        <v>20421.900000000001</v>
      </c>
      <c r="C20" s="125">
        <v>30107.599999999999</v>
      </c>
      <c r="D20" s="125">
        <v>38739.799999999996</v>
      </c>
      <c r="E20" s="124">
        <v>58100</v>
      </c>
      <c r="F20" s="124">
        <f t="shared" si="0"/>
        <v>19360.200000000004</v>
      </c>
      <c r="G20" s="124">
        <f t="shared" si="1"/>
        <v>49.974961151064292</v>
      </c>
      <c r="H20" s="124">
        <v>31454</v>
      </c>
      <c r="I20" s="124">
        <v>32679</v>
      </c>
      <c r="J20" s="126">
        <v>1</v>
      </c>
      <c r="K20" s="126">
        <v>1</v>
      </c>
      <c r="L20" s="126">
        <v>1</v>
      </c>
      <c r="M20" s="126">
        <v>1</v>
      </c>
      <c r="N20" s="126">
        <v>1</v>
      </c>
      <c r="O20" s="130">
        <v>1</v>
      </c>
      <c r="P20" s="129">
        <f t="shared" si="2"/>
        <v>0</v>
      </c>
    </row>
    <row r="21" spans="1:16" ht="37.5" x14ac:dyDescent="0.35">
      <c r="A21" s="123" t="s">
        <v>221</v>
      </c>
      <c r="B21" s="124">
        <v>146565.1</v>
      </c>
      <c r="C21" s="125">
        <v>171907</v>
      </c>
      <c r="D21" s="125">
        <v>193080.40000000002</v>
      </c>
      <c r="E21" s="124">
        <v>221753</v>
      </c>
      <c r="F21" s="124">
        <f t="shared" si="0"/>
        <v>28672.599999999977</v>
      </c>
      <c r="G21" s="124">
        <f t="shared" si="1"/>
        <v>14.850083177784981</v>
      </c>
      <c r="H21" s="124">
        <v>201798.7</v>
      </c>
      <c r="I21" s="124">
        <v>207037.2</v>
      </c>
      <c r="J21" s="126">
        <v>2</v>
      </c>
      <c r="K21" s="126">
        <v>2</v>
      </c>
      <c r="L21" s="126">
        <v>2</v>
      </c>
      <c r="M21" s="43">
        <v>2</v>
      </c>
      <c r="N21" s="43">
        <v>2</v>
      </c>
      <c r="O21" s="44">
        <v>2</v>
      </c>
      <c r="P21" s="129">
        <f t="shared" si="2"/>
        <v>0</v>
      </c>
    </row>
    <row r="22" spans="1:16" ht="12.75" customHeight="1" x14ac:dyDescent="0.35">
      <c r="A22" s="134" t="s">
        <v>422</v>
      </c>
      <c r="B22" s="124">
        <v>281600.8</v>
      </c>
      <c r="C22" s="125">
        <v>327337.2</v>
      </c>
      <c r="D22" s="125">
        <v>364385.6</v>
      </c>
      <c r="E22" s="124">
        <v>470094.1</v>
      </c>
      <c r="F22" s="124">
        <f t="shared" si="0"/>
        <v>105708.5</v>
      </c>
      <c r="G22" s="124">
        <f t="shared" si="1"/>
        <v>29.010065161740755</v>
      </c>
      <c r="H22" s="124">
        <v>386581.9</v>
      </c>
      <c r="I22" s="124">
        <v>398865.6</v>
      </c>
      <c r="J22" s="126">
        <v>3</v>
      </c>
      <c r="K22" s="126">
        <v>3</v>
      </c>
      <c r="L22" s="126">
        <v>3</v>
      </c>
      <c r="M22" s="126">
        <v>3</v>
      </c>
      <c r="N22" s="126">
        <v>3</v>
      </c>
      <c r="O22" s="130">
        <v>3</v>
      </c>
      <c r="P22" s="129">
        <f t="shared" si="2"/>
        <v>0</v>
      </c>
    </row>
    <row r="23" spans="1:16" ht="25" x14ac:dyDescent="0.35">
      <c r="A23" s="123" t="s">
        <v>222</v>
      </c>
      <c r="B23" s="124">
        <v>85070.399999999994</v>
      </c>
      <c r="C23" s="125">
        <v>104921.8</v>
      </c>
      <c r="D23" s="125">
        <v>127036.64012000001</v>
      </c>
      <c r="E23" s="124">
        <v>156318.30000000002</v>
      </c>
      <c r="F23" s="124">
        <f t="shared" si="0"/>
        <v>29281.659880000007</v>
      </c>
      <c r="G23" s="124">
        <f t="shared" si="1"/>
        <v>23.049775129710824</v>
      </c>
      <c r="H23" s="124">
        <v>128102.8</v>
      </c>
      <c r="I23" s="124">
        <v>130624.90000000001</v>
      </c>
      <c r="J23" s="126">
        <v>24</v>
      </c>
      <c r="K23" s="127">
        <v>24</v>
      </c>
      <c r="L23" s="127">
        <v>24</v>
      </c>
      <c r="M23" s="126">
        <v>24</v>
      </c>
      <c r="N23" s="126">
        <v>24</v>
      </c>
      <c r="O23" s="130">
        <v>24</v>
      </c>
      <c r="P23" s="129">
        <f t="shared" si="2"/>
        <v>0</v>
      </c>
    </row>
    <row r="24" spans="1:16" x14ac:dyDescent="0.35">
      <c r="A24" s="123" t="s">
        <v>223</v>
      </c>
      <c r="B24" s="124">
        <v>8895.4912399999994</v>
      </c>
      <c r="C24" s="125">
        <v>15413.40056</v>
      </c>
      <c r="D24" s="125">
        <v>19502.3</v>
      </c>
      <c r="E24" s="124">
        <v>21892.3</v>
      </c>
      <c r="F24" s="124">
        <f t="shared" si="0"/>
        <v>2390</v>
      </c>
      <c r="G24" s="124">
        <f t="shared" si="1"/>
        <v>12.254964799023696</v>
      </c>
      <c r="H24" s="124">
        <v>17895.3</v>
      </c>
      <c r="I24" s="124">
        <v>18634</v>
      </c>
      <c r="J24" s="126">
        <v>1</v>
      </c>
      <c r="K24" s="126">
        <v>1</v>
      </c>
      <c r="L24" s="126">
        <v>1</v>
      </c>
      <c r="M24" s="126">
        <v>1</v>
      </c>
      <c r="N24" s="126">
        <v>1</v>
      </c>
      <c r="O24" s="130">
        <v>1</v>
      </c>
      <c r="P24" s="129">
        <f t="shared" si="2"/>
        <v>0</v>
      </c>
    </row>
    <row r="25" spans="1:16" ht="25" x14ac:dyDescent="0.35">
      <c r="A25" s="123" t="s">
        <v>224</v>
      </c>
      <c r="B25" s="124">
        <v>144106.31200000001</v>
      </c>
      <c r="C25" s="125">
        <v>166442.4</v>
      </c>
      <c r="D25" s="125">
        <v>171173.6004</v>
      </c>
      <c r="E25" s="124">
        <v>233063.40000000005</v>
      </c>
      <c r="F25" s="124">
        <f t="shared" si="0"/>
        <v>61889.799600000057</v>
      </c>
      <c r="G25" s="124">
        <f t="shared" si="1"/>
        <v>36.156159276532975</v>
      </c>
      <c r="H25" s="124">
        <v>243989.4</v>
      </c>
      <c r="I25" s="124">
        <v>257719.69999999995</v>
      </c>
      <c r="J25" s="126">
        <v>23</v>
      </c>
      <c r="K25" s="126">
        <v>23</v>
      </c>
      <c r="L25" s="126">
        <v>23</v>
      </c>
      <c r="M25" s="126">
        <v>23</v>
      </c>
      <c r="N25" s="127">
        <v>23</v>
      </c>
      <c r="O25" s="128">
        <v>23</v>
      </c>
      <c r="P25" s="129">
        <f t="shared" si="2"/>
        <v>0</v>
      </c>
    </row>
    <row r="26" spans="1:16" ht="13.5" thickBot="1" x14ac:dyDescent="0.4">
      <c r="A26" s="45" t="s">
        <v>60</v>
      </c>
      <c r="B26" s="46">
        <f t="shared" ref="B26:O26" si="3">SUM(B9:B25)</f>
        <v>10185749.124890001</v>
      </c>
      <c r="C26" s="46">
        <f t="shared" si="3"/>
        <v>12373787.140970001</v>
      </c>
      <c r="D26" s="46">
        <f t="shared" si="3"/>
        <v>13346709.071170002</v>
      </c>
      <c r="E26" s="46">
        <f t="shared" si="3"/>
        <v>14605241.623460002</v>
      </c>
      <c r="F26" s="46">
        <f t="shared" ref="F26" si="4">E26-C26</f>
        <v>2231454.4824900012</v>
      </c>
      <c r="G26" s="46">
        <f t="shared" si="1"/>
        <v>9.4295346184516262</v>
      </c>
      <c r="H26" s="46">
        <f t="shared" si="3"/>
        <v>14958674.958880004</v>
      </c>
      <c r="I26" s="46">
        <f t="shared" si="3"/>
        <v>15702311.511999998</v>
      </c>
      <c r="J26" s="47">
        <f t="shared" si="3"/>
        <v>292</v>
      </c>
      <c r="K26" s="47">
        <f>SUM(K9:K25)</f>
        <v>290</v>
      </c>
      <c r="L26" s="47">
        <f t="shared" si="3"/>
        <v>286</v>
      </c>
      <c r="M26" s="47">
        <f t="shared" si="3"/>
        <v>281</v>
      </c>
      <c r="N26" s="47">
        <f t="shared" si="3"/>
        <v>281</v>
      </c>
      <c r="O26" s="48">
        <f t="shared" si="3"/>
        <v>281</v>
      </c>
      <c r="P26" s="129">
        <f t="shared" si="2"/>
        <v>-5</v>
      </c>
    </row>
    <row r="27" spans="1:16" ht="13" thickTop="1" x14ac:dyDescent="0.35">
      <c r="C27" s="119"/>
      <c r="D27" s="119"/>
      <c r="E27" s="49"/>
      <c r="F27" s="49"/>
      <c r="G27" s="49"/>
    </row>
    <row r="29" spans="1:16" ht="14.5" x14ac:dyDescent="0.35">
      <c r="A29" s="132" t="s">
        <v>454</v>
      </c>
      <c r="B29" s="119">
        <v>12161105.7566</v>
      </c>
      <c r="C29" s="120">
        <v>15520235.561329998</v>
      </c>
      <c r="D29" s="120">
        <v>17552433.706299998</v>
      </c>
      <c r="E29" s="133">
        <v>19571691.599999998</v>
      </c>
      <c r="F29" s="133">
        <f t="shared" ref="F29:F30" si="5">E29-D29</f>
        <v>2019257.8936999999</v>
      </c>
      <c r="G29" s="133">
        <f t="shared" ref="G29:G30" si="6">E29/D29%-100</f>
        <v>11.504147672554595</v>
      </c>
      <c r="H29" s="119">
        <v>17723875.099999998</v>
      </c>
      <c r="I29" s="119">
        <v>18018049.399999999</v>
      </c>
    </row>
    <row r="30" spans="1:16" ht="14.5" x14ac:dyDescent="0.35">
      <c r="A30" s="132" t="s">
        <v>455</v>
      </c>
      <c r="B30" s="119">
        <f t="shared" ref="B30:D30" si="7">B29-B26</f>
        <v>1975356.6317099985</v>
      </c>
      <c r="C30" s="119">
        <f>C29-C26</f>
        <v>3146448.4203599971</v>
      </c>
      <c r="D30" s="119">
        <f t="shared" si="7"/>
        <v>4205724.6351299956</v>
      </c>
      <c r="E30" s="119">
        <f>E29-E26</f>
        <v>4966449.9765399955</v>
      </c>
      <c r="F30" s="119">
        <f t="shared" si="5"/>
        <v>760725.34140999988</v>
      </c>
      <c r="G30" s="119">
        <f t="shared" si="6"/>
        <v>18.087854232199078</v>
      </c>
      <c r="H30" s="119">
        <f t="shared" ref="H30:I30" si="8">H29-H26</f>
        <v>2765200.1411199942</v>
      </c>
      <c r="I30" s="119">
        <f t="shared" si="8"/>
        <v>2315737.8880000003</v>
      </c>
    </row>
    <row r="31" spans="1:16" x14ac:dyDescent="0.35">
      <c r="H31" s="119">
        <f>H26/E26%-100</f>
        <v>2.4199074861746368</v>
      </c>
      <c r="I31" s="119">
        <f>I26/H26%-100</f>
        <v>4.9712728912432453</v>
      </c>
    </row>
  </sheetData>
  <mergeCells count="18">
    <mergeCell ref="I6:I7"/>
    <mergeCell ref="M1:O1"/>
    <mergeCell ref="A3:O3"/>
    <mergeCell ref="B5:I5"/>
    <mergeCell ref="J5:O5"/>
    <mergeCell ref="E6:E7"/>
    <mergeCell ref="F6:G6"/>
    <mergeCell ref="N6:N7"/>
    <mergeCell ref="O6:O7"/>
    <mergeCell ref="J6:J7"/>
    <mergeCell ref="K6:K7"/>
    <mergeCell ref="L6:L7"/>
    <mergeCell ref="M6:M7"/>
    <mergeCell ref="A5:A7"/>
    <mergeCell ref="B6:B7"/>
    <mergeCell ref="C6:C7"/>
    <mergeCell ref="D6:D7"/>
    <mergeCell ref="H6:H7"/>
  </mergeCells>
  <conditionalFormatting sqref="J9:O26">
    <cfRule type="cellIs" dxfId="1" priority="2" operator="equal">
      <formula>0</formula>
    </cfRule>
  </conditionalFormatting>
  <conditionalFormatting sqref="B9:O26">
    <cfRule type="cellIs" dxfId="0" priority="1" operator="equal">
      <formula>0</formula>
    </cfRule>
  </conditionalFormatting>
  <pageMargins left="0.39370078740157483" right="0.39370078740157483" top="0.59055118110236227" bottom="0.59055118110236227" header="0.31496062992125984" footer="0.31496062992125984"/>
  <pageSetup paperSize="9" scale="86" orientation="landscape" r:id="rId1"/>
  <headerFooter>
    <oddFooter>&amp;C&amp;P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B562"/>
  <sheetViews>
    <sheetView tabSelected="1" topLeftCell="A4" zoomScaleNormal="100" workbookViewId="0">
      <pane xSplit="2" ySplit="3" topLeftCell="P7" activePane="bottomRight" state="frozen"/>
      <selection activeCell="A4" sqref="A4"/>
      <selection pane="topRight" activeCell="C4" sqref="C4"/>
      <selection pane="bottomLeft" activeCell="A7" sqref="A7"/>
      <selection pane="bottomRight" activeCell="U6" sqref="U6"/>
    </sheetView>
  </sheetViews>
  <sheetFormatPr defaultColWidth="8.81640625" defaultRowHeight="12.5" x14ac:dyDescent="0.25"/>
  <cols>
    <col min="1" max="1" width="44.7265625" style="228" customWidth="1"/>
    <col min="2" max="2" width="20" style="228" hidden="1" customWidth="1"/>
    <col min="3" max="3" width="11.54296875" style="229" customWidth="1"/>
    <col min="4" max="4" width="13.7265625" style="230" customWidth="1"/>
    <col min="5" max="5" width="11.54296875" style="229" hidden="1" customWidth="1"/>
    <col min="6" max="6" width="17.7265625" style="229" hidden="1" customWidth="1"/>
    <col min="7" max="7" width="9.81640625" style="229" customWidth="1"/>
    <col min="8" max="8" width="11.54296875" style="229" customWidth="1"/>
    <col min="9" max="9" width="14" style="229" customWidth="1"/>
    <col min="10" max="10" width="13.81640625" style="230" customWidth="1"/>
    <col min="11" max="11" width="11.54296875" style="229" hidden="1" customWidth="1"/>
    <col min="12" max="12" width="16" style="229" hidden="1" customWidth="1"/>
    <col min="13" max="13" width="11.54296875" style="229" customWidth="1"/>
    <col min="14" max="14" width="10" style="229" customWidth="1"/>
    <col min="15" max="15" width="13.7265625" style="229" customWidth="1"/>
    <col min="16" max="16" width="14.26953125" style="231" customWidth="1"/>
    <col min="17" max="18" width="11.54296875" style="228" hidden="1" customWidth="1"/>
    <col min="19" max="19" width="9.54296875" style="228" customWidth="1"/>
    <col min="20" max="20" width="12.81640625" style="228" customWidth="1"/>
    <col min="21" max="21" width="11.54296875" style="228" customWidth="1"/>
    <col min="22" max="16384" width="8.81640625" style="228"/>
  </cols>
  <sheetData>
    <row r="1" spans="1:28" x14ac:dyDescent="0.25">
      <c r="T1" s="232" t="s">
        <v>563</v>
      </c>
    </row>
    <row r="3" spans="1:28" ht="15.65" customHeight="1" x14ac:dyDescent="0.25">
      <c r="A3" s="473" t="s">
        <v>552</v>
      </c>
      <c r="B3" s="473"/>
      <c r="C3" s="473"/>
      <c r="D3" s="473"/>
      <c r="E3" s="473"/>
      <c r="F3" s="473"/>
      <c r="G3" s="473"/>
      <c r="H3" s="473"/>
      <c r="I3" s="473"/>
      <c r="J3" s="473"/>
      <c r="K3" s="473"/>
      <c r="L3" s="473"/>
      <c r="M3" s="473"/>
      <c r="N3" s="473"/>
      <c r="O3" s="473"/>
      <c r="P3" s="473"/>
      <c r="Q3" s="473"/>
      <c r="R3" s="473"/>
      <c r="S3" s="473"/>
      <c r="T3" s="473"/>
      <c r="U3" s="68"/>
      <c r="V3" s="68"/>
      <c r="W3" s="68"/>
      <c r="X3" s="68"/>
      <c r="Y3" s="68"/>
      <c r="Z3" s="68"/>
      <c r="AA3" s="68"/>
      <c r="AB3" s="68"/>
    </row>
    <row r="4" spans="1:28" ht="13" thickBot="1" x14ac:dyDescent="0.3">
      <c r="S4" s="474" t="s">
        <v>12</v>
      </c>
      <c r="T4" s="474"/>
    </row>
    <row r="5" spans="1:28" ht="95.5" customHeight="1" thickTop="1" x14ac:dyDescent="0.25">
      <c r="A5" s="483" t="s">
        <v>0</v>
      </c>
      <c r="B5" s="485" t="s">
        <v>65</v>
      </c>
      <c r="C5" s="476" t="s">
        <v>475</v>
      </c>
      <c r="D5" s="480" t="s">
        <v>476</v>
      </c>
      <c r="E5" s="478" t="s">
        <v>239</v>
      </c>
      <c r="F5" s="478" t="s">
        <v>246</v>
      </c>
      <c r="G5" s="475" t="s">
        <v>240</v>
      </c>
      <c r="H5" s="475"/>
      <c r="I5" s="476" t="s">
        <v>551</v>
      </c>
      <c r="J5" s="480" t="s">
        <v>477</v>
      </c>
      <c r="K5" s="478" t="s">
        <v>478</v>
      </c>
      <c r="L5" s="478" t="s">
        <v>479</v>
      </c>
      <c r="M5" s="475" t="s">
        <v>428</v>
      </c>
      <c r="N5" s="475"/>
      <c r="O5" s="476" t="s">
        <v>550</v>
      </c>
      <c r="P5" s="480" t="s">
        <v>480</v>
      </c>
      <c r="Q5" s="478" t="s">
        <v>481</v>
      </c>
      <c r="R5" s="478" t="s">
        <v>482</v>
      </c>
      <c r="S5" s="475" t="s">
        <v>483</v>
      </c>
      <c r="T5" s="482"/>
    </row>
    <row r="6" spans="1:28" ht="31.5" customHeight="1" x14ac:dyDescent="0.25">
      <c r="A6" s="484"/>
      <c r="B6" s="486"/>
      <c r="C6" s="477"/>
      <c r="D6" s="481"/>
      <c r="E6" s="479"/>
      <c r="F6" s="479"/>
      <c r="G6" s="66" t="s">
        <v>66</v>
      </c>
      <c r="H6" s="66" t="s">
        <v>13</v>
      </c>
      <c r="I6" s="477"/>
      <c r="J6" s="481"/>
      <c r="K6" s="479"/>
      <c r="L6" s="479"/>
      <c r="M6" s="66" t="s">
        <v>66</v>
      </c>
      <c r="N6" s="66" t="s">
        <v>13</v>
      </c>
      <c r="O6" s="477"/>
      <c r="P6" s="481"/>
      <c r="Q6" s="479"/>
      <c r="R6" s="479"/>
      <c r="S6" s="66" t="s">
        <v>66</v>
      </c>
      <c r="T6" s="67" t="s">
        <v>13</v>
      </c>
    </row>
    <row r="7" spans="1:28" ht="10.15" customHeight="1" x14ac:dyDescent="0.25">
      <c r="A7" s="69" t="s">
        <v>17</v>
      </c>
      <c r="B7" s="70"/>
      <c r="C7" s="233">
        <v>1</v>
      </c>
      <c r="D7" s="234">
        <v>2</v>
      </c>
      <c r="E7" s="117" t="s">
        <v>247</v>
      </c>
      <c r="F7" s="117" t="s">
        <v>248</v>
      </c>
      <c r="G7" s="117" t="s">
        <v>67</v>
      </c>
      <c r="H7" s="117" t="s">
        <v>68</v>
      </c>
      <c r="I7" s="233">
        <v>5</v>
      </c>
      <c r="J7" s="235">
        <v>6</v>
      </c>
      <c r="K7" s="117" t="s">
        <v>249</v>
      </c>
      <c r="L7" s="117" t="s">
        <v>250</v>
      </c>
      <c r="M7" s="117" t="s">
        <v>69</v>
      </c>
      <c r="N7" s="117" t="s">
        <v>70</v>
      </c>
      <c r="O7" s="233">
        <v>9</v>
      </c>
      <c r="P7" s="235">
        <v>10</v>
      </c>
      <c r="Q7" s="117" t="s">
        <v>251</v>
      </c>
      <c r="R7" s="117" t="s">
        <v>252</v>
      </c>
      <c r="S7" s="117" t="s">
        <v>71</v>
      </c>
      <c r="T7" s="71" t="s">
        <v>72</v>
      </c>
    </row>
    <row r="8" spans="1:28" ht="39" x14ac:dyDescent="0.3">
      <c r="A8" s="310" t="s">
        <v>429</v>
      </c>
      <c r="B8" s="236" t="s">
        <v>73</v>
      </c>
      <c r="C8" s="237">
        <f>SUM(C9:C17)</f>
        <v>18848.081600000001</v>
      </c>
      <c r="D8" s="237">
        <f>SUM(D9:D17)</f>
        <v>18841.715799999998</v>
      </c>
      <c r="E8" s="237">
        <f>SUM(E9:E17)</f>
        <v>15759.7634</v>
      </c>
      <c r="F8" s="237">
        <f>SUM(F9:F17)</f>
        <v>3081.9524000000001</v>
      </c>
      <c r="G8" s="238">
        <f>SUM(G9:G17)</f>
        <v>6.3660999999999603</v>
      </c>
      <c r="H8" s="238">
        <f>C8/D8*100-100</f>
        <v>3.3785670411191404E-2</v>
      </c>
      <c r="I8" s="237">
        <f>SUM(I9:I17)</f>
        <v>17275</v>
      </c>
      <c r="J8" s="237">
        <f>SUM(J9:J17)</f>
        <v>17263.924500000001</v>
      </c>
      <c r="K8" s="237">
        <f>SUM(K9:K17)</f>
        <v>15255.890400000002</v>
      </c>
      <c r="L8" s="237">
        <f>SUM(L9:L17)</f>
        <v>2008.0341000000001</v>
      </c>
      <c r="M8" s="238">
        <f>I8-J8</f>
        <v>11.07549999999901</v>
      </c>
      <c r="N8" s="238">
        <f>I8/J8*100-100</f>
        <v>6.415401086815109E-2</v>
      </c>
      <c r="O8" s="237">
        <f>SUM(O9:O17)</f>
        <v>17883.3</v>
      </c>
      <c r="P8" s="237">
        <f>SUM(P9:P17)</f>
        <v>19476.560099999999</v>
      </c>
      <c r="Q8" s="239">
        <f>SUM(Q9:Q17)</f>
        <v>16991.439300000002</v>
      </c>
      <c r="R8" s="239">
        <f>SUM(R9:R17)</f>
        <v>2485.1207999999997</v>
      </c>
      <c r="S8" s="240">
        <f>O8-P8</f>
        <v>-1593.2600999999995</v>
      </c>
      <c r="T8" s="311">
        <f>O8/P8*100-100</f>
        <v>-8.1803978311344565</v>
      </c>
    </row>
    <row r="9" spans="1:28" ht="37.5" x14ac:dyDescent="0.25">
      <c r="A9" s="312" t="s">
        <v>74</v>
      </c>
      <c r="B9" s="241" t="s">
        <v>75</v>
      </c>
      <c r="C9" s="242">
        <f>130713.5/1000</f>
        <v>130.71350000000001</v>
      </c>
      <c r="D9" s="243">
        <f>E9+F9</f>
        <v>130.71349999999998</v>
      </c>
      <c r="E9" s="244">
        <f>129849.9/1000</f>
        <v>129.84989999999999</v>
      </c>
      <c r="F9" s="244">
        <f>863.6/1000</f>
        <v>0.86360000000000003</v>
      </c>
      <c r="G9" s="245">
        <v>0</v>
      </c>
      <c r="H9" s="245">
        <f>C9/D9*100-100</f>
        <v>0</v>
      </c>
      <c r="I9" s="244">
        <v>129.9</v>
      </c>
      <c r="J9" s="243">
        <f t="shared" ref="J9:J17" si="0">K9+L9</f>
        <v>129.89529999999999</v>
      </c>
      <c r="K9" s="244">
        <f>129031.7/1000</f>
        <v>129.0317</v>
      </c>
      <c r="L9" s="244">
        <f>863.6/1000</f>
        <v>0.86360000000000003</v>
      </c>
      <c r="M9" s="245">
        <f t="shared" ref="M9:M56" si="1">I9-J9</f>
        <v>4.7000000000139153E-3</v>
      </c>
      <c r="N9" s="245">
        <f t="shared" ref="N9:N15" si="2">I9/J9*100-100</f>
        <v>3.6182987375354969E-3</v>
      </c>
      <c r="O9" s="244">
        <v>134.80000000000001</v>
      </c>
      <c r="P9" s="243">
        <f>Q9+R9</f>
        <v>134.84870000000001</v>
      </c>
      <c r="Q9" s="246">
        <f>133985.1/1000</f>
        <v>133.98510000000002</v>
      </c>
      <c r="R9" s="244">
        <f>863.6/1000</f>
        <v>0.86360000000000003</v>
      </c>
      <c r="S9" s="247">
        <f t="shared" ref="S9:S72" si="3">O9-P9</f>
        <v>-4.8699999999996635E-2</v>
      </c>
      <c r="T9" s="313">
        <f t="shared" ref="T9:T72" si="4">O9/P9*100-100</f>
        <v>-3.6114549120597417E-2</v>
      </c>
      <c r="V9" s="248"/>
      <c r="W9" s="248"/>
    </row>
    <row r="10" spans="1:28" ht="62.5" x14ac:dyDescent="0.25">
      <c r="A10" s="312" t="s">
        <v>76</v>
      </c>
      <c r="B10" s="241" t="s">
        <v>77</v>
      </c>
      <c r="C10" s="242">
        <f>4096935.7/1000</f>
        <v>4096.9357</v>
      </c>
      <c r="D10" s="243">
        <f t="shared" ref="D10:D66" si="5">E10+F10</f>
        <v>4096.9358000000002</v>
      </c>
      <c r="E10" s="244">
        <f>3251348.5/1000</f>
        <v>3251.3485000000001</v>
      </c>
      <c r="F10" s="244">
        <f>845587.3/1000</f>
        <v>845.58730000000003</v>
      </c>
      <c r="G10" s="245">
        <v>0</v>
      </c>
      <c r="H10" s="245">
        <f t="shared" ref="H10:H73" si="6">C10/D10*100-100</f>
        <v>-2.4408486041238575E-6</v>
      </c>
      <c r="I10" s="244">
        <v>3811.9</v>
      </c>
      <c r="J10" s="243">
        <f t="shared" si="0"/>
        <v>3811.3402999999998</v>
      </c>
      <c r="K10" s="244">
        <f>3319799.3/1000</f>
        <v>3319.7992999999997</v>
      </c>
      <c r="L10" s="244">
        <f>491541/1000</f>
        <v>491.541</v>
      </c>
      <c r="M10" s="245">
        <f t="shared" si="1"/>
        <v>0.55970000000024811</v>
      </c>
      <c r="N10" s="245">
        <f t="shared" si="2"/>
        <v>1.4685122711298959E-2</v>
      </c>
      <c r="O10" s="244">
        <v>4122.3999999999996</v>
      </c>
      <c r="P10" s="243">
        <f t="shared" ref="P10:P17" si="7">Q10+R10</f>
        <v>4121.8550999999998</v>
      </c>
      <c r="Q10" s="244">
        <f>3499648.1/1000</f>
        <v>3499.6480999999999</v>
      </c>
      <c r="R10" s="249">
        <f>622207/1000</f>
        <v>622.20699999999999</v>
      </c>
      <c r="S10" s="247">
        <f t="shared" si="3"/>
        <v>0.54489999999987049</v>
      </c>
      <c r="T10" s="313">
        <f t="shared" si="4"/>
        <v>1.3219775726696525E-2</v>
      </c>
      <c r="V10" s="248"/>
      <c r="W10" s="248"/>
    </row>
    <row r="11" spans="1:28" ht="13.5" customHeight="1" x14ac:dyDescent="0.25">
      <c r="A11" s="312" t="s">
        <v>78</v>
      </c>
      <c r="B11" s="241" t="s">
        <v>79</v>
      </c>
      <c r="C11" s="242">
        <f>578974.7/1000</f>
        <v>578.97469999999998</v>
      </c>
      <c r="D11" s="243">
        <f t="shared" si="5"/>
        <v>578.97469999999998</v>
      </c>
      <c r="E11" s="244">
        <f>475095.3/1000</f>
        <v>475.09530000000001</v>
      </c>
      <c r="F11" s="244">
        <f>103879.4/1000</f>
        <v>103.87939999999999</v>
      </c>
      <c r="G11" s="245">
        <v>0</v>
      </c>
      <c r="H11" s="245">
        <f t="shared" si="6"/>
        <v>0</v>
      </c>
      <c r="I11" s="244">
        <v>414.8</v>
      </c>
      <c r="J11" s="243">
        <f>K11+L11</f>
        <v>414.78020000000004</v>
      </c>
      <c r="K11" s="244">
        <f>414780.2/1000</f>
        <v>414.78020000000004</v>
      </c>
      <c r="L11" s="244"/>
      <c r="M11" s="245">
        <f t="shared" si="1"/>
        <v>1.9799999999975171E-2</v>
      </c>
      <c r="N11" s="245">
        <f t="shared" si="2"/>
        <v>4.7736126266357815E-3</v>
      </c>
      <c r="O11" s="244">
        <v>411.2</v>
      </c>
      <c r="P11" s="243">
        <f t="shared" si="7"/>
        <v>411.16390000000001</v>
      </c>
      <c r="Q11" s="244">
        <f>411163.9/1000</f>
        <v>411.16390000000001</v>
      </c>
      <c r="R11" s="244"/>
      <c r="S11" s="247">
        <f t="shared" si="3"/>
        <v>3.6099999999976262E-2</v>
      </c>
      <c r="T11" s="313">
        <f t="shared" si="4"/>
        <v>8.7799536875508011E-3</v>
      </c>
      <c r="V11" s="248"/>
      <c r="W11" s="248"/>
    </row>
    <row r="12" spans="1:28" ht="37.5" x14ac:dyDescent="0.25">
      <c r="A12" s="312" t="s">
        <v>80</v>
      </c>
      <c r="B12" s="241" t="s">
        <v>81</v>
      </c>
      <c r="C12" s="242">
        <f>154989.2/1000</f>
        <v>154.98920000000001</v>
      </c>
      <c r="D12" s="243">
        <f t="shared" si="5"/>
        <v>154.98920000000001</v>
      </c>
      <c r="E12" s="244">
        <f>154989.2/1000</f>
        <v>154.98920000000001</v>
      </c>
      <c r="F12" s="244"/>
      <c r="G12" s="245">
        <v>0</v>
      </c>
      <c r="H12" s="245">
        <f t="shared" si="6"/>
        <v>0</v>
      </c>
      <c r="I12" s="244">
        <v>158.6</v>
      </c>
      <c r="J12" s="243">
        <f t="shared" si="0"/>
        <v>158.63149999999999</v>
      </c>
      <c r="K12" s="244">
        <f>158631.5/1000</f>
        <v>158.63149999999999</v>
      </c>
      <c r="L12" s="244"/>
      <c r="M12" s="245">
        <f t="shared" si="1"/>
        <v>-3.1499999999994088E-2</v>
      </c>
      <c r="N12" s="245">
        <f t="shared" si="2"/>
        <v>-1.9857342331121686E-2</v>
      </c>
      <c r="O12" s="244">
        <v>164.4</v>
      </c>
      <c r="P12" s="243">
        <f t="shared" si="7"/>
        <v>164.41120000000001</v>
      </c>
      <c r="Q12" s="244">
        <f>164411.2/1000</f>
        <v>164.41120000000001</v>
      </c>
      <c r="R12" s="244"/>
      <c r="S12" s="247">
        <f t="shared" si="3"/>
        <v>-1.1200000000002319E-2</v>
      </c>
      <c r="T12" s="313">
        <f t="shared" si="4"/>
        <v>-6.8121879774736271E-3</v>
      </c>
      <c r="V12" s="248"/>
      <c r="W12" s="248"/>
    </row>
    <row r="13" spans="1:28" ht="25" x14ac:dyDescent="0.25">
      <c r="A13" s="312" t="s">
        <v>82</v>
      </c>
      <c r="B13" s="241" t="s">
        <v>83</v>
      </c>
      <c r="C13" s="242">
        <f>454800.3/1000</f>
        <v>454.80029999999999</v>
      </c>
      <c r="D13" s="243">
        <f t="shared" si="5"/>
        <v>448.43420000000003</v>
      </c>
      <c r="E13" s="244">
        <f>407484.8/1000</f>
        <v>407.48480000000001</v>
      </c>
      <c r="F13" s="244">
        <f>40949.4/1000</f>
        <v>40.949400000000004</v>
      </c>
      <c r="G13" s="245">
        <f>C13-D13</f>
        <v>6.3660999999999603</v>
      </c>
      <c r="H13" s="245">
        <f t="shared" si="6"/>
        <v>1.4196285653502798</v>
      </c>
      <c r="I13" s="244">
        <v>471.5</v>
      </c>
      <c r="J13" s="243">
        <f t="shared" si="0"/>
        <v>464.5462</v>
      </c>
      <c r="K13" s="244">
        <f>423596.8/1000</f>
        <v>423.59679999999997</v>
      </c>
      <c r="L13" s="244">
        <f>40949.4/1000</f>
        <v>40.949400000000004</v>
      </c>
      <c r="M13" s="245">
        <f t="shared" si="1"/>
        <v>6.9538000000000011</v>
      </c>
      <c r="N13" s="245">
        <f t="shared" si="2"/>
        <v>1.4969017075158462</v>
      </c>
      <c r="O13" s="244">
        <v>495.6</v>
      </c>
      <c r="P13" s="243">
        <f t="shared" si="7"/>
        <v>409.41950000000003</v>
      </c>
      <c r="Q13" s="244">
        <f>409419.5/1000</f>
        <v>409.41950000000003</v>
      </c>
      <c r="R13" s="244"/>
      <c r="S13" s="247">
        <f t="shared" si="3"/>
        <v>86.180499999999995</v>
      </c>
      <c r="T13" s="313">
        <f t="shared" si="4"/>
        <v>21.049437068825497</v>
      </c>
      <c r="V13" s="248"/>
      <c r="W13" s="248"/>
    </row>
    <row r="14" spans="1:28" ht="25" x14ac:dyDescent="0.25">
      <c r="A14" s="312" t="s">
        <v>84</v>
      </c>
      <c r="B14" s="241" t="s">
        <v>85</v>
      </c>
      <c r="C14" s="242">
        <f>320081.8/1000</f>
        <v>320.08179999999999</v>
      </c>
      <c r="D14" s="243">
        <f t="shared" si="5"/>
        <v>320.08190000000002</v>
      </c>
      <c r="E14" s="244">
        <f>280293.9/1000</f>
        <v>280.29390000000001</v>
      </c>
      <c r="F14" s="244">
        <f>39788/1000</f>
        <v>39.787999999999997</v>
      </c>
      <c r="G14" s="245">
        <v>0</v>
      </c>
      <c r="H14" s="245">
        <f t="shared" si="6"/>
        <v>-3.124200401316557E-5</v>
      </c>
      <c r="I14" s="244">
        <v>249.1</v>
      </c>
      <c r="J14" s="243">
        <f t="shared" si="0"/>
        <v>249.11500000000001</v>
      </c>
      <c r="K14" s="244">
        <f>209327/1000</f>
        <v>209.327</v>
      </c>
      <c r="L14" s="244">
        <f>39788/1000</f>
        <v>39.787999999999997</v>
      </c>
      <c r="M14" s="245">
        <f t="shared" si="1"/>
        <v>-1.5000000000014779E-2</v>
      </c>
      <c r="N14" s="245">
        <f t="shared" si="2"/>
        <v>-6.0213154567350102E-3</v>
      </c>
      <c r="O14" s="244">
        <v>246.9</v>
      </c>
      <c r="P14" s="243">
        <f t="shared" si="7"/>
        <v>246.8843</v>
      </c>
      <c r="Q14" s="244">
        <f>207096.3/1000</f>
        <v>207.09629999999999</v>
      </c>
      <c r="R14" s="244">
        <f>39788/1000</f>
        <v>39.787999999999997</v>
      </c>
      <c r="S14" s="247">
        <f t="shared" si="3"/>
        <v>1.5700000000009595E-2</v>
      </c>
      <c r="T14" s="313">
        <f t="shared" si="4"/>
        <v>6.3592541121408885E-3</v>
      </c>
      <c r="V14" s="248"/>
      <c r="W14" s="248"/>
    </row>
    <row r="15" spans="1:28" ht="37.5" x14ac:dyDescent="0.25">
      <c r="A15" s="312" t="s">
        <v>86</v>
      </c>
      <c r="B15" s="241" t="s">
        <v>87</v>
      </c>
      <c r="C15" s="242">
        <f>2070730.1/1000</f>
        <v>2070.7301000000002</v>
      </c>
      <c r="D15" s="243">
        <f t="shared" si="5"/>
        <v>2070.7300999999998</v>
      </c>
      <c r="E15" s="244">
        <f>1575167.5/1000</f>
        <v>1575.1675</v>
      </c>
      <c r="F15" s="244">
        <f>495562.6/1000</f>
        <v>495.56259999999997</v>
      </c>
      <c r="G15" s="245">
        <v>0</v>
      </c>
      <c r="H15" s="245">
        <f t="shared" si="6"/>
        <v>0</v>
      </c>
      <c r="I15" s="244">
        <v>1450.9</v>
      </c>
      <c r="J15" s="243">
        <f t="shared" si="0"/>
        <v>1447.2972</v>
      </c>
      <c r="K15" s="244">
        <f>954106.2/1000</f>
        <v>954.10619999999994</v>
      </c>
      <c r="L15" s="244">
        <f>493191/1000</f>
        <v>493.19099999999997</v>
      </c>
      <c r="M15" s="245">
        <f t="shared" si="1"/>
        <v>3.6028000000001157</v>
      </c>
      <c r="N15" s="245">
        <f t="shared" si="2"/>
        <v>0.24893297658562119</v>
      </c>
      <c r="O15" s="244">
        <v>1164.5</v>
      </c>
      <c r="P15" s="243">
        <f t="shared" si="7"/>
        <v>1160.6042</v>
      </c>
      <c r="Q15" s="244">
        <f>668024.8/1000</f>
        <v>668.02480000000003</v>
      </c>
      <c r="R15" s="244">
        <f>492579.4/1000</f>
        <v>492.57940000000002</v>
      </c>
      <c r="S15" s="247">
        <f t="shared" si="3"/>
        <v>3.8958000000000084</v>
      </c>
      <c r="T15" s="313">
        <f t="shared" si="4"/>
        <v>0.33566998982081486</v>
      </c>
      <c r="V15" s="248"/>
      <c r="W15" s="248"/>
    </row>
    <row r="16" spans="1:28" ht="25" x14ac:dyDescent="0.25">
      <c r="A16" s="312" t="s">
        <v>241</v>
      </c>
      <c r="B16" s="241"/>
      <c r="C16" s="242">
        <f>510843/1000</f>
        <v>510.84300000000002</v>
      </c>
      <c r="D16" s="243">
        <f t="shared" si="5"/>
        <v>510.84299999999996</v>
      </c>
      <c r="E16" s="244">
        <f>10217/1000</f>
        <v>10.217000000000001</v>
      </c>
      <c r="F16" s="244">
        <f>500626/1000</f>
        <v>500.62599999999998</v>
      </c>
      <c r="G16" s="245">
        <v>0</v>
      </c>
      <c r="H16" s="245">
        <f t="shared" si="6"/>
        <v>0</v>
      </c>
      <c r="I16" s="244">
        <v>155.5</v>
      </c>
      <c r="J16" s="243">
        <f t="shared" si="0"/>
        <v>155.55469999999997</v>
      </c>
      <c r="K16" s="244">
        <f>15555.4/1000</f>
        <v>15.555399999999999</v>
      </c>
      <c r="L16" s="244">
        <f>139999.3/1000</f>
        <v>139.99929999999998</v>
      </c>
      <c r="M16" s="245">
        <f t="shared" si="1"/>
        <v>-5.4699999999968441E-2</v>
      </c>
      <c r="N16" s="245">
        <v>0</v>
      </c>
      <c r="O16" s="244">
        <v>142.19999999999999</v>
      </c>
      <c r="P16" s="243">
        <f t="shared" si="7"/>
        <v>143.22329999999999</v>
      </c>
      <c r="Q16" s="244">
        <f>15304.4/1000</f>
        <v>15.304399999999999</v>
      </c>
      <c r="R16" s="244">
        <f>127918.9/1000</f>
        <v>127.91889999999999</v>
      </c>
      <c r="S16" s="247">
        <f t="shared" si="3"/>
        <v>-1.0233000000000061</v>
      </c>
      <c r="T16" s="313">
        <f t="shared" si="4"/>
        <v>-0.71447871959381359</v>
      </c>
      <c r="V16" s="248"/>
      <c r="W16" s="248"/>
    </row>
    <row r="17" spans="1:23" ht="37.5" x14ac:dyDescent="0.25">
      <c r="A17" s="314" t="s">
        <v>88</v>
      </c>
      <c r="B17" s="250" t="s">
        <v>89</v>
      </c>
      <c r="C17" s="251">
        <f>10530013.3/1000</f>
        <v>10530.013300000001</v>
      </c>
      <c r="D17" s="243">
        <f t="shared" si="5"/>
        <v>10530.0134</v>
      </c>
      <c r="E17" s="252">
        <f>9475317.3/1000</f>
        <v>9475.3173000000006</v>
      </c>
      <c r="F17" s="252">
        <f>1054696.1/1000</f>
        <v>1054.6961000000001</v>
      </c>
      <c r="G17" s="245">
        <v>0</v>
      </c>
      <c r="H17" s="253">
        <f t="shared" si="6"/>
        <v>-9.4966640062921215E-7</v>
      </c>
      <c r="I17" s="254">
        <v>10432.799999999999</v>
      </c>
      <c r="J17" s="243">
        <f t="shared" si="0"/>
        <v>10432.764100000002</v>
      </c>
      <c r="K17" s="254">
        <f>9631062.3/1000</f>
        <v>9631.0623000000014</v>
      </c>
      <c r="L17" s="254">
        <f>801701.8/1000</f>
        <v>801.70180000000005</v>
      </c>
      <c r="M17" s="255">
        <f t="shared" si="1"/>
        <v>3.5899999997127452E-2</v>
      </c>
      <c r="N17" s="255">
        <f t="shared" ref="N17:N75" si="8">I17/J17*100-100</f>
        <v>3.4410823108999011E-4</v>
      </c>
      <c r="O17" s="254">
        <v>11001.3</v>
      </c>
      <c r="P17" s="243">
        <f t="shared" si="7"/>
        <v>12684.1499</v>
      </c>
      <c r="Q17" s="315">
        <f>11482386/1000</f>
        <v>11482.386</v>
      </c>
      <c r="R17" s="254">
        <f>1201763.9/1000</f>
        <v>1201.7638999999999</v>
      </c>
      <c r="S17" s="256">
        <f t="shared" si="3"/>
        <v>-1682.8499000000011</v>
      </c>
      <c r="T17" s="316">
        <f t="shared" si="4"/>
        <v>-13.267344782798574</v>
      </c>
      <c r="V17" s="248"/>
      <c r="W17" s="248"/>
    </row>
    <row r="18" spans="1:23" ht="39" x14ac:dyDescent="0.3">
      <c r="A18" s="310" t="s">
        <v>430</v>
      </c>
      <c r="B18" s="236" t="s">
        <v>90</v>
      </c>
      <c r="C18" s="237">
        <f>C19+C20+C21+C22+C23+C24+C25</f>
        <v>24866.383000000002</v>
      </c>
      <c r="D18" s="257">
        <f t="shared" si="5"/>
        <v>24866.382200000004</v>
      </c>
      <c r="E18" s="237">
        <f>E19+E20+E21+E22+E23+E24+E25</f>
        <v>23465.497100000004</v>
      </c>
      <c r="F18" s="237">
        <f>F19+F20+F21+F22+F23+F24+F25</f>
        <v>1400.8851</v>
      </c>
      <c r="G18" s="258">
        <f t="shared" ref="G18:G79" si="9">C18-D18</f>
        <v>7.9999999798019417E-4</v>
      </c>
      <c r="H18" s="258">
        <f t="shared" si="6"/>
        <v>3.2171949726489402E-6</v>
      </c>
      <c r="I18" s="237">
        <f>I19+I20+I21+I22+I23+I24+I25</f>
        <v>25363.877200000003</v>
      </c>
      <c r="J18" s="237">
        <f>J19+J20+J21+J22+J23+J24+J25</f>
        <v>25363.877200000003</v>
      </c>
      <c r="K18" s="237">
        <f>K19+K20+K21+K22+K23+K24+K25</f>
        <v>23540.465900000003</v>
      </c>
      <c r="L18" s="237">
        <f>L19+L20+L21+L22+L23+L24+L25</f>
        <v>1823.4112999999998</v>
      </c>
      <c r="M18" s="238">
        <f>I18-J18</f>
        <v>0</v>
      </c>
      <c r="N18" s="238">
        <f t="shared" si="8"/>
        <v>0</v>
      </c>
      <c r="O18" s="237">
        <f>O19+O20+O21+O22+O23+O24+O25</f>
        <v>25565.879300000001</v>
      </c>
      <c r="P18" s="237">
        <f>P19+P20+P21+P22+P23+P24+P25</f>
        <v>25565.879300000004</v>
      </c>
      <c r="Q18" s="237">
        <f>Q19+Q20+Q21+Q22+Q23+Q24+Q25</f>
        <v>24520.478400000004</v>
      </c>
      <c r="R18" s="237">
        <f>R19+R20+R21+R22+R23+R24+R25</f>
        <v>1045.4008999999999</v>
      </c>
      <c r="S18" s="240">
        <f t="shared" si="3"/>
        <v>0</v>
      </c>
      <c r="T18" s="311">
        <f t="shared" si="4"/>
        <v>0</v>
      </c>
    </row>
    <row r="19" spans="1:23" ht="25" x14ac:dyDescent="0.25">
      <c r="A19" s="312" t="s">
        <v>91</v>
      </c>
      <c r="B19" s="241" t="s">
        <v>92</v>
      </c>
      <c r="C19" s="242">
        <v>16064.2587</v>
      </c>
      <c r="D19" s="259">
        <f>E19+F19</f>
        <v>16064.258000000002</v>
      </c>
      <c r="E19" s="260">
        <f>15977102/1000</f>
        <v>15977.102000000001</v>
      </c>
      <c r="F19" s="260">
        <f>87156/1000</f>
        <v>87.156000000000006</v>
      </c>
      <c r="G19" s="245">
        <f t="shared" si="9"/>
        <v>6.9999999868741725E-4</v>
      </c>
      <c r="H19" s="245">
        <f t="shared" si="6"/>
        <v>4.3574997334872023E-6</v>
      </c>
      <c r="I19" s="244">
        <f>17262062.5/1000</f>
        <v>17262.0625</v>
      </c>
      <c r="J19" s="261">
        <f>K19+L19</f>
        <v>17262.0625</v>
      </c>
      <c r="K19" s="260">
        <f>16878958.2/1000</f>
        <v>16878.958200000001</v>
      </c>
      <c r="L19" s="260">
        <f>383104.3/1000</f>
        <v>383.10429999999997</v>
      </c>
      <c r="M19" s="245">
        <f t="shared" si="1"/>
        <v>0</v>
      </c>
      <c r="N19" s="245">
        <f t="shared" si="8"/>
        <v>0</v>
      </c>
      <c r="O19" s="244">
        <f>17863803/1000</f>
        <v>17863.803</v>
      </c>
      <c r="P19" s="243">
        <f>Q19+R19</f>
        <v>17863.802900000002</v>
      </c>
      <c r="Q19" s="244">
        <f>17842844/1000</f>
        <v>17842.844000000001</v>
      </c>
      <c r="R19" s="244">
        <f>20958.9/1000</f>
        <v>20.9589</v>
      </c>
      <c r="S19" s="247">
        <f t="shared" si="3"/>
        <v>9.9999997473787516E-5</v>
      </c>
      <c r="T19" s="313">
        <f t="shared" si="4"/>
        <v>5.5979121782456787E-7</v>
      </c>
    </row>
    <row r="20" spans="1:23" ht="75" x14ac:dyDescent="0.25">
      <c r="A20" s="312" t="s">
        <v>93</v>
      </c>
      <c r="B20" s="241" t="s">
        <v>94</v>
      </c>
      <c r="C20" s="242">
        <f>2890.6951</f>
        <v>2890.6950999999999</v>
      </c>
      <c r="D20" s="259">
        <f t="shared" ref="D20:D25" si="10">E20+F20</f>
        <v>2890.6950999999999</v>
      </c>
      <c r="E20" s="244">
        <f>2763043.3/1000</f>
        <v>2763.0432999999998</v>
      </c>
      <c r="F20" s="244">
        <f>127651.8/1000</f>
        <v>127.65180000000001</v>
      </c>
      <c r="G20" s="245">
        <f t="shared" si="9"/>
        <v>0</v>
      </c>
      <c r="H20" s="245">
        <f t="shared" si="6"/>
        <v>0</v>
      </c>
      <c r="I20" s="244">
        <f>2935255.2/1000</f>
        <v>2935.2552000000001</v>
      </c>
      <c r="J20" s="261">
        <f t="shared" ref="J20:J25" si="11">K20+L20</f>
        <v>2935.2552000000001</v>
      </c>
      <c r="K20" s="244">
        <f>2812299.9/1000</f>
        <v>2812.2999</v>
      </c>
      <c r="L20" s="244">
        <f>122955.3/1000</f>
        <v>122.95530000000001</v>
      </c>
      <c r="M20" s="245">
        <f t="shared" si="1"/>
        <v>0</v>
      </c>
      <c r="N20" s="245">
        <f t="shared" si="8"/>
        <v>0</v>
      </c>
      <c r="O20" s="244">
        <f>3054797.3/1000</f>
        <v>3054.7972999999997</v>
      </c>
      <c r="P20" s="243">
        <f t="shared" ref="P20:P25" si="12">Q20+R20</f>
        <v>3054.7972999999997</v>
      </c>
      <c r="Q20" s="244">
        <f>2929353.3/1000</f>
        <v>2929.3532999999998</v>
      </c>
      <c r="R20" s="244">
        <f>125444/1000</f>
        <v>125.444</v>
      </c>
      <c r="S20" s="247">
        <f t="shared" si="3"/>
        <v>0</v>
      </c>
      <c r="T20" s="313">
        <f t="shared" si="4"/>
        <v>0</v>
      </c>
    </row>
    <row r="21" spans="1:23" ht="25" x14ac:dyDescent="0.25">
      <c r="A21" s="312" t="s">
        <v>95</v>
      </c>
      <c r="B21" s="241" t="s">
        <v>96</v>
      </c>
      <c r="C21" s="242">
        <v>2670.28</v>
      </c>
      <c r="D21" s="259">
        <f t="shared" si="10"/>
        <v>2670.2799999999997</v>
      </c>
      <c r="E21" s="244">
        <f>2661057/1000</f>
        <v>2661.0569999999998</v>
      </c>
      <c r="F21" s="244">
        <f>9223/1000</f>
        <v>9.2230000000000008</v>
      </c>
      <c r="G21" s="245">
        <f t="shared" si="9"/>
        <v>0</v>
      </c>
      <c r="H21" s="245">
        <f t="shared" si="6"/>
        <v>0</v>
      </c>
      <c r="I21" s="244">
        <f>2774481.2/1000</f>
        <v>2774.4812000000002</v>
      </c>
      <c r="J21" s="261">
        <f t="shared" si="11"/>
        <v>2774.4812000000002</v>
      </c>
      <c r="K21" s="244">
        <f>2774481.2/1000</f>
        <v>2774.4812000000002</v>
      </c>
      <c r="L21" s="244"/>
      <c r="M21" s="245">
        <f t="shared" si="1"/>
        <v>0</v>
      </c>
      <c r="N21" s="245">
        <f t="shared" si="8"/>
        <v>0</v>
      </c>
      <c r="O21" s="244">
        <f>2888180.3/1000</f>
        <v>2888.1803</v>
      </c>
      <c r="P21" s="243">
        <f t="shared" si="12"/>
        <v>2888.1803</v>
      </c>
      <c r="Q21" s="244">
        <f>2888180.3/1000</f>
        <v>2888.1803</v>
      </c>
      <c r="R21" s="244">
        <f>0</f>
        <v>0</v>
      </c>
      <c r="S21" s="247">
        <f t="shared" si="3"/>
        <v>0</v>
      </c>
      <c r="T21" s="313">
        <f t="shared" si="4"/>
        <v>0</v>
      </c>
    </row>
    <row r="22" spans="1:23" ht="25" x14ac:dyDescent="0.25">
      <c r="A22" s="312" t="s">
        <v>97</v>
      </c>
      <c r="B22" s="241" t="s">
        <v>98</v>
      </c>
      <c r="C22" s="242">
        <v>885.7174</v>
      </c>
      <c r="D22" s="259">
        <f t="shared" si="10"/>
        <v>885.7174</v>
      </c>
      <c r="E22" s="244">
        <f>730909.4/1000</f>
        <v>730.90940000000001</v>
      </c>
      <c r="F22" s="244">
        <f>154808/1000</f>
        <v>154.80799999999999</v>
      </c>
      <c r="G22" s="245">
        <f t="shared" si="9"/>
        <v>0</v>
      </c>
      <c r="H22" s="245">
        <f t="shared" si="6"/>
        <v>0</v>
      </c>
      <c r="I22" s="244">
        <f>748430.3/1000</f>
        <v>748.4303000000001</v>
      </c>
      <c r="J22" s="261">
        <f t="shared" si="11"/>
        <v>748.43029999999999</v>
      </c>
      <c r="K22" s="244">
        <f>731621.6/1000</f>
        <v>731.62159999999994</v>
      </c>
      <c r="L22" s="244">
        <f>16808.7/1000</f>
        <v>16.808700000000002</v>
      </c>
      <c r="M22" s="245">
        <f t="shared" si="1"/>
        <v>0</v>
      </c>
      <c r="N22" s="245">
        <f t="shared" si="8"/>
        <v>0</v>
      </c>
      <c r="O22" s="244">
        <f>825797.4/1000</f>
        <v>825.79740000000004</v>
      </c>
      <c r="P22" s="243">
        <f t="shared" si="12"/>
        <v>825.7974999999999</v>
      </c>
      <c r="Q22" s="244">
        <f>752886.2/1000</f>
        <v>752.88619999999992</v>
      </c>
      <c r="R22" s="244">
        <f>72911.3/1000</f>
        <v>72.911299999999997</v>
      </c>
      <c r="S22" s="247">
        <f t="shared" si="3"/>
        <v>-9.9999999861211109E-5</v>
      </c>
      <c r="T22" s="313">
        <f t="shared" si="4"/>
        <v>-1.210950625818441E-5</v>
      </c>
    </row>
    <row r="23" spans="1:23" ht="25" x14ac:dyDescent="0.25">
      <c r="A23" s="312" t="s">
        <v>99</v>
      </c>
      <c r="B23" s="241" t="s">
        <v>100</v>
      </c>
      <c r="C23" s="242">
        <f>14752/1000</f>
        <v>14.752000000000001</v>
      </c>
      <c r="D23" s="259">
        <f t="shared" si="10"/>
        <v>14.752000000000001</v>
      </c>
      <c r="E23" s="244">
        <f>14752/1000</f>
        <v>14.752000000000001</v>
      </c>
      <c r="F23" s="244"/>
      <c r="G23" s="245">
        <f t="shared" si="9"/>
        <v>0</v>
      </c>
      <c r="H23" s="245">
        <f t="shared" si="6"/>
        <v>0</v>
      </c>
      <c r="I23" s="244">
        <f>13472/1000</f>
        <v>13.472</v>
      </c>
      <c r="J23" s="261">
        <f t="shared" si="11"/>
        <v>13.472</v>
      </c>
      <c r="K23" s="244">
        <f>13472/1000</f>
        <v>13.472</v>
      </c>
      <c r="L23" s="244"/>
      <c r="M23" s="245">
        <f t="shared" si="1"/>
        <v>0</v>
      </c>
      <c r="N23" s="245">
        <f t="shared" si="8"/>
        <v>0</v>
      </c>
      <c r="O23" s="244">
        <f>13472/1000</f>
        <v>13.472</v>
      </c>
      <c r="P23" s="243">
        <f t="shared" si="12"/>
        <v>13.472</v>
      </c>
      <c r="Q23" s="244">
        <f>13472/1000</f>
        <v>13.472</v>
      </c>
      <c r="R23" s="244"/>
      <c r="S23" s="247">
        <f t="shared" si="3"/>
        <v>0</v>
      </c>
      <c r="T23" s="313">
        <f t="shared" si="4"/>
        <v>0</v>
      </c>
    </row>
    <row r="24" spans="1:23" ht="37.5" x14ac:dyDescent="0.25">
      <c r="A24" s="312" t="s">
        <v>101</v>
      </c>
      <c r="B24" s="241" t="s">
        <v>102</v>
      </c>
      <c r="C24" s="242">
        <f>34416.7/1000</f>
        <v>34.416699999999999</v>
      </c>
      <c r="D24" s="259">
        <f t="shared" si="10"/>
        <v>34.416699999999999</v>
      </c>
      <c r="E24" s="244">
        <f>34416.7/1000</f>
        <v>34.416699999999999</v>
      </c>
      <c r="F24" s="244"/>
      <c r="G24" s="245">
        <f t="shared" si="9"/>
        <v>0</v>
      </c>
      <c r="H24" s="245">
        <f t="shared" si="6"/>
        <v>0</v>
      </c>
      <c r="I24" s="244">
        <f>28650.9/1000</f>
        <v>28.6509</v>
      </c>
      <c r="J24" s="261">
        <f t="shared" si="11"/>
        <v>28.6509</v>
      </c>
      <c r="K24" s="244">
        <f>28650.9/1000</f>
        <v>28.6509</v>
      </c>
      <c r="L24" s="244"/>
      <c r="M24" s="245">
        <f t="shared" si="1"/>
        <v>0</v>
      </c>
      <c r="N24" s="245">
        <f t="shared" si="8"/>
        <v>0</v>
      </c>
      <c r="O24" s="244">
        <f>22146.1/1000</f>
        <v>22.146099999999997</v>
      </c>
      <c r="P24" s="243">
        <f t="shared" si="12"/>
        <v>22.146099999999997</v>
      </c>
      <c r="Q24" s="244">
        <f>22146.1/1000</f>
        <v>22.146099999999997</v>
      </c>
      <c r="R24" s="244"/>
      <c r="S24" s="247">
        <f t="shared" si="3"/>
        <v>0</v>
      </c>
      <c r="T24" s="313">
        <f t="shared" si="4"/>
        <v>0</v>
      </c>
    </row>
    <row r="25" spans="1:23" ht="37.5" x14ac:dyDescent="0.25">
      <c r="A25" s="314" t="s">
        <v>103</v>
      </c>
      <c r="B25" s="250" t="s">
        <v>104</v>
      </c>
      <c r="C25" s="251">
        <f>2306263.1/1000</f>
        <v>2306.2631000000001</v>
      </c>
      <c r="D25" s="259">
        <f t="shared" si="10"/>
        <v>2306.2629999999999</v>
      </c>
      <c r="E25" s="262">
        <f>1284216.7/1000</f>
        <v>1284.2166999999999</v>
      </c>
      <c r="F25" s="262">
        <f>1022046.3/1000</f>
        <v>1022.0463000000001</v>
      </c>
      <c r="G25" s="253">
        <f t="shared" si="9"/>
        <v>1.0000000020227162E-4</v>
      </c>
      <c r="H25" s="253">
        <f t="shared" si="6"/>
        <v>4.3360189181385067E-6</v>
      </c>
      <c r="I25" s="262">
        <f>1601525.1/1000</f>
        <v>1601.5251000000001</v>
      </c>
      <c r="J25" s="261">
        <f t="shared" si="11"/>
        <v>1601.5250999999998</v>
      </c>
      <c r="K25" s="254">
        <f>300982.1/1000</f>
        <v>300.9821</v>
      </c>
      <c r="L25" s="254">
        <f>1300543/1000</f>
        <v>1300.5429999999999</v>
      </c>
      <c r="M25" s="255">
        <f t="shared" si="1"/>
        <v>0</v>
      </c>
      <c r="N25" s="255">
        <f t="shared" si="8"/>
        <v>0</v>
      </c>
      <c r="O25" s="254">
        <f>897683.2/1000</f>
        <v>897.68319999999994</v>
      </c>
      <c r="P25" s="243">
        <f t="shared" si="12"/>
        <v>897.68319999999994</v>
      </c>
      <c r="Q25" s="254">
        <f>71596.5/1000</f>
        <v>71.596500000000006</v>
      </c>
      <c r="R25" s="254">
        <f>826086.7/1000</f>
        <v>826.08669999999995</v>
      </c>
      <c r="S25" s="256">
        <f t="shared" si="3"/>
        <v>0</v>
      </c>
      <c r="T25" s="316">
        <f t="shared" si="4"/>
        <v>0</v>
      </c>
    </row>
    <row r="26" spans="1:23" s="72" customFormat="1" ht="39" x14ac:dyDescent="0.3">
      <c r="A26" s="310" t="s">
        <v>431</v>
      </c>
      <c r="B26" s="236" t="s">
        <v>105</v>
      </c>
      <c r="C26" s="237">
        <f>SUM(C27:C34)</f>
        <v>14038.878699999999</v>
      </c>
      <c r="D26" s="237">
        <f>E26+F26</f>
        <v>14038.878900000002</v>
      </c>
      <c r="E26" s="237">
        <f>SUM(E27:E34)</f>
        <v>9990.4049000000014</v>
      </c>
      <c r="F26" s="237">
        <f>SUM(F27:F34)</f>
        <v>4048.4740000000002</v>
      </c>
      <c r="G26" s="238">
        <f t="shared" si="9"/>
        <v>-2.0000000222353265E-4</v>
      </c>
      <c r="H26" s="238">
        <f t="shared" si="6"/>
        <v>-1.4246151920360717E-6</v>
      </c>
      <c r="I26" s="237">
        <f>SUM(I27:I34)</f>
        <v>13129.283100000001</v>
      </c>
      <c r="J26" s="237">
        <f>SUM(J27:J34)</f>
        <v>11816.198000000002</v>
      </c>
      <c r="K26" s="237">
        <f>SUM(K27:K34)</f>
        <v>8491.4408000000003</v>
      </c>
      <c r="L26" s="237">
        <f>SUM(L27:L34)</f>
        <v>3324.7572</v>
      </c>
      <c r="M26" s="238">
        <f>I26-J26</f>
        <v>1313.0850999999984</v>
      </c>
      <c r="N26" s="238">
        <f t="shared" si="8"/>
        <v>11.112585452613416</v>
      </c>
      <c r="O26" s="237">
        <f>SUM(O27:O34)</f>
        <v>14702.320600000005</v>
      </c>
      <c r="P26" s="237">
        <f>SUM(P27:P34)</f>
        <v>12786.963</v>
      </c>
      <c r="Q26" s="237">
        <f t="shared" ref="Q26" si="13">SUM(Q27:Q34)</f>
        <v>9464.1637999999984</v>
      </c>
      <c r="R26" s="237">
        <f>SUM(R27:R34)</f>
        <v>3322.7991999999999</v>
      </c>
      <c r="S26" s="240">
        <f t="shared" si="3"/>
        <v>1915.3576000000048</v>
      </c>
      <c r="T26" s="311">
        <f t="shared" si="4"/>
        <v>14.978987582899904</v>
      </c>
    </row>
    <row r="27" spans="1:23" ht="37.5" x14ac:dyDescent="0.25">
      <c r="A27" s="312" t="s">
        <v>106</v>
      </c>
      <c r="B27" s="241" t="s">
        <v>107</v>
      </c>
      <c r="C27" s="242">
        <f>2963786.4/1000</f>
        <v>2963.7864</v>
      </c>
      <c r="D27" s="259">
        <f>E27+F27</f>
        <v>2963.7864</v>
      </c>
      <c r="E27" s="244">
        <f>2963578.9/1000</f>
        <v>2963.5789</v>
      </c>
      <c r="F27" s="244">
        <f>207.5/1000</f>
        <v>0.20749999999999999</v>
      </c>
      <c r="G27" s="245">
        <f t="shared" si="9"/>
        <v>0</v>
      </c>
      <c r="H27" s="245">
        <f t="shared" si="6"/>
        <v>0</v>
      </c>
      <c r="I27" s="244">
        <f>3065562.2/1000</f>
        <v>3065.5622000000003</v>
      </c>
      <c r="J27" s="243">
        <f>K27+L27</f>
        <v>2450.5681</v>
      </c>
      <c r="K27" s="244">
        <f>2450360.6/1000</f>
        <v>2450.3606</v>
      </c>
      <c r="L27" s="244">
        <f>207.5/1000</f>
        <v>0.20749999999999999</v>
      </c>
      <c r="M27" s="245">
        <f t="shared" si="1"/>
        <v>614.99410000000034</v>
      </c>
      <c r="N27" s="245">
        <f t="shared" si="8"/>
        <v>25.095980805430401</v>
      </c>
      <c r="O27" s="244">
        <f>3168303.9/1000</f>
        <v>3168.3038999999999</v>
      </c>
      <c r="P27" s="243">
        <f>Q27+R27</f>
        <v>3047.4324999999999</v>
      </c>
      <c r="Q27" s="244">
        <f>3047225/1000</f>
        <v>3047.2249999999999</v>
      </c>
      <c r="R27" s="244">
        <f>207.5/1000</f>
        <v>0.20749999999999999</v>
      </c>
      <c r="S27" s="247">
        <f t="shared" si="3"/>
        <v>120.87139999999999</v>
      </c>
      <c r="T27" s="313">
        <f t="shared" si="4"/>
        <v>3.9663355956202508</v>
      </c>
    </row>
    <row r="28" spans="1:23" ht="37.5" x14ac:dyDescent="0.25">
      <c r="A28" s="312" t="s">
        <v>108</v>
      </c>
      <c r="B28" s="241" t="s">
        <v>109</v>
      </c>
      <c r="C28" s="242">
        <f>10462116/1000</f>
        <v>10462.116</v>
      </c>
      <c r="D28" s="259">
        <f t="shared" ref="D28:D34" si="14">E28+F28</f>
        <v>10462.116099999999</v>
      </c>
      <c r="E28" s="244">
        <f>6413849.6/1000</f>
        <v>6413.8495999999996</v>
      </c>
      <c r="F28" s="244">
        <f>4048266.5/1000</f>
        <v>4048.2665000000002</v>
      </c>
      <c r="G28" s="245">
        <f t="shared" si="9"/>
        <v>-9.999999929277692E-5</v>
      </c>
      <c r="H28" s="245">
        <f t="shared" si="6"/>
        <v>-9.5582957726492168E-7</v>
      </c>
      <c r="I28" s="244">
        <f>9563815.7/1000</f>
        <v>9563.8156999999992</v>
      </c>
      <c r="J28" s="243">
        <f t="shared" ref="J28:J34" si="15">K28+L28</f>
        <v>8662.5665000000008</v>
      </c>
      <c r="K28" s="244">
        <f>5488674.8/1000</f>
        <v>5488.6747999999998</v>
      </c>
      <c r="L28" s="244">
        <f>3173891.7/1000</f>
        <v>3173.8917000000001</v>
      </c>
      <c r="M28" s="245">
        <f t="shared" si="1"/>
        <v>901.24919999999838</v>
      </c>
      <c r="N28" s="245">
        <f t="shared" si="8"/>
        <v>10.403951300114088</v>
      </c>
      <c r="O28" s="244">
        <f>11026698.9/1000</f>
        <v>11026.698900000001</v>
      </c>
      <c r="P28" s="243">
        <f t="shared" ref="P28:P33" si="16">Q28+R28</f>
        <v>8662.5665000000008</v>
      </c>
      <c r="Q28" s="244">
        <f>5488674.8/1000</f>
        <v>5488.6747999999998</v>
      </c>
      <c r="R28" s="244">
        <f>3173891.7/1000</f>
        <v>3173.8917000000001</v>
      </c>
      <c r="S28" s="247">
        <f t="shared" si="3"/>
        <v>2364.1324000000004</v>
      </c>
      <c r="T28" s="313">
        <f t="shared" si="4"/>
        <v>27.291362207724475</v>
      </c>
    </row>
    <row r="29" spans="1:23" ht="25" x14ac:dyDescent="0.25">
      <c r="A29" s="312" t="s">
        <v>110</v>
      </c>
      <c r="B29" s="241" t="s">
        <v>111</v>
      </c>
      <c r="C29" s="242">
        <f>465731.9/1000</f>
        <v>465.7319</v>
      </c>
      <c r="D29" s="259">
        <f t="shared" si="14"/>
        <v>465.7319</v>
      </c>
      <c r="E29" s="244">
        <f>465731.9/1000</f>
        <v>465.7319</v>
      </c>
      <c r="F29" s="244"/>
      <c r="G29" s="245">
        <f t="shared" si="9"/>
        <v>0</v>
      </c>
      <c r="H29" s="245">
        <f t="shared" si="6"/>
        <v>0</v>
      </c>
      <c r="I29" s="244">
        <f>412221.6/1000</f>
        <v>412.22159999999997</v>
      </c>
      <c r="J29" s="243">
        <f t="shared" si="15"/>
        <v>463.39049999999997</v>
      </c>
      <c r="K29" s="244">
        <f>463390.5/1000</f>
        <v>463.39049999999997</v>
      </c>
      <c r="L29" s="244"/>
      <c r="M29" s="245">
        <f t="shared" si="1"/>
        <v>-51.168900000000008</v>
      </c>
      <c r="N29" s="245">
        <f t="shared" si="8"/>
        <v>-11.04228507058302</v>
      </c>
      <c r="O29" s="244">
        <f>416320.9/1000</f>
        <v>416.32090000000005</v>
      </c>
      <c r="P29" s="243">
        <f t="shared" si="16"/>
        <v>463.39049999999997</v>
      </c>
      <c r="Q29" s="244">
        <f>463390.5/1000</f>
        <v>463.39049999999997</v>
      </c>
      <c r="R29" s="244"/>
      <c r="S29" s="247">
        <f t="shared" si="3"/>
        <v>-47.069599999999923</v>
      </c>
      <c r="T29" s="313">
        <f t="shared" si="4"/>
        <v>-10.15765321041323</v>
      </c>
    </row>
    <row r="30" spans="1:23" ht="25" x14ac:dyDescent="0.25">
      <c r="A30" s="312" t="s">
        <v>112</v>
      </c>
      <c r="B30" s="241" t="s">
        <v>113</v>
      </c>
      <c r="C30" s="242">
        <f>61199.1/1000</f>
        <v>61.199100000000001</v>
      </c>
      <c r="D30" s="259">
        <f t="shared" si="14"/>
        <v>61.198999999999998</v>
      </c>
      <c r="E30" s="244">
        <f>61199/1000</f>
        <v>61.198999999999998</v>
      </c>
      <c r="F30" s="244"/>
      <c r="G30" s="245">
        <f t="shared" si="9"/>
        <v>1.0000000000331966E-4</v>
      </c>
      <c r="H30" s="245">
        <f t="shared" si="6"/>
        <v>1.6340136276937756E-4</v>
      </c>
      <c r="I30" s="244">
        <f>34235.5/1000</f>
        <v>34.235500000000002</v>
      </c>
      <c r="J30" s="243">
        <f t="shared" si="15"/>
        <v>46.899099999999997</v>
      </c>
      <c r="K30" s="244">
        <f>46899.1/1000</f>
        <v>46.899099999999997</v>
      </c>
      <c r="L30" s="244"/>
      <c r="M30" s="245">
        <f t="shared" si="1"/>
        <v>-12.663599999999995</v>
      </c>
      <c r="N30" s="245">
        <f t="shared" si="8"/>
        <v>-27.001797475857742</v>
      </c>
      <c r="O30" s="244">
        <f>34181.8/1000</f>
        <v>34.181800000000003</v>
      </c>
      <c r="P30" s="243">
        <f t="shared" si="16"/>
        <v>46.899099999999997</v>
      </c>
      <c r="Q30" s="244">
        <f>46899.1/1000</f>
        <v>46.899099999999997</v>
      </c>
      <c r="R30" s="244"/>
      <c r="S30" s="247">
        <f t="shared" si="3"/>
        <v>-12.717299999999994</v>
      </c>
      <c r="T30" s="313">
        <f t="shared" si="4"/>
        <v>-27.116298607009497</v>
      </c>
    </row>
    <row r="31" spans="1:23" ht="37.5" x14ac:dyDescent="0.25">
      <c r="A31" s="312" t="s">
        <v>114</v>
      </c>
      <c r="B31" s="241" t="s">
        <v>115</v>
      </c>
      <c r="C31" s="242">
        <f>28666.5/1000</f>
        <v>28.666499999999999</v>
      </c>
      <c r="D31" s="259">
        <f t="shared" si="14"/>
        <v>28.666499999999999</v>
      </c>
      <c r="E31" s="244">
        <f>28666.5/1000</f>
        <v>28.666499999999999</v>
      </c>
      <c r="F31" s="244"/>
      <c r="G31" s="245">
        <f t="shared" si="9"/>
        <v>0</v>
      </c>
      <c r="H31" s="245">
        <f t="shared" si="6"/>
        <v>0</v>
      </c>
      <c r="I31" s="244">
        <f>31498.7/1000</f>
        <v>31.498699999999999</v>
      </c>
      <c r="J31" s="243">
        <f t="shared" si="15"/>
        <v>162.69</v>
      </c>
      <c r="K31" s="244">
        <f>12032/1000</f>
        <v>12.032</v>
      </c>
      <c r="L31" s="244">
        <f>150658/1000</f>
        <v>150.65799999999999</v>
      </c>
      <c r="M31" s="245">
        <f t="shared" si="1"/>
        <v>-131.19130000000001</v>
      </c>
      <c r="N31" s="245">
        <f t="shared" si="8"/>
        <v>-80.638822300079909</v>
      </c>
      <c r="O31" s="244">
        <f>33599/1000</f>
        <v>33.598999999999997</v>
      </c>
      <c r="P31" s="243">
        <f t="shared" si="16"/>
        <v>203.136</v>
      </c>
      <c r="Q31" s="244">
        <f>54436/1000</f>
        <v>54.436</v>
      </c>
      <c r="R31" s="244">
        <f>148700/1000</f>
        <v>148.69999999999999</v>
      </c>
      <c r="S31" s="247">
        <f t="shared" si="3"/>
        <v>-169.53700000000001</v>
      </c>
      <c r="T31" s="313">
        <f t="shared" si="4"/>
        <v>-83.459849558916204</v>
      </c>
    </row>
    <row r="32" spans="1:23" ht="37.5" x14ac:dyDescent="0.25">
      <c r="A32" s="312" t="s">
        <v>116</v>
      </c>
      <c r="B32" s="241" t="s">
        <v>117</v>
      </c>
      <c r="C32" s="242">
        <f>2662.1/1000</f>
        <v>2.6620999999999997</v>
      </c>
      <c r="D32" s="259">
        <f t="shared" si="14"/>
        <v>2.6620999999999997</v>
      </c>
      <c r="E32" s="244">
        <f>2662.1/1000</f>
        <v>2.6620999999999997</v>
      </c>
      <c r="F32" s="244"/>
      <c r="G32" s="245">
        <f t="shared" si="9"/>
        <v>0</v>
      </c>
      <c r="H32" s="245">
        <f t="shared" si="6"/>
        <v>0</v>
      </c>
      <c r="I32" s="244">
        <f>1862.1/1000</f>
        <v>1.8620999999999999</v>
      </c>
      <c r="J32" s="243">
        <f t="shared" si="15"/>
        <v>2.0320999999999998</v>
      </c>
      <c r="K32" s="244">
        <f>2032.1/1000</f>
        <v>2.0320999999999998</v>
      </c>
      <c r="L32" s="244"/>
      <c r="M32" s="245">
        <f t="shared" si="1"/>
        <v>-0.16999999999999993</v>
      </c>
      <c r="N32" s="245">
        <f t="shared" si="8"/>
        <v>-8.3657300329708164</v>
      </c>
      <c r="O32" s="244">
        <f>1862.1/1000</f>
        <v>1.8620999999999999</v>
      </c>
      <c r="P32" s="243">
        <f t="shared" si="16"/>
        <v>2.0320999999999998</v>
      </c>
      <c r="Q32" s="244">
        <f>2032.1/1000</f>
        <v>2.0320999999999998</v>
      </c>
      <c r="R32" s="244"/>
      <c r="S32" s="247">
        <f t="shared" si="3"/>
        <v>-0.16999999999999993</v>
      </c>
      <c r="T32" s="313">
        <f t="shared" si="4"/>
        <v>-8.3657300329708164</v>
      </c>
    </row>
    <row r="33" spans="1:20" x14ac:dyDescent="0.25">
      <c r="A33" s="312" t="s">
        <v>118</v>
      </c>
      <c r="B33" s="241" t="s">
        <v>119</v>
      </c>
      <c r="C33" s="242">
        <f>39346.1/1000</f>
        <v>39.3461</v>
      </c>
      <c r="D33" s="259">
        <f t="shared" si="14"/>
        <v>39.3461</v>
      </c>
      <c r="E33" s="244">
        <f>39346.1/1000</f>
        <v>39.3461</v>
      </c>
      <c r="F33" s="244"/>
      <c r="G33" s="245">
        <f t="shared" si="9"/>
        <v>0</v>
      </c>
      <c r="H33" s="245">
        <f t="shared" si="6"/>
        <v>0</v>
      </c>
      <c r="I33" s="244">
        <f>6000/1000</f>
        <v>6</v>
      </c>
      <c r="J33" s="243">
        <f t="shared" si="15"/>
        <v>14.8851</v>
      </c>
      <c r="K33" s="244">
        <f>14885.1/1000</f>
        <v>14.8851</v>
      </c>
      <c r="L33" s="244"/>
      <c r="M33" s="245">
        <f t="shared" si="1"/>
        <v>-8.8850999999999996</v>
      </c>
      <c r="N33" s="245">
        <f t="shared" si="8"/>
        <v>-59.691234859020092</v>
      </c>
      <c r="O33" s="244">
        <f>6428.9/1000</f>
        <v>6.4288999999999996</v>
      </c>
      <c r="P33" s="243">
        <f t="shared" si="16"/>
        <v>30.594999999999999</v>
      </c>
      <c r="Q33" s="244">
        <f>30595/1000</f>
        <v>30.594999999999999</v>
      </c>
      <c r="R33" s="244"/>
      <c r="S33" s="247">
        <f t="shared" si="3"/>
        <v>-24.1661</v>
      </c>
      <c r="T33" s="313">
        <f t="shared" si="4"/>
        <v>-78.987089393691775</v>
      </c>
    </row>
    <row r="34" spans="1:20" x14ac:dyDescent="0.25">
      <c r="A34" s="314" t="s">
        <v>120</v>
      </c>
      <c r="B34" s="250" t="s">
        <v>121</v>
      </c>
      <c r="C34" s="251">
        <f>15370.6/1000</f>
        <v>15.3706</v>
      </c>
      <c r="D34" s="259">
        <f t="shared" si="14"/>
        <v>15.370799999999999</v>
      </c>
      <c r="E34" s="262">
        <f>15370.8/1000</f>
        <v>15.370799999999999</v>
      </c>
      <c r="F34" s="262"/>
      <c r="G34" s="253">
        <f t="shared" si="9"/>
        <v>-1.9999999999953388E-4</v>
      </c>
      <c r="H34" s="253">
        <f t="shared" si="6"/>
        <v>-1.3011684492596487E-3</v>
      </c>
      <c r="I34" s="262">
        <f>14087.3/1000</f>
        <v>14.087299999999999</v>
      </c>
      <c r="J34" s="243">
        <f t="shared" si="15"/>
        <v>13.166600000000001</v>
      </c>
      <c r="K34" s="254">
        <f>13166.6/1000</f>
        <v>13.166600000000001</v>
      </c>
      <c r="L34" s="254"/>
      <c r="M34" s="255">
        <f t="shared" si="1"/>
        <v>0.9206999999999983</v>
      </c>
      <c r="N34" s="255">
        <f t="shared" si="8"/>
        <v>6.992693633891804</v>
      </c>
      <c r="O34" s="254">
        <f>14925.1/1000</f>
        <v>14.9251</v>
      </c>
      <c r="P34" s="243">
        <f>Q34+R34</f>
        <v>330.91129999999998</v>
      </c>
      <c r="Q34" s="254">
        <f>330911.3/1000</f>
        <v>330.91129999999998</v>
      </c>
      <c r="R34" s="254"/>
      <c r="S34" s="256">
        <f t="shared" si="3"/>
        <v>-315.9862</v>
      </c>
      <c r="T34" s="316">
        <f t="shared" si="4"/>
        <v>-95.489697692402771</v>
      </c>
    </row>
    <row r="35" spans="1:20" s="72" customFormat="1" ht="39" x14ac:dyDescent="0.3">
      <c r="A35" s="317" t="s">
        <v>484</v>
      </c>
      <c r="B35" s="263" t="s">
        <v>122</v>
      </c>
      <c r="C35" s="264">
        <f>1785755.7/1000</f>
        <v>1785.7556999999999</v>
      </c>
      <c r="D35" s="264">
        <f>E35+F35</f>
        <v>1785.7548999999999</v>
      </c>
      <c r="E35" s="264">
        <f>1545879/1000</f>
        <v>1545.8789999999999</v>
      </c>
      <c r="F35" s="264">
        <f>239875.9/1000</f>
        <v>239.8759</v>
      </c>
      <c r="G35" s="265">
        <f t="shared" si="9"/>
        <v>8.0000000002655725E-4</v>
      </c>
      <c r="H35" s="265">
        <f t="shared" si="6"/>
        <v>4.479898110787417E-5</v>
      </c>
      <c r="I35" s="264">
        <f>2030028/1000</f>
        <v>2030.028</v>
      </c>
      <c r="J35" s="264">
        <f>K35+L35</f>
        <v>2192.8881999999999</v>
      </c>
      <c r="K35" s="264">
        <f>1877840.4/1000</f>
        <v>1877.8403999999998</v>
      </c>
      <c r="L35" s="264">
        <f>315047.8/1000</f>
        <v>315.0478</v>
      </c>
      <c r="M35" s="265">
        <f>I35-J35</f>
        <v>-162.86019999999985</v>
      </c>
      <c r="N35" s="265">
        <f t="shared" si="8"/>
        <v>-7.4267443274125782</v>
      </c>
      <c r="O35" s="264">
        <f>1481825/1000</f>
        <v>1481.825</v>
      </c>
      <c r="P35" s="264">
        <f>Q35+R35</f>
        <v>1693.3776</v>
      </c>
      <c r="Q35" s="264">
        <f>1601183.9/1000</f>
        <v>1601.1839</v>
      </c>
      <c r="R35" s="264">
        <f>92193.7/1000</f>
        <v>92.193699999999993</v>
      </c>
      <c r="S35" s="266">
        <f t="shared" si="3"/>
        <v>-211.55259999999998</v>
      </c>
      <c r="T35" s="318">
        <f t="shared" si="4"/>
        <v>-12.492937192508037</v>
      </c>
    </row>
    <row r="36" spans="1:20" s="72" customFormat="1" ht="65" x14ac:dyDescent="0.3">
      <c r="A36" s="310" t="s">
        <v>485</v>
      </c>
      <c r="B36" s="236" t="s">
        <v>123</v>
      </c>
      <c r="C36" s="237">
        <f>C37+C38+C39+C40</f>
        <v>1160.7158000000002</v>
      </c>
      <c r="D36" s="267">
        <f t="shared" si="5"/>
        <v>1160.7157999999999</v>
      </c>
      <c r="E36" s="267">
        <f>E37+E38+E39+E40</f>
        <v>893.06860000000006</v>
      </c>
      <c r="F36" s="267">
        <f>F37+F38+F39+F40</f>
        <v>267.6472</v>
      </c>
      <c r="G36" s="268">
        <f t="shared" si="9"/>
        <v>0</v>
      </c>
      <c r="H36" s="268">
        <f t="shared" si="6"/>
        <v>0</v>
      </c>
      <c r="I36" s="237">
        <f>I37+I38+I39+I40</f>
        <v>1053.4692</v>
      </c>
      <c r="J36" s="237">
        <f>J37+J38+J39+J40</f>
        <v>1053.4692</v>
      </c>
      <c r="K36" s="237">
        <f>K37+K38+K39+K40</f>
        <v>803.27160000000003</v>
      </c>
      <c r="L36" s="237">
        <f>L37+L38+L39+L40</f>
        <v>250.19759999999999</v>
      </c>
      <c r="M36" s="238">
        <f>I36-J36</f>
        <v>0</v>
      </c>
      <c r="N36" s="238">
        <f t="shared" si="8"/>
        <v>0</v>
      </c>
      <c r="O36" s="237">
        <f>O37+O38+O39+O40</f>
        <v>1043.6188</v>
      </c>
      <c r="P36" s="237">
        <f>P37+P38+P39+P40</f>
        <v>1043.6187</v>
      </c>
      <c r="Q36" s="237">
        <f>Q37+Q38+Q39+Q40</f>
        <v>815.60449999999992</v>
      </c>
      <c r="R36" s="237">
        <f>R37+R38+R39+R40</f>
        <v>228.01419999999999</v>
      </c>
      <c r="S36" s="240">
        <f t="shared" si="3"/>
        <v>9.9999999974897946E-5</v>
      </c>
      <c r="T36" s="311">
        <f t="shared" si="4"/>
        <v>9.5820437167049022E-6</v>
      </c>
    </row>
    <row r="37" spans="1:20" ht="25" x14ac:dyDescent="0.25">
      <c r="A37" s="319" t="s">
        <v>486</v>
      </c>
      <c r="B37" s="241" t="s">
        <v>124</v>
      </c>
      <c r="C37" s="242">
        <f>753858.4/1000</f>
        <v>753.85840000000007</v>
      </c>
      <c r="D37" s="259">
        <f>E37+F37</f>
        <v>753.85839999999996</v>
      </c>
      <c r="E37" s="244">
        <f>540445.7/1000</f>
        <v>540.44569999999999</v>
      </c>
      <c r="F37" s="244">
        <f>213412.7/1000</f>
        <v>213.4127</v>
      </c>
      <c r="G37" s="245">
        <f>C37-D37</f>
        <v>0</v>
      </c>
      <c r="H37" s="245">
        <f t="shared" si="6"/>
        <v>0</v>
      </c>
      <c r="I37" s="244">
        <f>655041.3/1000</f>
        <v>655.04130000000009</v>
      </c>
      <c r="J37" s="243">
        <f>K37+L37</f>
        <v>655.04129999999998</v>
      </c>
      <c r="K37" s="244">
        <f>461673.1/1000</f>
        <v>461.67309999999998</v>
      </c>
      <c r="L37" s="244">
        <f>193368.2/1000</f>
        <v>193.3682</v>
      </c>
      <c r="M37" s="245">
        <f t="shared" si="1"/>
        <v>0</v>
      </c>
      <c r="N37" s="245">
        <f t="shared" si="8"/>
        <v>0</v>
      </c>
      <c r="O37" s="244">
        <f>669300.4/1000</f>
        <v>669.30039999999997</v>
      </c>
      <c r="P37" s="243">
        <f>Q37+R37</f>
        <v>669.30029999999999</v>
      </c>
      <c r="Q37" s="244">
        <f>462616.5/1000</f>
        <v>462.61649999999997</v>
      </c>
      <c r="R37" s="244">
        <f>206683.8/1000</f>
        <v>206.68379999999999</v>
      </c>
      <c r="S37" s="247">
        <f t="shared" si="3"/>
        <v>9.9999999974897946E-5</v>
      </c>
      <c r="T37" s="313">
        <f t="shared" si="4"/>
        <v>1.4940976413413409E-5</v>
      </c>
    </row>
    <row r="38" spans="1:20" ht="25" x14ac:dyDescent="0.25">
      <c r="A38" s="312" t="s">
        <v>125</v>
      </c>
      <c r="B38" s="241" t="s">
        <v>126</v>
      </c>
      <c r="C38" s="242">
        <f>10868.9/1000</f>
        <v>10.8689</v>
      </c>
      <c r="D38" s="259">
        <f t="shared" ref="D38:D40" si="17">E38+F38</f>
        <v>10.8689</v>
      </c>
      <c r="E38" s="244">
        <f>10187.5/1000</f>
        <v>10.1875</v>
      </c>
      <c r="F38" s="244">
        <f>681.4/1000</f>
        <v>0.68140000000000001</v>
      </c>
      <c r="G38" s="245">
        <f t="shared" si="9"/>
        <v>0</v>
      </c>
      <c r="H38" s="245">
        <f t="shared" si="6"/>
        <v>0</v>
      </c>
      <c r="I38" s="244">
        <f>2870.9/1000</f>
        <v>2.8709000000000002</v>
      </c>
      <c r="J38" s="243">
        <f t="shared" ref="J38:J40" si="18">K38+L38</f>
        <v>2.8708999999999998</v>
      </c>
      <c r="K38" s="244">
        <f>2189.5/1000</f>
        <v>2.1894999999999998</v>
      </c>
      <c r="L38" s="244">
        <f>681.4/1000</f>
        <v>0.68140000000000001</v>
      </c>
      <c r="M38" s="245">
        <f t="shared" si="1"/>
        <v>0</v>
      </c>
      <c r="N38" s="245">
        <f t="shared" si="8"/>
        <v>0</v>
      </c>
      <c r="O38" s="244">
        <f>5763.4/1000</f>
        <v>5.7633999999999999</v>
      </c>
      <c r="P38" s="243">
        <f t="shared" ref="P38:P40" si="19">Q38+R38</f>
        <v>5.7633999999999999</v>
      </c>
      <c r="Q38" s="244">
        <f>5082/1000</f>
        <v>5.0819999999999999</v>
      </c>
      <c r="R38" s="244">
        <f>681.4/1000</f>
        <v>0.68140000000000001</v>
      </c>
      <c r="S38" s="247">
        <f t="shared" si="3"/>
        <v>0</v>
      </c>
      <c r="T38" s="313">
        <f t="shared" si="4"/>
        <v>0</v>
      </c>
    </row>
    <row r="39" spans="1:20" ht="25" x14ac:dyDescent="0.25">
      <c r="A39" s="312" t="s">
        <v>127</v>
      </c>
      <c r="B39" s="241" t="s">
        <v>128</v>
      </c>
      <c r="C39" s="242">
        <f>327455.4/1000</f>
        <v>327.4554</v>
      </c>
      <c r="D39" s="259">
        <f t="shared" si="17"/>
        <v>327.4554</v>
      </c>
      <c r="E39" s="244">
        <f>327455.4/1000</f>
        <v>327.4554</v>
      </c>
      <c r="F39" s="244"/>
      <c r="G39" s="245">
        <f t="shared" si="9"/>
        <v>0</v>
      </c>
      <c r="H39" s="245">
        <f t="shared" si="6"/>
        <v>0</v>
      </c>
      <c r="I39" s="244">
        <f>329036/1000</f>
        <v>329.036</v>
      </c>
      <c r="J39" s="243">
        <f t="shared" si="18"/>
        <v>329.036</v>
      </c>
      <c r="K39" s="244">
        <f>329036/1000</f>
        <v>329.036</v>
      </c>
      <c r="L39" s="244"/>
      <c r="M39" s="245">
        <f t="shared" si="1"/>
        <v>0</v>
      </c>
      <c r="N39" s="245">
        <f t="shared" si="8"/>
        <v>0</v>
      </c>
      <c r="O39" s="244">
        <f>345611.7/1000</f>
        <v>345.61169999999998</v>
      </c>
      <c r="P39" s="243">
        <f t="shared" si="19"/>
        <v>345.61169999999998</v>
      </c>
      <c r="Q39" s="244">
        <f>345611.7/1000</f>
        <v>345.61169999999998</v>
      </c>
      <c r="R39" s="244"/>
      <c r="S39" s="247">
        <f t="shared" si="3"/>
        <v>0</v>
      </c>
      <c r="T39" s="313">
        <f t="shared" si="4"/>
        <v>0</v>
      </c>
    </row>
    <row r="40" spans="1:20" ht="37.5" x14ac:dyDescent="0.25">
      <c r="A40" s="314" t="s">
        <v>129</v>
      </c>
      <c r="B40" s="250" t="s">
        <v>130</v>
      </c>
      <c r="C40" s="251">
        <f>68533.1/1000</f>
        <v>68.533100000000005</v>
      </c>
      <c r="D40" s="259">
        <f t="shared" si="17"/>
        <v>68.533100000000005</v>
      </c>
      <c r="E40" s="262">
        <f>14980/1000</f>
        <v>14.98</v>
      </c>
      <c r="F40" s="262">
        <f>53553.1/1000</f>
        <v>53.553100000000001</v>
      </c>
      <c r="G40" s="253">
        <f t="shared" si="9"/>
        <v>0</v>
      </c>
      <c r="H40" s="253">
        <f t="shared" si="6"/>
        <v>0</v>
      </c>
      <c r="I40" s="254">
        <f>66521/1000</f>
        <v>66.521000000000001</v>
      </c>
      <c r="J40" s="243">
        <f t="shared" si="18"/>
        <v>66.521000000000001</v>
      </c>
      <c r="K40" s="254">
        <f>10373/1000</f>
        <v>10.372999999999999</v>
      </c>
      <c r="L40" s="254">
        <f>56148/1000</f>
        <v>56.148000000000003</v>
      </c>
      <c r="M40" s="255">
        <f t="shared" si="1"/>
        <v>0</v>
      </c>
      <c r="N40" s="255">
        <f t="shared" si="8"/>
        <v>0</v>
      </c>
      <c r="O40" s="254">
        <f>22943.3/1000</f>
        <v>22.943300000000001</v>
      </c>
      <c r="P40" s="243">
        <f t="shared" si="19"/>
        <v>22.943300000000001</v>
      </c>
      <c r="Q40" s="254">
        <f>2294.3/1000</f>
        <v>2.2943000000000002</v>
      </c>
      <c r="R40" s="254">
        <f>20649/1000</f>
        <v>20.649000000000001</v>
      </c>
      <c r="S40" s="256">
        <f t="shared" si="3"/>
        <v>0</v>
      </c>
      <c r="T40" s="316">
        <f t="shared" si="4"/>
        <v>0</v>
      </c>
    </row>
    <row r="41" spans="1:20" s="72" customFormat="1" ht="65" x14ac:dyDescent="0.3">
      <c r="A41" s="310" t="s">
        <v>432</v>
      </c>
      <c r="B41" s="236" t="s">
        <v>131</v>
      </c>
      <c r="C41" s="237">
        <f>C42+C43+C45</f>
        <v>1278.8299</v>
      </c>
      <c r="D41" s="237">
        <f t="shared" si="5"/>
        <v>1278.8299000000002</v>
      </c>
      <c r="E41" s="237">
        <f>E42+E43+E45</f>
        <v>711.62630000000001</v>
      </c>
      <c r="F41" s="237">
        <f>F42+F43+F45</f>
        <v>567.20360000000005</v>
      </c>
      <c r="G41" s="238">
        <f t="shared" si="9"/>
        <v>0</v>
      </c>
      <c r="H41" s="238">
        <f t="shared" si="6"/>
        <v>0</v>
      </c>
      <c r="I41" s="237">
        <f>I42+I43+I45</f>
        <v>1712.8248999999998</v>
      </c>
      <c r="J41" s="237">
        <f>SUM(J42:J45)</f>
        <v>1906.5338000000002</v>
      </c>
      <c r="K41" s="237">
        <f>SUM(K42:K45)</f>
        <v>898.07459999999992</v>
      </c>
      <c r="L41" s="237">
        <f>SUM(L42:L45)</f>
        <v>1008.4592</v>
      </c>
      <c r="M41" s="238">
        <f>I41-J41</f>
        <v>-193.70890000000031</v>
      </c>
      <c r="N41" s="238">
        <f t="shared" si="8"/>
        <v>-10.160265713621257</v>
      </c>
      <c r="O41" s="237">
        <f>SUM(O42:O45)</f>
        <v>681.65689999999995</v>
      </c>
      <c r="P41" s="237">
        <f>SUM(P42:P45)</f>
        <v>2007.1113000000003</v>
      </c>
      <c r="Q41" s="237">
        <f>SUM(Q42:Q45)</f>
        <v>1583.2091000000003</v>
      </c>
      <c r="R41" s="237">
        <f>SUM(R42:R45)</f>
        <v>423.90220000000005</v>
      </c>
      <c r="S41" s="240">
        <f t="shared" si="3"/>
        <v>-1325.4544000000003</v>
      </c>
      <c r="T41" s="311">
        <f t="shared" si="4"/>
        <v>-66.037912297140679</v>
      </c>
    </row>
    <row r="42" spans="1:20" ht="37.5" x14ac:dyDescent="0.25">
      <c r="A42" s="312" t="s">
        <v>132</v>
      </c>
      <c r="B42" s="241" t="s">
        <v>133</v>
      </c>
      <c r="C42" s="242">
        <f>1017372.6/1000</f>
        <v>1017.3725999999999</v>
      </c>
      <c r="D42" s="259">
        <f>E42+F42</f>
        <v>1017.3725999999999</v>
      </c>
      <c r="E42" s="244">
        <f>473742.6/1000</f>
        <v>473.74259999999998</v>
      </c>
      <c r="F42" s="244">
        <f>543630/1000</f>
        <v>543.63</v>
      </c>
      <c r="G42" s="245">
        <f t="shared" si="9"/>
        <v>0</v>
      </c>
      <c r="H42" s="245">
        <f t="shared" si="6"/>
        <v>0</v>
      </c>
      <c r="I42" s="244">
        <f>1476215.4/1000</f>
        <v>1476.2153999999998</v>
      </c>
      <c r="J42" s="269">
        <f>K42+L42</f>
        <v>1667.2242000000001</v>
      </c>
      <c r="K42" s="270">
        <f>685534.2/1000</f>
        <v>685.53419999999994</v>
      </c>
      <c r="L42" s="271">
        <f>981690/1000</f>
        <v>981.69</v>
      </c>
      <c r="M42" s="245">
        <f t="shared" si="1"/>
        <v>-191.00880000000029</v>
      </c>
      <c r="N42" s="245">
        <f t="shared" si="8"/>
        <v>-11.456695506219276</v>
      </c>
      <c r="O42" s="244">
        <f>438817.6/1000</f>
        <v>438.81759999999997</v>
      </c>
      <c r="P42" s="243">
        <f>Q42+R42</f>
        <v>1759.5720000000001</v>
      </c>
      <c r="Q42" s="244">
        <f>1363074.6/1000</f>
        <v>1363.0746000000001</v>
      </c>
      <c r="R42" s="244">
        <f>396497.4/1000</f>
        <v>396.49740000000003</v>
      </c>
      <c r="S42" s="247">
        <f t="shared" si="3"/>
        <v>-1320.7544000000003</v>
      </c>
      <c r="T42" s="313">
        <f t="shared" si="4"/>
        <v>-75.061117135303363</v>
      </c>
    </row>
    <row r="43" spans="1:20" ht="25" x14ac:dyDescent="0.25">
      <c r="A43" s="312" t="s">
        <v>134</v>
      </c>
      <c r="B43" s="241" t="s">
        <v>135</v>
      </c>
      <c r="C43" s="242">
        <f>85573.6/1000</f>
        <v>85.573599999999999</v>
      </c>
      <c r="D43" s="259">
        <f t="shared" ref="D43:D45" si="20">E43+F43</f>
        <v>85.573599999999999</v>
      </c>
      <c r="E43" s="244">
        <f>62000/1000</f>
        <v>62</v>
      </c>
      <c r="F43" s="244">
        <f>23573.6/1000</f>
        <v>23.573599999999999</v>
      </c>
      <c r="G43" s="245">
        <f t="shared" si="9"/>
        <v>0</v>
      </c>
      <c r="H43" s="245">
        <f t="shared" si="6"/>
        <v>0</v>
      </c>
      <c r="I43" s="244">
        <f>77769.2/1000</f>
        <v>77.769199999999998</v>
      </c>
      <c r="J43" s="269">
        <f t="shared" ref="J43:J45" si="21">K43+L43</f>
        <v>77.769199999999998</v>
      </c>
      <c r="K43" s="246">
        <f>51000/1000</f>
        <v>51</v>
      </c>
      <c r="L43" s="244">
        <f>26769.2/1000</f>
        <v>26.769200000000001</v>
      </c>
      <c r="M43" s="245">
        <f t="shared" si="1"/>
        <v>0</v>
      </c>
      <c r="N43" s="245">
        <f t="shared" si="8"/>
        <v>0</v>
      </c>
      <c r="O43" s="244">
        <f>78404.8/1000</f>
        <v>78.404800000000009</v>
      </c>
      <c r="P43" s="243">
        <f t="shared" ref="P43:P45" si="22">Q43+R43</f>
        <v>78.404799999999994</v>
      </c>
      <c r="Q43" s="246">
        <f>51000/1000</f>
        <v>51</v>
      </c>
      <c r="R43" s="244">
        <f>27404.8/1000</f>
        <v>27.404799999999998</v>
      </c>
      <c r="S43" s="247">
        <f t="shared" si="3"/>
        <v>0</v>
      </c>
      <c r="T43" s="313">
        <f t="shared" si="4"/>
        <v>0</v>
      </c>
    </row>
    <row r="44" spans="1:20" ht="25" x14ac:dyDescent="0.25">
      <c r="A44" s="320" t="s">
        <v>553</v>
      </c>
      <c r="B44" s="272"/>
      <c r="C44" s="251"/>
      <c r="D44" s="259">
        <f t="shared" si="20"/>
        <v>0</v>
      </c>
      <c r="E44" s="262"/>
      <c r="F44" s="262"/>
      <c r="G44" s="245">
        <f t="shared" si="9"/>
        <v>0</v>
      </c>
      <c r="H44" s="245">
        <v>0</v>
      </c>
      <c r="I44" s="262"/>
      <c r="J44" s="269">
        <f t="shared" si="21"/>
        <v>2.7</v>
      </c>
      <c r="K44" s="273">
        <f>2700/1000</f>
        <v>2.7</v>
      </c>
      <c r="L44" s="262"/>
      <c r="M44" s="245">
        <f t="shared" si="1"/>
        <v>-2.7</v>
      </c>
      <c r="N44" s="245">
        <f t="shared" si="8"/>
        <v>-100</v>
      </c>
      <c r="O44" s="262"/>
      <c r="P44" s="243">
        <f t="shared" si="22"/>
        <v>4.7</v>
      </c>
      <c r="Q44" s="262">
        <f>4700/1000</f>
        <v>4.7</v>
      </c>
      <c r="R44" s="262"/>
      <c r="S44" s="247">
        <f t="shared" si="3"/>
        <v>-4.7</v>
      </c>
      <c r="T44" s="313">
        <f t="shared" si="4"/>
        <v>-100</v>
      </c>
    </row>
    <row r="45" spans="1:20" ht="25" x14ac:dyDescent="0.25">
      <c r="A45" s="314" t="s">
        <v>127</v>
      </c>
      <c r="B45" s="250" t="s">
        <v>136</v>
      </c>
      <c r="C45" s="251">
        <f>175883.7/1000</f>
        <v>175.8837</v>
      </c>
      <c r="D45" s="259">
        <f t="shared" si="20"/>
        <v>175.8837</v>
      </c>
      <c r="E45" s="262">
        <f>175883.7/1000</f>
        <v>175.8837</v>
      </c>
      <c r="F45" s="262"/>
      <c r="G45" s="253">
        <f t="shared" si="9"/>
        <v>0</v>
      </c>
      <c r="H45" s="253">
        <f t="shared" si="6"/>
        <v>0</v>
      </c>
      <c r="I45" s="262">
        <f>158840.3/1000</f>
        <v>158.84029999999998</v>
      </c>
      <c r="J45" s="269">
        <f t="shared" si="21"/>
        <v>158.84039999999999</v>
      </c>
      <c r="K45" s="274">
        <f>158840.4/1000</f>
        <v>158.84039999999999</v>
      </c>
      <c r="L45" s="254"/>
      <c r="M45" s="255">
        <f t="shared" si="1"/>
        <v>-1.0000000000331966E-4</v>
      </c>
      <c r="N45" s="255">
        <f t="shared" si="8"/>
        <v>-6.2956275613146317E-5</v>
      </c>
      <c r="O45" s="254">
        <f>164434.5/1000</f>
        <v>164.43450000000001</v>
      </c>
      <c r="P45" s="243">
        <f t="shared" si="22"/>
        <v>164.43450000000001</v>
      </c>
      <c r="Q45" s="254">
        <f>164434.5/1000</f>
        <v>164.43450000000001</v>
      </c>
      <c r="R45" s="254"/>
      <c r="S45" s="256">
        <f t="shared" si="3"/>
        <v>0</v>
      </c>
      <c r="T45" s="316">
        <f t="shared" si="4"/>
        <v>0</v>
      </c>
    </row>
    <row r="46" spans="1:20" s="72" customFormat="1" ht="52" x14ac:dyDescent="0.3">
      <c r="A46" s="310" t="s">
        <v>433</v>
      </c>
      <c r="B46" s="236" t="s">
        <v>137</v>
      </c>
      <c r="C46" s="237">
        <f>C47+C48+C50+C49+C51</f>
        <v>1164.8154999999999</v>
      </c>
      <c r="D46" s="237">
        <f t="shared" si="5"/>
        <v>1164.8155000000002</v>
      </c>
      <c r="E46" s="237">
        <f>E47+E48+E50+E49+E51</f>
        <v>484.60100000000006</v>
      </c>
      <c r="F46" s="237">
        <f>F47+F48+F50+F49+F51</f>
        <v>680.21450000000004</v>
      </c>
      <c r="G46" s="238">
        <f t="shared" si="9"/>
        <v>0</v>
      </c>
      <c r="H46" s="238">
        <f t="shared" si="6"/>
        <v>0</v>
      </c>
      <c r="I46" s="237">
        <f>I47+I48+I50+I49+I51</f>
        <v>1115.3002000000001</v>
      </c>
      <c r="J46" s="237">
        <f>J47+J48+J50+J49+J51</f>
        <v>1115.2912000000001</v>
      </c>
      <c r="K46" s="237">
        <f>K47+K48+K50+K49+K51</f>
        <v>436.00639999999999</v>
      </c>
      <c r="L46" s="237">
        <f>L47+L48+L50+L49+L51</f>
        <v>679.28480000000002</v>
      </c>
      <c r="M46" s="238">
        <f>I46-J46</f>
        <v>9.0000000000145519E-3</v>
      </c>
      <c r="N46" s="238">
        <f t="shared" si="8"/>
        <v>8.0696413635905628E-4</v>
      </c>
      <c r="O46" s="237">
        <f>O47+O48+O50+O49+O51</f>
        <v>1134.8458000000001</v>
      </c>
      <c r="P46" s="237">
        <f>P47+P48+P50+P49+P51</f>
        <v>1134.8458000000001</v>
      </c>
      <c r="Q46" s="237">
        <f>Q47+Q48+Q50+Q49+Q51</f>
        <v>449.47700000000003</v>
      </c>
      <c r="R46" s="237">
        <f>R47+R48+R50+R49+R51</f>
        <v>685.36880000000008</v>
      </c>
      <c r="S46" s="240">
        <f t="shared" si="3"/>
        <v>0</v>
      </c>
      <c r="T46" s="311">
        <f t="shared" si="4"/>
        <v>0</v>
      </c>
    </row>
    <row r="47" spans="1:20" ht="25" x14ac:dyDescent="0.25">
      <c r="A47" s="312" t="s">
        <v>487</v>
      </c>
      <c r="B47" s="241" t="s">
        <v>138</v>
      </c>
      <c r="C47" s="242">
        <f>1131868.7/1000</f>
        <v>1131.8687</v>
      </c>
      <c r="D47" s="259">
        <f>E47+F47</f>
        <v>1131.8687</v>
      </c>
      <c r="E47" s="244">
        <f>467266.4/1000</f>
        <v>467.26640000000003</v>
      </c>
      <c r="F47" s="244">
        <f>664602.3/1000</f>
        <v>664.60230000000001</v>
      </c>
      <c r="G47" s="245">
        <f t="shared" si="9"/>
        <v>0</v>
      </c>
      <c r="H47" s="245">
        <f t="shared" si="6"/>
        <v>0</v>
      </c>
      <c r="I47" s="244">
        <f>1084652.8/1000</f>
        <v>1084.6528000000001</v>
      </c>
      <c r="J47" s="243">
        <f>K47+L47</f>
        <v>1084.6438000000001</v>
      </c>
      <c r="K47" s="244">
        <f>418589/1000</f>
        <v>418.589</v>
      </c>
      <c r="L47" s="244">
        <f>666054.8/1000</f>
        <v>666.0548</v>
      </c>
      <c r="M47" s="245">
        <f t="shared" si="1"/>
        <v>9.0000000000145519E-3</v>
      </c>
      <c r="N47" s="245">
        <f t="shared" si="8"/>
        <v>8.2976549535374033E-4</v>
      </c>
      <c r="O47" s="244">
        <f>1103763.3/1000</f>
        <v>1103.7633000000001</v>
      </c>
      <c r="P47" s="243">
        <f>Q47+R47</f>
        <v>1103.7633000000001</v>
      </c>
      <c r="Q47" s="244">
        <f>431624.5/1000</f>
        <v>431.62450000000001</v>
      </c>
      <c r="R47" s="244">
        <f>672138.8/1000</f>
        <v>672.13880000000006</v>
      </c>
      <c r="S47" s="247">
        <f t="shared" si="3"/>
        <v>0</v>
      </c>
      <c r="T47" s="313">
        <f t="shared" si="4"/>
        <v>0</v>
      </c>
    </row>
    <row r="48" spans="1:20" ht="25" x14ac:dyDescent="0.25">
      <c r="A48" s="312" t="s">
        <v>488</v>
      </c>
      <c r="B48" s="241" t="s">
        <v>139</v>
      </c>
      <c r="C48" s="242">
        <f>12040.7/1000</f>
        <v>12.040700000000001</v>
      </c>
      <c r="D48" s="259">
        <f t="shared" ref="D48:D51" si="23">E48+F48</f>
        <v>12.040700000000001</v>
      </c>
      <c r="E48" s="244">
        <f>12040.7/1000</f>
        <v>12.040700000000001</v>
      </c>
      <c r="F48" s="244"/>
      <c r="G48" s="245">
        <f t="shared" si="9"/>
        <v>0</v>
      </c>
      <c r="H48" s="245">
        <f t="shared" si="6"/>
        <v>0</v>
      </c>
      <c r="I48" s="244">
        <f>12388.2/1000</f>
        <v>12.388200000000001</v>
      </c>
      <c r="J48" s="243">
        <f t="shared" ref="J48:J51" si="24">K48+L48</f>
        <v>12.388200000000001</v>
      </c>
      <c r="K48" s="244">
        <f>12388.2/1000</f>
        <v>12.388200000000001</v>
      </c>
      <c r="L48" s="244"/>
      <c r="M48" s="245">
        <f t="shared" si="1"/>
        <v>0</v>
      </c>
      <c r="N48" s="245">
        <f t="shared" si="8"/>
        <v>0</v>
      </c>
      <c r="O48" s="244">
        <f>12823.3/1000</f>
        <v>12.8233</v>
      </c>
      <c r="P48" s="243">
        <f t="shared" ref="P48:P51" si="25">Q48+R48</f>
        <v>12.8233</v>
      </c>
      <c r="Q48" s="244">
        <f>12823.3/1000</f>
        <v>12.8233</v>
      </c>
      <c r="R48" s="244"/>
      <c r="S48" s="247">
        <f t="shared" si="3"/>
        <v>0</v>
      </c>
      <c r="T48" s="313">
        <f t="shared" si="4"/>
        <v>0</v>
      </c>
    </row>
    <row r="49" spans="1:20" ht="25" x14ac:dyDescent="0.25">
      <c r="A49" s="312" t="s">
        <v>489</v>
      </c>
      <c r="B49" s="241" t="s">
        <v>490</v>
      </c>
      <c r="C49" s="242">
        <f>16146.9/1000</f>
        <v>16.146899999999999</v>
      </c>
      <c r="D49" s="259">
        <f t="shared" si="23"/>
        <v>16.146900000000002</v>
      </c>
      <c r="E49" s="244">
        <f>1614.7/1000</f>
        <v>1.6147</v>
      </c>
      <c r="F49" s="244">
        <f>14532.2/1000</f>
        <v>14.532200000000001</v>
      </c>
      <c r="G49" s="245">
        <f t="shared" si="9"/>
        <v>0</v>
      </c>
      <c r="H49" s="245">
        <f t="shared" si="6"/>
        <v>0</v>
      </c>
      <c r="I49" s="244">
        <f>13500/1000</f>
        <v>13.5</v>
      </c>
      <c r="J49" s="243">
        <f t="shared" si="24"/>
        <v>13.5</v>
      </c>
      <c r="K49" s="244">
        <f>1350/1000</f>
        <v>1.35</v>
      </c>
      <c r="L49" s="244">
        <f>12150/1000</f>
        <v>12.15</v>
      </c>
      <c r="M49" s="245">
        <f t="shared" si="1"/>
        <v>0</v>
      </c>
      <c r="N49" s="245">
        <f t="shared" si="8"/>
        <v>0</v>
      </c>
      <c r="O49" s="244">
        <f>13500/1000</f>
        <v>13.5</v>
      </c>
      <c r="P49" s="243">
        <f t="shared" si="25"/>
        <v>13.5</v>
      </c>
      <c r="Q49" s="244">
        <f>1350/1000</f>
        <v>1.35</v>
      </c>
      <c r="R49" s="244">
        <f>12150/1000</f>
        <v>12.15</v>
      </c>
      <c r="S49" s="247">
        <f t="shared" si="3"/>
        <v>0</v>
      </c>
      <c r="T49" s="313">
        <f t="shared" si="4"/>
        <v>0</v>
      </c>
    </row>
    <row r="50" spans="1:20" ht="50" x14ac:dyDescent="0.25">
      <c r="A50" s="312" t="s">
        <v>491</v>
      </c>
      <c r="B50" s="241" t="s">
        <v>140</v>
      </c>
      <c r="C50" s="242">
        <f>1200/1000</f>
        <v>1.2</v>
      </c>
      <c r="D50" s="259">
        <f t="shared" si="23"/>
        <v>1.2000000000000002</v>
      </c>
      <c r="E50" s="244">
        <f>120/1000</f>
        <v>0.12</v>
      </c>
      <c r="F50" s="244">
        <f>1080/1000</f>
        <v>1.08</v>
      </c>
      <c r="G50" s="245">
        <f t="shared" si="9"/>
        <v>0</v>
      </c>
      <c r="H50" s="245">
        <f t="shared" si="6"/>
        <v>0</v>
      </c>
      <c r="I50" s="244">
        <f>1200/1000</f>
        <v>1.2</v>
      </c>
      <c r="J50" s="243">
        <f t="shared" si="24"/>
        <v>1.2000000000000002</v>
      </c>
      <c r="K50" s="244">
        <f>120/1000</f>
        <v>0.12</v>
      </c>
      <c r="L50" s="244">
        <f>1080/1000</f>
        <v>1.08</v>
      </c>
      <c r="M50" s="245">
        <f t="shared" si="1"/>
        <v>0</v>
      </c>
      <c r="N50" s="245">
        <f t="shared" si="8"/>
        <v>0</v>
      </c>
      <c r="O50" s="244">
        <f>1200/1000</f>
        <v>1.2</v>
      </c>
      <c r="P50" s="243">
        <f t="shared" si="25"/>
        <v>1.2000000000000002</v>
      </c>
      <c r="Q50" s="244">
        <f>120/1000</f>
        <v>0.12</v>
      </c>
      <c r="R50" s="244">
        <f>1080/1000</f>
        <v>1.08</v>
      </c>
      <c r="S50" s="247">
        <f t="shared" si="3"/>
        <v>0</v>
      </c>
      <c r="T50" s="313">
        <f t="shared" si="4"/>
        <v>0</v>
      </c>
    </row>
    <row r="51" spans="1:20" ht="75" x14ac:dyDescent="0.25">
      <c r="A51" s="314" t="s">
        <v>492</v>
      </c>
      <c r="B51" s="250" t="s">
        <v>493</v>
      </c>
      <c r="C51" s="251">
        <f>3559.2/1000</f>
        <v>3.5591999999999997</v>
      </c>
      <c r="D51" s="259">
        <f t="shared" si="23"/>
        <v>3.5591999999999997</v>
      </c>
      <c r="E51" s="262">
        <f>3559.2/1000</f>
        <v>3.5591999999999997</v>
      </c>
      <c r="F51" s="262"/>
      <c r="G51" s="253">
        <f t="shared" si="9"/>
        <v>0</v>
      </c>
      <c r="H51" s="253">
        <f t="shared" si="6"/>
        <v>0</v>
      </c>
      <c r="I51" s="262">
        <f>3559.2/1000</f>
        <v>3.5591999999999997</v>
      </c>
      <c r="J51" s="243">
        <f t="shared" si="24"/>
        <v>3.5591999999999997</v>
      </c>
      <c r="K51" s="262">
        <f>3559.2/1000</f>
        <v>3.5591999999999997</v>
      </c>
      <c r="L51" s="254"/>
      <c r="M51" s="255">
        <f t="shared" si="1"/>
        <v>0</v>
      </c>
      <c r="N51" s="255">
        <f t="shared" si="8"/>
        <v>0</v>
      </c>
      <c r="O51" s="254">
        <f>3559.2/1000</f>
        <v>3.5591999999999997</v>
      </c>
      <c r="P51" s="243">
        <f t="shared" si="25"/>
        <v>3.5591999999999997</v>
      </c>
      <c r="Q51" s="262">
        <f>3559.2/1000</f>
        <v>3.5591999999999997</v>
      </c>
      <c r="R51" s="254"/>
      <c r="S51" s="256">
        <f t="shared" si="3"/>
        <v>0</v>
      </c>
      <c r="T51" s="316">
        <f t="shared" si="4"/>
        <v>0</v>
      </c>
    </row>
    <row r="52" spans="1:20" s="72" customFormat="1" ht="91" x14ac:dyDescent="0.3">
      <c r="A52" s="310" t="s">
        <v>494</v>
      </c>
      <c r="B52" s="236" t="s">
        <v>141</v>
      </c>
      <c r="C52" s="237">
        <f>SUM(C53:C55)</f>
        <v>201.7407</v>
      </c>
      <c r="D52" s="237">
        <f t="shared" si="5"/>
        <v>201.7407</v>
      </c>
      <c r="E52" s="237">
        <f>SUM(E53:E55)</f>
        <v>201.7407</v>
      </c>
      <c r="F52" s="237">
        <f>SUM(F53:F55)</f>
        <v>0</v>
      </c>
      <c r="G52" s="238">
        <f t="shared" si="9"/>
        <v>0</v>
      </c>
      <c r="H52" s="238">
        <f t="shared" si="6"/>
        <v>0</v>
      </c>
      <c r="I52" s="237">
        <f>SUM(I53:I55)</f>
        <v>151.86150000000001</v>
      </c>
      <c r="J52" s="237">
        <f>SUM(J53:J55)</f>
        <v>219.08139999999997</v>
      </c>
      <c r="K52" s="237">
        <f>SUM(K53:K55)</f>
        <v>219.08139999999997</v>
      </c>
      <c r="L52" s="237">
        <f>SUM(L53:L55)</f>
        <v>0</v>
      </c>
      <c r="M52" s="238">
        <f>I52-J52</f>
        <v>-67.219899999999967</v>
      </c>
      <c r="N52" s="238">
        <f t="shared" si="8"/>
        <v>-30.682613859506091</v>
      </c>
      <c r="O52" s="237">
        <f>SUM(O53:O55)</f>
        <v>7.5</v>
      </c>
      <c r="P52" s="237">
        <f>SUM(P53:P55)</f>
        <v>14.183</v>
      </c>
      <c r="Q52" s="237">
        <f>SUM(Q53:Q55)</f>
        <v>14.183</v>
      </c>
      <c r="R52" s="237">
        <f>SUM(R53:R55)</f>
        <v>0</v>
      </c>
      <c r="S52" s="240">
        <f>O52-P52</f>
        <v>-6.6829999999999998</v>
      </c>
      <c r="T52" s="311">
        <f>O52/P52*100-100</f>
        <v>-47.119791299442994</v>
      </c>
    </row>
    <row r="53" spans="1:20" ht="62.5" x14ac:dyDescent="0.25">
      <c r="A53" s="312" t="s">
        <v>142</v>
      </c>
      <c r="B53" s="241" t="s">
        <v>143</v>
      </c>
      <c r="C53" s="242">
        <f>3535/1000</f>
        <v>3.5350000000000001</v>
      </c>
      <c r="D53" s="259">
        <f>E53+F53</f>
        <v>3.5350000000000001</v>
      </c>
      <c r="E53" s="244">
        <v>3.5350000000000001</v>
      </c>
      <c r="F53" s="244"/>
      <c r="G53" s="245">
        <f t="shared" si="9"/>
        <v>0</v>
      </c>
      <c r="H53" s="245">
        <f t="shared" si="6"/>
        <v>0</v>
      </c>
      <c r="I53" s="244">
        <f>735/1000</f>
        <v>0.73499999999999999</v>
      </c>
      <c r="J53" s="243">
        <f>K53+L53</f>
        <v>1.4350000000000001</v>
      </c>
      <c r="K53" s="244">
        <f>1435/1000</f>
        <v>1.4350000000000001</v>
      </c>
      <c r="L53" s="244"/>
      <c r="M53" s="245">
        <f t="shared" si="1"/>
        <v>-0.70000000000000007</v>
      </c>
      <c r="N53" s="245">
        <f t="shared" si="8"/>
        <v>-48.780487804878049</v>
      </c>
      <c r="O53" s="244">
        <f>770/1000</f>
        <v>0.77</v>
      </c>
      <c r="P53" s="243">
        <f>Q53+R53</f>
        <v>1.07</v>
      </c>
      <c r="Q53" s="244">
        <f>1070/1000</f>
        <v>1.07</v>
      </c>
      <c r="R53" s="244"/>
      <c r="S53" s="247">
        <f t="shared" si="3"/>
        <v>-0.30000000000000004</v>
      </c>
      <c r="T53" s="313">
        <f t="shared" si="4"/>
        <v>-28.037383177570092</v>
      </c>
    </row>
    <row r="54" spans="1:20" ht="25" x14ac:dyDescent="0.25">
      <c r="A54" s="312" t="s">
        <v>144</v>
      </c>
      <c r="B54" s="241" t="s">
        <v>145</v>
      </c>
      <c r="C54" s="242">
        <f>177705.7/1000</f>
        <v>177.70570000000001</v>
      </c>
      <c r="D54" s="259">
        <f t="shared" ref="D54" si="26">E54+F54</f>
        <v>177.70570000000001</v>
      </c>
      <c r="E54" s="244">
        <v>177.70570000000001</v>
      </c>
      <c r="F54" s="244"/>
      <c r="G54" s="245">
        <f t="shared" si="9"/>
        <v>0</v>
      </c>
      <c r="H54" s="245">
        <f t="shared" si="6"/>
        <v>0</v>
      </c>
      <c r="I54" s="244">
        <f>144426.5/1000</f>
        <v>144.4265</v>
      </c>
      <c r="J54" s="243">
        <f t="shared" ref="J54:J56" si="27">K54+L54</f>
        <v>150.54949999999999</v>
      </c>
      <c r="K54" s="244">
        <f>150549.5/1000</f>
        <v>150.54949999999999</v>
      </c>
      <c r="L54" s="244"/>
      <c r="M54" s="245">
        <f t="shared" si="1"/>
        <v>-6.1229999999999905</v>
      </c>
      <c r="N54" s="245">
        <f t="shared" si="8"/>
        <v>-4.0671008538719775</v>
      </c>
      <c r="O54" s="244">
        <f>30/1000</f>
        <v>0.03</v>
      </c>
      <c r="P54" s="243">
        <f t="shared" ref="P54:P56" si="28">Q54+R54</f>
        <v>5.5629999999999997</v>
      </c>
      <c r="Q54" s="244">
        <f>5563/1000</f>
        <v>5.5629999999999997</v>
      </c>
      <c r="R54" s="244"/>
      <c r="S54" s="247">
        <f t="shared" si="3"/>
        <v>-5.5329999999999995</v>
      </c>
      <c r="T54" s="313">
        <f t="shared" si="4"/>
        <v>-99.460722631673562</v>
      </c>
    </row>
    <row r="55" spans="1:20" ht="25" x14ac:dyDescent="0.25">
      <c r="A55" s="312" t="s">
        <v>146</v>
      </c>
      <c r="B55" s="241" t="s">
        <v>495</v>
      </c>
      <c r="C55" s="242">
        <f>20500/1000</f>
        <v>20.5</v>
      </c>
      <c r="D55" s="259">
        <f>E55+F55</f>
        <v>20.5</v>
      </c>
      <c r="E55" s="244">
        <f>20500/1000</f>
        <v>20.5</v>
      </c>
      <c r="F55" s="244"/>
      <c r="G55" s="245">
        <f t="shared" si="9"/>
        <v>0</v>
      </c>
      <c r="H55" s="245">
        <f t="shared" si="6"/>
        <v>0</v>
      </c>
      <c r="I55" s="244">
        <f>6700/1000</f>
        <v>6.7</v>
      </c>
      <c r="J55" s="243">
        <f t="shared" si="27"/>
        <v>67.096899999999991</v>
      </c>
      <c r="K55" s="244">
        <f>67096.9/1000</f>
        <v>67.096899999999991</v>
      </c>
      <c r="L55" s="244"/>
      <c r="M55" s="245">
        <f t="shared" si="1"/>
        <v>-60.396899999999988</v>
      </c>
      <c r="N55" s="245">
        <f t="shared" si="8"/>
        <v>-90.014441799844704</v>
      </c>
      <c r="O55" s="244">
        <f>6700/1000</f>
        <v>6.7</v>
      </c>
      <c r="P55" s="243">
        <f t="shared" si="28"/>
        <v>7.55</v>
      </c>
      <c r="Q55" s="244">
        <f>7550/1000</f>
        <v>7.55</v>
      </c>
      <c r="R55" s="244"/>
      <c r="S55" s="247">
        <f t="shared" si="3"/>
        <v>-0.84999999999999964</v>
      </c>
      <c r="T55" s="313">
        <f t="shared" si="4"/>
        <v>-11.258278145695357</v>
      </c>
    </row>
    <row r="56" spans="1:20" ht="25" x14ac:dyDescent="0.25">
      <c r="A56" s="314" t="s">
        <v>496</v>
      </c>
      <c r="B56" s="250"/>
      <c r="C56" s="242"/>
      <c r="D56" s="275"/>
      <c r="E56" s="244"/>
      <c r="F56" s="254"/>
      <c r="G56" s="245">
        <f t="shared" si="9"/>
        <v>0</v>
      </c>
      <c r="H56" s="245"/>
      <c r="I56" s="254"/>
      <c r="J56" s="243">
        <f t="shared" si="27"/>
        <v>0.1</v>
      </c>
      <c r="K56" s="254">
        <f>100/1000</f>
        <v>0.1</v>
      </c>
      <c r="L56" s="254"/>
      <c r="M56" s="245">
        <f t="shared" si="1"/>
        <v>-0.1</v>
      </c>
      <c r="N56" s="245">
        <f t="shared" si="8"/>
        <v>-100</v>
      </c>
      <c r="O56" s="254"/>
      <c r="P56" s="243">
        <f t="shared" si="28"/>
        <v>0.05</v>
      </c>
      <c r="Q56" s="254">
        <f>50/1000</f>
        <v>0.05</v>
      </c>
      <c r="R56" s="254"/>
      <c r="S56" s="247">
        <f t="shared" si="3"/>
        <v>-0.05</v>
      </c>
      <c r="T56" s="313">
        <f t="shared" si="4"/>
        <v>-100</v>
      </c>
    </row>
    <row r="57" spans="1:20" s="72" customFormat="1" ht="78" x14ac:dyDescent="0.3">
      <c r="A57" s="310" t="s">
        <v>497</v>
      </c>
      <c r="B57" s="236" t="s">
        <v>147</v>
      </c>
      <c r="C57" s="237">
        <f>C58+C59+C60+C61</f>
        <v>1698.3009999999999</v>
      </c>
      <c r="D57" s="237">
        <f t="shared" si="5"/>
        <v>1703.4049</v>
      </c>
      <c r="E57" s="237">
        <f>E58+E59+E60+E61</f>
        <v>1698.3009999999999</v>
      </c>
      <c r="F57" s="237">
        <f>F58+F59+F60+F61</f>
        <v>5.1038999999999994</v>
      </c>
      <c r="G57" s="238">
        <f t="shared" si="9"/>
        <v>-5.1039000000000669</v>
      </c>
      <c r="H57" s="238">
        <f t="shared" si="6"/>
        <v>-0.29962928954824974</v>
      </c>
      <c r="I57" s="237">
        <f>I58+I59+I60+I61</f>
        <v>1357.0286000000001</v>
      </c>
      <c r="J57" s="237">
        <f>J58+J59+J60+J61</f>
        <v>1357.0286000000001</v>
      </c>
      <c r="K57" s="237">
        <f>K58+K59+K60+K61</f>
        <v>1357.0286000000001</v>
      </c>
      <c r="L57" s="237">
        <f>L58+L59+L60+L61</f>
        <v>0</v>
      </c>
      <c r="M57" s="238">
        <f>I57-J57</f>
        <v>0</v>
      </c>
      <c r="N57" s="238">
        <f t="shared" si="8"/>
        <v>0</v>
      </c>
      <c r="O57" s="237">
        <f>O58+O59+O60+O61</f>
        <v>1385.2371000000001</v>
      </c>
      <c r="P57" s="237">
        <f>P58+P59+P60+P61</f>
        <v>2938.5792999999999</v>
      </c>
      <c r="Q57" s="237">
        <f>Q58+Q59+Q60+Q61</f>
        <v>2938.5792999999999</v>
      </c>
      <c r="R57" s="237">
        <f>R58+R59+R60+R61</f>
        <v>0</v>
      </c>
      <c r="S57" s="240">
        <f t="shared" si="3"/>
        <v>-1553.3421999999998</v>
      </c>
      <c r="T57" s="311">
        <f t="shared" si="4"/>
        <v>-52.86031246459811</v>
      </c>
    </row>
    <row r="58" spans="1:20" ht="25" x14ac:dyDescent="0.25">
      <c r="A58" s="312" t="s">
        <v>148</v>
      </c>
      <c r="B58" s="241" t="s">
        <v>149</v>
      </c>
      <c r="C58" s="242">
        <f>1113434.9/1000</f>
        <v>1113.4349</v>
      </c>
      <c r="D58" s="259">
        <f>E58+F58</f>
        <v>1113.4348</v>
      </c>
      <c r="E58" s="244">
        <f>1113434.8/1000</f>
        <v>1113.4348</v>
      </c>
      <c r="F58" s="244"/>
      <c r="G58" s="245">
        <f t="shared" si="9"/>
        <v>9.9999999974897946E-5</v>
      </c>
      <c r="H58" s="245">
        <f t="shared" si="6"/>
        <v>8.9812173911241189E-6</v>
      </c>
      <c r="I58" s="244">
        <f>1036200.1/1000</f>
        <v>1036.2001</v>
      </c>
      <c r="J58" s="243">
        <f>K58+L58</f>
        <v>1036.2001</v>
      </c>
      <c r="K58" s="244">
        <f>1036200.1/1000</f>
        <v>1036.2001</v>
      </c>
      <c r="L58" s="244"/>
      <c r="M58" s="245">
        <f t="shared" ref="M58:M109" si="29">I58-J58</f>
        <v>0</v>
      </c>
      <c r="N58" s="245">
        <f t="shared" si="8"/>
        <v>0</v>
      </c>
      <c r="O58" s="244">
        <f>1071243.8/1000</f>
        <v>1071.2438</v>
      </c>
      <c r="P58" s="243">
        <f>Q58+R58</f>
        <v>1465.6929</v>
      </c>
      <c r="Q58" s="244">
        <f>1465692.9/1000</f>
        <v>1465.6929</v>
      </c>
      <c r="R58" s="244"/>
      <c r="S58" s="247">
        <f t="shared" si="3"/>
        <v>-394.44910000000004</v>
      </c>
      <c r="T58" s="313">
        <f t="shared" si="4"/>
        <v>-26.912124634021211</v>
      </c>
    </row>
    <row r="59" spans="1:20" ht="62.5" x14ac:dyDescent="0.25">
      <c r="A59" s="312" t="s">
        <v>150</v>
      </c>
      <c r="B59" s="241" t="s">
        <v>151</v>
      </c>
      <c r="C59" s="242">
        <f>245816/1000</f>
        <v>245.816</v>
      </c>
      <c r="D59" s="259">
        <f t="shared" ref="D59:D61" si="30">E59+F59</f>
        <v>245.81610000000001</v>
      </c>
      <c r="E59" s="244">
        <f>245816.1/1000</f>
        <v>245.81610000000001</v>
      </c>
      <c r="F59" s="244"/>
      <c r="G59" s="245">
        <f t="shared" si="9"/>
        <v>-1.0000000000331966E-4</v>
      </c>
      <c r="H59" s="245">
        <f t="shared" si="6"/>
        <v>-4.0680817889438003E-5</v>
      </c>
      <c r="I59" s="244">
        <f>217955.1/1000</f>
        <v>217.95510000000002</v>
      </c>
      <c r="J59" s="243">
        <f t="shared" ref="J59:J61" si="31">K59+L59</f>
        <v>217.95510000000002</v>
      </c>
      <c r="K59" s="244">
        <f>217955.1/1000</f>
        <v>217.95510000000002</v>
      </c>
      <c r="L59" s="244"/>
      <c r="M59" s="245">
        <f t="shared" si="29"/>
        <v>0</v>
      </c>
      <c r="N59" s="245">
        <f t="shared" si="8"/>
        <v>0</v>
      </c>
      <c r="O59" s="244">
        <f>225181.7/1000</f>
        <v>225.18170000000001</v>
      </c>
      <c r="P59" s="243">
        <f t="shared" ref="P59:P61" si="32">Q59+R59</f>
        <v>275.33350000000002</v>
      </c>
      <c r="Q59" s="244">
        <f>275333.5/1000</f>
        <v>275.33350000000002</v>
      </c>
      <c r="R59" s="244"/>
      <c r="S59" s="247">
        <f t="shared" si="3"/>
        <v>-50.151800000000009</v>
      </c>
      <c r="T59" s="313">
        <f t="shared" si="4"/>
        <v>-18.21492844132662</v>
      </c>
    </row>
    <row r="60" spans="1:20" ht="37.5" x14ac:dyDescent="0.25">
      <c r="A60" s="312" t="s">
        <v>152</v>
      </c>
      <c r="B60" s="241" t="s">
        <v>153</v>
      </c>
      <c r="C60" s="242">
        <f>18285.1/1000</f>
        <v>18.2851</v>
      </c>
      <c r="D60" s="259">
        <f t="shared" si="30"/>
        <v>18.2851</v>
      </c>
      <c r="E60" s="244">
        <f>18285.1/1000</f>
        <v>18.2851</v>
      </c>
      <c r="F60" s="244"/>
      <c r="G60" s="245">
        <f t="shared" si="9"/>
        <v>0</v>
      </c>
      <c r="H60" s="245">
        <f t="shared" si="6"/>
        <v>0</v>
      </c>
      <c r="I60" s="244">
        <f>18886.1/1000</f>
        <v>18.886099999999999</v>
      </c>
      <c r="J60" s="243">
        <f t="shared" si="31"/>
        <v>18.886099999999999</v>
      </c>
      <c r="K60" s="244">
        <f>18886.1/1000</f>
        <v>18.886099999999999</v>
      </c>
      <c r="L60" s="244"/>
      <c r="M60" s="245">
        <f t="shared" si="29"/>
        <v>0</v>
      </c>
      <c r="N60" s="245">
        <f t="shared" si="8"/>
        <v>0</v>
      </c>
      <c r="O60" s="244">
        <f>19547.5/1000</f>
        <v>19.547499999999999</v>
      </c>
      <c r="P60" s="243">
        <f t="shared" si="32"/>
        <v>19.547499999999999</v>
      </c>
      <c r="Q60" s="244">
        <f>19547.5/1000</f>
        <v>19.547499999999999</v>
      </c>
      <c r="R60" s="244"/>
      <c r="S60" s="247">
        <f t="shared" si="3"/>
        <v>0</v>
      </c>
      <c r="T60" s="313">
        <f t="shared" si="4"/>
        <v>0</v>
      </c>
    </row>
    <row r="61" spans="1:20" ht="37.5" x14ac:dyDescent="0.25">
      <c r="A61" s="312" t="s">
        <v>154</v>
      </c>
      <c r="B61" s="241" t="s">
        <v>155</v>
      </c>
      <c r="C61" s="242">
        <f>320765/1000</f>
        <v>320.76499999999999</v>
      </c>
      <c r="D61" s="259">
        <f t="shared" si="30"/>
        <v>325.8689</v>
      </c>
      <c r="E61" s="244">
        <f>320765/1000</f>
        <v>320.76499999999999</v>
      </c>
      <c r="F61" s="244">
        <f>5103.9/1000</f>
        <v>5.1038999999999994</v>
      </c>
      <c r="G61" s="245">
        <f t="shared" si="9"/>
        <v>-5.1039000000000101</v>
      </c>
      <c r="H61" s="245">
        <f t="shared" si="6"/>
        <v>-1.5662433573747023</v>
      </c>
      <c r="I61" s="244">
        <f>83987.3/1000</f>
        <v>83.987300000000005</v>
      </c>
      <c r="J61" s="243">
        <f t="shared" si="31"/>
        <v>83.987300000000005</v>
      </c>
      <c r="K61" s="244">
        <f>83987.3/1000</f>
        <v>83.987300000000005</v>
      </c>
      <c r="L61" s="244"/>
      <c r="M61" s="245">
        <f t="shared" si="29"/>
        <v>0</v>
      </c>
      <c r="N61" s="245">
        <f t="shared" si="8"/>
        <v>0</v>
      </c>
      <c r="O61" s="244">
        <f>69264.1/1000</f>
        <v>69.264099999999999</v>
      </c>
      <c r="P61" s="243">
        <f t="shared" si="32"/>
        <v>1178.0054</v>
      </c>
      <c r="Q61" s="244">
        <f>1178005.4/1000</f>
        <v>1178.0054</v>
      </c>
      <c r="R61" s="276"/>
      <c r="S61" s="247">
        <f t="shared" si="3"/>
        <v>-1108.7412999999999</v>
      </c>
      <c r="T61" s="313">
        <f t="shared" si="4"/>
        <v>-94.120222199320992</v>
      </c>
    </row>
    <row r="62" spans="1:20" s="72" customFormat="1" ht="65" x14ac:dyDescent="0.3">
      <c r="A62" s="310" t="s">
        <v>434</v>
      </c>
      <c r="B62" s="236" t="s">
        <v>156</v>
      </c>
      <c r="C62" s="237">
        <f>C63+C64+C65</f>
        <v>537.25059999999996</v>
      </c>
      <c r="D62" s="237">
        <f t="shared" si="5"/>
        <v>537.25049999999999</v>
      </c>
      <c r="E62" s="237">
        <f>E63+E64+E65</f>
        <v>502.65879999999999</v>
      </c>
      <c r="F62" s="237">
        <f>F63+F64+F65</f>
        <v>34.591700000000003</v>
      </c>
      <c r="G62" s="238">
        <f t="shared" si="9"/>
        <v>9.9999999974897946E-5</v>
      </c>
      <c r="H62" s="238">
        <f t="shared" si="6"/>
        <v>1.8613291203450899E-5</v>
      </c>
      <c r="I62" s="237">
        <f>I63+I64+I65</f>
        <v>116.06119999999999</v>
      </c>
      <c r="J62" s="237">
        <f>J63+J64+J65</f>
        <v>386.6155</v>
      </c>
      <c r="K62" s="237">
        <f>K63+K64+K65</f>
        <v>288.84859999999998</v>
      </c>
      <c r="L62" s="237">
        <f>L63+L64+L65</f>
        <v>97.766899999999993</v>
      </c>
      <c r="M62" s="238">
        <f>I62-J62</f>
        <v>-270.55430000000001</v>
      </c>
      <c r="N62" s="238">
        <f t="shared" si="8"/>
        <v>-69.980199966116203</v>
      </c>
      <c r="O62" s="237">
        <f>O63+O64+O65</f>
        <v>117.9657</v>
      </c>
      <c r="P62" s="237">
        <f>P63+P64+P65</f>
        <v>247.28030000000001</v>
      </c>
      <c r="Q62" s="237">
        <f>Q63+Q64+Q65</f>
        <v>148.8767</v>
      </c>
      <c r="R62" s="237">
        <f>R63+R64+R65</f>
        <v>98.403599999999997</v>
      </c>
      <c r="S62" s="240">
        <f t="shared" si="3"/>
        <v>-129.31460000000001</v>
      </c>
      <c r="T62" s="311">
        <f t="shared" si="4"/>
        <v>-52.29474406169841</v>
      </c>
    </row>
    <row r="63" spans="1:20" ht="37.5" x14ac:dyDescent="0.25">
      <c r="A63" s="312" t="s">
        <v>157</v>
      </c>
      <c r="B63" s="241" t="s">
        <v>158</v>
      </c>
      <c r="C63" s="242">
        <f>361147.1/1000</f>
        <v>361.14709999999997</v>
      </c>
      <c r="D63" s="259">
        <f>E63+F63</f>
        <v>361.14699999999999</v>
      </c>
      <c r="E63" s="244">
        <f>361147/1000</f>
        <v>361.14699999999999</v>
      </c>
      <c r="F63" s="244"/>
      <c r="G63" s="245">
        <f t="shared" si="9"/>
        <v>9.9999999974897946E-5</v>
      </c>
      <c r="H63" s="245">
        <f t="shared" si="6"/>
        <v>2.7689555764709439E-5</v>
      </c>
      <c r="I63" s="244">
        <f>80088.9/1000</f>
        <v>80.088899999999995</v>
      </c>
      <c r="J63" s="243">
        <f>K63+L63</f>
        <v>264.32009999999997</v>
      </c>
      <c r="K63" s="244">
        <f>264320.1/1000</f>
        <v>264.32009999999997</v>
      </c>
      <c r="L63" s="244"/>
      <c r="M63" s="245">
        <f t="shared" si="29"/>
        <v>-184.23119999999997</v>
      </c>
      <c r="N63" s="245">
        <f t="shared" si="8"/>
        <v>-69.700034163122666</v>
      </c>
      <c r="O63" s="244">
        <f>81356.7/1000</f>
        <v>81.356700000000004</v>
      </c>
      <c r="P63" s="243">
        <f>Q63+R63</f>
        <v>126.1267</v>
      </c>
      <c r="Q63" s="244">
        <f>126126.7/1000</f>
        <v>126.1267</v>
      </c>
      <c r="R63" s="244"/>
      <c r="S63" s="247">
        <f t="shared" si="3"/>
        <v>-44.769999999999996</v>
      </c>
      <c r="T63" s="313">
        <f t="shared" si="4"/>
        <v>-35.496052778674141</v>
      </c>
    </row>
    <row r="64" spans="1:20" ht="25" x14ac:dyDescent="0.25">
      <c r="A64" s="312" t="s">
        <v>159</v>
      </c>
      <c r="B64" s="241" t="s">
        <v>160</v>
      </c>
      <c r="C64" s="242">
        <f>23643.7/1000</f>
        <v>23.643699999999999</v>
      </c>
      <c r="D64" s="259">
        <f t="shared" ref="D64:D65" si="33">E64+F64</f>
        <v>23.643699999999999</v>
      </c>
      <c r="E64" s="244"/>
      <c r="F64" s="244">
        <f>23643.7/1000</f>
        <v>23.643699999999999</v>
      </c>
      <c r="G64" s="245">
        <f t="shared" si="9"/>
        <v>0</v>
      </c>
      <c r="H64" s="245">
        <f t="shared" si="6"/>
        <v>0</v>
      </c>
      <c r="I64" s="244">
        <f>24242.2/1000</f>
        <v>24.2422</v>
      </c>
      <c r="J64" s="243">
        <f t="shared" ref="J64:J65" si="34">K64+L64</f>
        <v>36.470700000000001</v>
      </c>
      <c r="K64" s="244">
        <f>12228.5/1000</f>
        <v>12.2285</v>
      </c>
      <c r="L64" s="244">
        <f>24242.2/1000</f>
        <v>24.2422</v>
      </c>
      <c r="M64" s="245">
        <f t="shared" si="29"/>
        <v>-12.2285</v>
      </c>
      <c r="N64" s="245">
        <f t="shared" si="8"/>
        <v>-33.529655312346634</v>
      </c>
      <c r="O64" s="244">
        <f>24878.9/1000</f>
        <v>24.878900000000002</v>
      </c>
      <c r="P64" s="243">
        <f t="shared" ref="P64:P65" si="35">Q64+R64</f>
        <v>28.978900000000003</v>
      </c>
      <c r="Q64" s="244">
        <f>4100/1000</f>
        <v>4.0999999999999996</v>
      </c>
      <c r="R64" s="244">
        <f>24878.9/1000</f>
        <v>24.878900000000002</v>
      </c>
      <c r="S64" s="247">
        <f t="shared" si="3"/>
        <v>-4.1000000000000014</v>
      </c>
      <c r="T64" s="313">
        <f t="shared" si="4"/>
        <v>-14.148225087908799</v>
      </c>
    </row>
    <row r="65" spans="1:20" ht="25" x14ac:dyDescent="0.25">
      <c r="A65" s="312" t="s">
        <v>161</v>
      </c>
      <c r="B65" s="241" t="s">
        <v>162</v>
      </c>
      <c r="C65" s="242">
        <f>152459.8/1000</f>
        <v>152.4598</v>
      </c>
      <c r="D65" s="259">
        <f t="shared" si="33"/>
        <v>152.4598</v>
      </c>
      <c r="E65" s="244">
        <f>141511.8/1000</f>
        <v>141.51179999999999</v>
      </c>
      <c r="F65" s="244">
        <f>10948/1000</f>
        <v>10.948</v>
      </c>
      <c r="G65" s="245">
        <f t="shared" si="9"/>
        <v>0</v>
      </c>
      <c r="H65" s="245">
        <f t="shared" si="6"/>
        <v>0</v>
      </c>
      <c r="I65" s="244">
        <f>11730.1/1000</f>
        <v>11.7301</v>
      </c>
      <c r="J65" s="243">
        <f t="shared" si="34"/>
        <v>85.824699999999993</v>
      </c>
      <c r="K65" s="244">
        <f>12300/1000</f>
        <v>12.3</v>
      </c>
      <c r="L65" s="244">
        <f>73524.7/1000</f>
        <v>73.524699999999996</v>
      </c>
      <c r="M65" s="245">
        <f t="shared" si="29"/>
        <v>-74.094599999999986</v>
      </c>
      <c r="N65" s="245">
        <f t="shared" si="8"/>
        <v>-86.332489364949708</v>
      </c>
      <c r="O65" s="244">
        <f>11730.1/1000</f>
        <v>11.7301</v>
      </c>
      <c r="P65" s="243">
        <f t="shared" si="35"/>
        <v>92.174700000000001</v>
      </c>
      <c r="Q65" s="244">
        <f>18650/1000</f>
        <v>18.649999999999999</v>
      </c>
      <c r="R65" s="244">
        <f>73524.7/1000</f>
        <v>73.524699999999996</v>
      </c>
      <c r="S65" s="256">
        <f t="shared" si="3"/>
        <v>-80.444600000000008</v>
      </c>
      <c r="T65" s="316">
        <f t="shared" si="4"/>
        <v>-87.274056763949318</v>
      </c>
    </row>
    <row r="66" spans="1:20" s="72" customFormat="1" ht="78" x14ac:dyDescent="0.3">
      <c r="A66" s="310" t="s">
        <v>435</v>
      </c>
      <c r="B66" s="236" t="s">
        <v>163</v>
      </c>
      <c r="C66" s="237">
        <f>SUM(C67:C71)</f>
        <v>1400.5074</v>
      </c>
      <c r="D66" s="237">
        <f t="shared" si="5"/>
        <v>1400.5075999999999</v>
      </c>
      <c r="E66" s="237">
        <f>SUM(E67:E71)</f>
        <v>1132.4459999999999</v>
      </c>
      <c r="F66" s="237">
        <f>SUM(F67:F71)</f>
        <v>268.0616</v>
      </c>
      <c r="G66" s="238">
        <f t="shared" si="9"/>
        <v>-1.9999999994979589E-4</v>
      </c>
      <c r="H66" s="238">
        <f t="shared" si="6"/>
        <v>-1.4280536561273038E-5</v>
      </c>
      <c r="I66" s="237">
        <f>SUM(I67:I71)</f>
        <v>1015.1138999999999</v>
      </c>
      <c r="J66" s="237">
        <f t="shared" ref="J66:L66" si="36">SUM(J67:J71)</f>
        <v>1015.1140000000001</v>
      </c>
      <c r="K66" s="237">
        <f t="shared" si="36"/>
        <v>709.44280000000003</v>
      </c>
      <c r="L66" s="237">
        <f t="shared" si="36"/>
        <v>305.6712</v>
      </c>
      <c r="M66" s="237">
        <f>SUM(M67:M71)</f>
        <v>-9.9999999989108801E-5</v>
      </c>
      <c r="N66" s="237">
        <f>I66/J66*100-100</f>
        <v>-9.8511103345799711E-6</v>
      </c>
      <c r="O66" s="237">
        <f>SUM(O67:O71)</f>
        <v>827.63799999999992</v>
      </c>
      <c r="P66" s="237">
        <f>SUM(P67:P71)</f>
        <v>827.63799999999992</v>
      </c>
      <c r="Q66" s="237">
        <f>SUM(Q67:Q71)</f>
        <v>709.9742</v>
      </c>
      <c r="R66" s="237">
        <f>SUM(R67:R71)</f>
        <v>117.66379999999999</v>
      </c>
      <c r="S66" s="240">
        <f t="shared" si="3"/>
        <v>0</v>
      </c>
      <c r="T66" s="311">
        <f t="shared" si="4"/>
        <v>0</v>
      </c>
    </row>
    <row r="67" spans="1:20" ht="25" x14ac:dyDescent="0.25">
      <c r="A67" s="312" t="s">
        <v>498</v>
      </c>
      <c r="B67" s="241" t="s">
        <v>164</v>
      </c>
      <c r="C67" s="242">
        <f>1075352.8/1000</f>
        <v>1075.3528000000001</v>
      </c>
      <c r="D67" s="259">
        <f>E67+F67</f>
        <v>1075.3528999999999</v>
      </c>
      <c r="E67" s="244">
        <f>817835.1/1000</f>
        <v>817.83510000000001</v>
      </c>
      <c r="F67" s="244">
        <f>257517.8/1000</f>
        <v>257.51779999999997</v>
      </c>
      <c r="G67" s="245">
        <f t="shared" si="9"/>
        <v>-9.9999999747524271E-5</v>
      </c>
      <c r="H67" s="245">
        <f t="shared" si="6"/>
        <v>-9.2992727900309546E-6</v>
      </c>
      <c r="I67" s="244">
        <f>869751.3/1000</f>
        <v>869.75130000000001</v>
      </c>
      <c r="J67" s="243">
        <f>K67+L67</f>
        <v>869.75130000000013</v>
      </c>
      <c r="K67" s="244">
        <f>581321.3/1000</f>
        <v>581.32130000000006</v>
      </c>
      <c r="L67" s="244">
        <f>288430/1000</f>
        <v>288.43</v>
      </c>
      <c r="M67" s="245">
        <f t="shared" si="29"/>
        <v>0</v>
      </c>
      <c r="N67" s="245">
        <f t="shared" si="8"/>
        <v>0</v>
      </c>
      <c r="O67" s="244">
        <f>696130.1/1000</f>
        <v>696.13009999999997</v>
      </c>
      <c r="P67" s="243">
        <f>Q67+R67</f>
        <v>696.13009999999997</v>
      </c>
      <c r="Q67" s="244">
        <f>578830.1/1000</f>
        <v>578.83010000000002</v>
      </c>
      <c r="R67" s="244">
        <f>117300/1000</f>
        <v>117.3</v>
      </c>
      <c r="S67" s="247">
        <f t="shared" si="3"/>
        <v>0</v>
      </c>
      <c r="T67" s="313">
        <f t="shared" si="4"/>
        <v>0</v>
      </c>
    </row>
    <row r="68" spans="1:20" ht="25" x14ac:dyDescent="0.25">
      <c r="A68" s="312" t="s">
        <v>499</v>
      </c>
      <c r="B68" s="241" t="s">
        <v>165</v>
      </c>
      <c r="C68" s="242">
        <f>166609.5/1000</f>
        <v>166.6095</v>
      </c>
      <c r="D68" s="259">
        <f t="shared" ref="D68:D71" si="37">E68+F68</f>
        <v>166.60950000000003</v>
      </c>
      <c r="E68" s="244">
        <f>157559.5/1000</f>
        <v>157.55950000000001</v>
      </c>
      <c r="F68" s="244">
        <f>9050/1000</f>
        <v>9.0500000000000007</v>
      </c>
      <c r="G68" s="245">
        <f t="shared" si="9"/>
        <v>0</v>
      </c>
      <c r="H68" s="245">
        <f t="shared" si="6"/>
        <v>0</v>
      </c>
      <c r="I68" s="244">
        <f>64209.3/1000</f>
        <v>64.209299999999999</v>
      </c>
      <c r="J68" s="243">
        <f t="shared" ref="J68:J71" si="38">K68+L68</f>
        <v>65.209599999999995</v>
      </c>
      <c r="K68" s="244">
        <f>65209.6/1000</f>
        <v>65.209599999999995</v>
      </c>
      <c r="L68" s="244"/>
      <c r="M68" s="245">
        <f t="shared" si="29"/>
        <v>-1.0002999999999957</v>
      </c>
      <c r="N68" s="245">
        <f t="shared" si="8"/>
        <v>-1.5339765924035618</v>
      </c>
      <c r="O68" s="244">
        <f>66369.9/1000</f>
        <v>66.369900000000001</v>
      </c>
      <c r="P68" s="243">
        <f t="shared" ref="P68:P71" si="39">Q68+R68</f>
        <v>67.103899999999996</v>
      </c>
      <c r="Q68" s="244">
        <f>67103.9/1000</f>
        <v>67.103899999999996</v>
      </c>
      <c r="R68" s="244"/>
      <c r="S68" s="247">
        <f t="shared" si="3"/>
        <v>-0.73399999999999466</v>
      </c>
      <c r="T68" s="313">
        <f t="shared" si="4"/>
        <v>-1.0938261412525918</v>
      </c>
    </row>
    <row r="69" spans="1:20" ht="50" x14ac:dyDescent="0.25">
      <c r="A69" s="312" t="s">
        <v>500</v>
      </c>
      <c r="B69" s="241" t="s">
        <v>166</v>
      </c>
      <c r="C69" s="242">
        <f>140215.9/1000</f>
        <v>140.2159</v>
      </c>
      <c r="D69" s="259">
        <f t="shared" si="37"/>
        <v>140.21600000000001</v>
      </c>
      <c r="E69" s="244">
        <f>138722.2/1000</f>
        <v>138.72220000000002</v>
      </c>
      <c r="F69" s="244">
        <f>1493.8/1000</f>
        <v>1.4938</v>
      </c>
      <c r="G69" s="245">
        <f t="shared" si="9"/>
        <v>-1.0000000000331966E-4</v>
      </c>
      <c r="H69" s="245">
        <f t="shared" si="6"/>
        <v>-7.1318537123943315E-5</v>
      </c>
      <c r="I69" s="244">
        <f>62905.9/1000</f>
        <v>62.905900000000003</v>
      </c>
      <c r="J69" s="243">
        <f t="shared" si="38"/>
        <v>61.905699999999996</v>
      </c>
      <c r="K69" s="244">
        <f>44664.5/1000</f>
        <v>44.664499999999997</v>
      </c>
      <c r="L69" s="244">
        <f>17241.2/1000</f>
        <v>17.241199999999999</v>
      </c>
      <c r="M69" s="245">
        <f t="shared" si="29"/>
        <v>1.0002000000000066</v>
      </c>
      <c r="N69" s="245">
        <f t="shared" si="8"/>
        <v>1.6156832084929249</v>
      </c>
      <c r="O69" s="244">
        <f>46226.2/1000</f>
        <v>46.226199999999999</v>
      </c>
      <c r="P69" s="243">
        <f t="shared" si="39"/>
        <v>45.492199999999997</v>
      </c>
      <c r="Q69" s="244">
        <f>45128.4/1000</f>
        <v>45.128399999999999</v>
      </c>
      <c r="R69" s="244">
        <f>363.8/1000</f>
        <v>0.36380000000000001</v>
      </c>
      <c r="S69" s="247">
        <f t="shared" si="3"/>
        <v>0.73400000000000176</v>
      </c>
      <c r="T69" s="313">
        <f t="shared" si="4"/>
        <v>1.6134634069137093</v>
      </c>
    </row>
    <row r="70" spans="1:20" ht="37.5" hidden="1" x14ac:dyDescent="0.25">
      <c r="A70" s="312" t="s">
        <v>167</v>
      </c>
      <c r="B70" s="241"/>
      <c r="C70" s="242"/>
      <c r="D70" s="259">
        <f t="shared" si="37"/>
        <v>0</v>
      </c>
      <c r="E70" s="244"/>
      <c r="F70" s="244"/>
      <c r="G70" s="245">
        <f t="shared" si="9"/>
        <v>0</v>
      </c>
      <c r="H70" s="245" t="e">
        <f t="shared" si="6"/>
        <v>#DIV/0!</v>
      </c>
      <c r="I70" s="244"/>
      <c r="J70" s="243">
        <f t="shared" si="38"/>
        <v>0</v>
      </c>
      <c r="K70" s="244"/>
      <c r="L70" s="244"/>
      <c r="M70" s="245">
        <f t="shared" si="29"/>
        <v>0</v>
      </c>
      <c r="N70" s="245" t="e">
        <f t="shared" si="8"/>
        <v>#DIV/0!</v>
      </c>
      <c r="O70" s="244"/>
      <c r="P70" s="243">
        <f t="shared" si="39"/>
        <v>0</v>
      </c>
      <c r="Q70" s="244"/>
      <c r="R70" s="244"/>
      <c r="S70" s="247">
        <f t="shared" si="3"/>
        <v>0</v>
      </c>
      <c r="T70" s="313" t="e">
        <f t="shared" si="4"/>
        <v>#DIV/0!</v>
      </c>
    </row>
    <row r="71" spans="1:20" ht="25" x14ac:dyDescent="0.25">
      <c r="A71" s="314" t="s">
        <v>127</v>
      </c>
      <c r="B71" s="250" t="s">
        <v>168</v>
      </c>
      <c r="C71" s="251">
        <f>18329.2/1000</f>
        <v>18.3292</v>
      </c>
      <c r="D71" s="259">
        <f t="shared" si="37"/>
        <v>18.3292</v>
      </c>
      <c r="E71" s="262">
        <f>18329.2/1000</f>
        <v>18.3292</v>
      </c>
      <c r="F71" s="262"/>
      <c r="G71" s="253">
        <f t="shared" si="9"/>
        <v>0</v>
      </c>
      <c r="H71" s="253">
        <f t="shared" si="6"/>
        <v>0</v>
      </c>
      <c r="I71" s="262">
        <f>18247.4/1000</f>
        <v>18.247400000000003</v>
      </c>
      <c r="J71" s="243">
        <f t="shared" si="38"/>
        <v>18.247400000000003</v>
      </c>
      <c r="K71" s="262">
        <f>18247.4/1000</f>
        <v>18.247400000000003</v>
      </c>
      <c r="L71" s="254"/>
      <c r="M71" s="255">
        <f t="shared" si="29"/>
        <v>0</v>
      </c>
      <c r="N71" s="255">
        <f t="shared" si="8"/>
        <v>0</v>
      </c>
      <c r="O71" s="254">
        <f>18911.8/1000</f>
        <v>18.911799999999999</v>
      </c>
      <c r="P71" s="243">
        <f t="shared" si="39"/>
        <v>18.911799999999999</v>
      </c>
      <c r="Q71" s="254">
        <f>18911.8/1000</f>
        <v>18.911799999999999</v>
      </c>
      <c r="R71" s="254"/>
      <c r="S71" s="256">
        <f t="shared" si="3"/>
        <v>0</v>
      </c>
      <c r="T71" s="316">
        <f t="shared" si="4"/>
        <v>0</v>
      </c>
    </row>
    <row r="72" spans="1:20" s="72" customFormat="1" ht="52" x14ac:dyDescent="0.3">
      <c r="A72" s="317" t="s">
        <v>436</v>
      </c>
      <c r="B72" s="263" t="s">
        <v>172</v>
      </c>
      <c r="C72" s="239">
        <f>394880.1/1000</f>
        <v>394.88009999999997</v>
      </c>
      <c r="D72" s="239">
        <f>E72+F72</f>
        <v>394.88009999999997</v>
      </c>
      <c r="E72" s="239">
        <f>61797.6/1000</f>
        <v>61.797599999999996</v>
      </c>
      <c r="F72" s="239">
        <f>333082.5/1000</f>
        <v>333.08249999999998</v>
      </c>
      <c r="G72" s="277">
        <f t="shared" si="9"/>
        <v>0</v>
      </c>
      <c r="H72" s="277">
        <f t="shared" si="6"/>
        <v>0</v>
      </c>
      <c r="I72" s="239">
        <f>339880.1/1000</f>
        <v>339.88009999999997</v>
      </c>
      <c r="J72" s="239">
        <f>K72+L72</f>
        <v>339.88009999999997</v>
      </c>
      <c r="K72" s="239">
        <f>6797.6/1000</f>
        <v>6.7976000000000001</v>
      </c>
      <c r="L72" s="239">
        <f>333082.5/1000</f>
        <v>333.08249999999998</v>
      </c>
      <c r="M72" s="265">
        <f>I72-J72</f>
        <v>0</v>
      </c>
      <c r="N72" s="265">
        <f t="shared" si="8"/>
        <v>0</v>
      </c>
      <c r="O72" s="264">
        <f>354358.1/1000</f>
        <v>354.35809999999998</v>
      </c>
      <c r="P72" s="264">
        <f>Q72+R72</f>
        <v>354.35810000000004</v>
      </c>
      <c r="Q72" s="264">
        <f>7087.2/1000</f>
        <v>7.0872000000000002</v>
      </c>
      <c r="R72" s="264">
        <f>347270.9/1000</f>
        <v>347.27090000000004</v>
      </c>
      <c r="S72" s="266">
        <f t="shared" si="3"/>
        <v>0</v>
      </c>
      <c r="T72" s="318">
        <f t="shared" si="4"/>
        <v>0</v>
      </c>
    </row>
    <row r="73" spans="1:20" s="72" customFormat="1" ht="39" x14ac:dyDescent="0.3">
      <c r="A73" s="317" t="s">
        <v>501</v>
      </c>
      <c r="B73" s="263" t="s">
        <v>172</v>
      </c>
      <c r="C73" s="239">
        <f>3494/1000</f>
        <v>3.4940000000000002</v>
      </c>
      <c r="D73" s="239">
        <f>E73+F73</f>
        <v>3.4940000000000002</v>
      </c>
      <c r="E73" s="239">
        <f>3494/1000</f>
        <v>3.4940000000000002</v>
      </c>
      <c r="F73" s="239"/>
      <c r="G73" s="277">
        <f t="shared" si="9"/>
        <v>0</v>
      </c>
      <c r="H73" s="277">
        <f t="shared" si="6"/>
        <v>0</v>
      </c>
      <c r="I73" s="239">
        <f>3494/1000</f>
        <v>3.4940000000000002</v>
      </c>
      <c r="J73" s="239">
        <f>K73+L73</f>
        <v>3.4940000000000002</v>
      </c>
      <c r="K73" s="239">
        <f>3494/1000</f>
        <v>3.4940000000000002</v>
      </c>
      <c r="L73" s="264"/>
      <c r="M73" s="265">
        <f>I73-J73</f>
        <v>0</v>
      </c>
      <c r="N73" s="265">
        <f t="shared" si="8"/>
        <v>0</v>
      </c>
      <c r="O73" s="264">
        <f>3494/1000</f>
        <v>3.4940000000000002</v>
      </c>
      <c r="P73" s="264">
        <f>Q73+R73</f>
        <v>3.4940000000000002</v>
      </c>
      <c r="Q73" s="239">
        <f>3494/1000</f>
        <v>3.4940000000000002</v>
      </c>
      <c r="R73" s="264"/>
      <c r="S73" s="266">
        <f t="shared" ref="S73:S109" si="40">O73-P73</f>
        <v>0</v>
      </c>
      <c r="T73" s="318">
        <f t="shared" ref="T73:T109" si="41">O73/P73*100-100</f>
        <v>0</v>
      </c>
    </row>
    <row r="74" spans="1:20" s="72" customFormat="1" ht="39" x14ac:dyDescent="0.3">
      <c r="A74" s="310" t="s">
        <v>437</v>
      </c>
      <c r="B74" s="236" t="s">
        <v>173</v>
      </c>
      <c r="C74" s="237">
        <f>C75+C76+C77+C78</f>
        <v>1532.7754</v>
      </c>
      <c r="D74" s="237">
        <f t="shared" ref="D74:D101" si="42">E74+F74</f>
        <v>1532.7754</v>
      </c>
      <c r="E74" s="237">
        <f>E75+E76+E77+E78</f>
        <v>630.6851999999999</v>
      </c>
      <c r="F74" s="237">
        <f>F75+F76+F77+F78</f>
        <v>902.0902000000001</v>
      </c>
      <c r="G74" s="238">
        <f t="shared" si="9"/>
        <v>0</v>
      </c>
      <c r="H74" s="238">
        <f t="shared" ref="H74:H109" si="43">C74/D74*100-100</f>
        <v>0</v>
      </c>
      <c r="I74" s="237">
        <f>I75+I76+I77+I78</f>
        <v>1415.4014</v>
      </c>
      <c r="J74" s="237">
        <f>J75+J76+J77+J78</f>
        <v>1220.1261</v>
      </c>
      <c r="K74" s="237">
        <f>K75+K76+K77+K78</f>
        <v>418.07060000000001</v>
      </c>
      <c r="L74" s="237">
        <f>L75+L76+L77+L78</f>
        <v>802.05549999999994</v>
      </c>
      <c r="M74" s="238">
        <f>I74-J74</f>
        <v>195.27530000000002</v>
      </c>
      <c r="N74" s="238">
        <f t="shared" si="8"/>
        <v>16.004517893683285</v>
      </c>
      <c r="O74" s="237">
        <f>O75+O76+O77+O78</f>
        <v>1457.6333</v>
      </c>
      <c r="P74" s="237">
        <f>P75+P76+P77+P78</f>
        <v>1155.3203000000001</v>
      </c>
      <c r="Q74" s="237">
        <f>Q75+Q76+Q77+Q78</f>
        <v>414.50599999999997</v>
      </c>
      <c r="R74" s="237">
        <f>R75+R76+R77+R78</f>
        <v>740.8143</v>
      </c>
      <c r="S74" s="240">
        <f t="shared" si="40"/>
        <v>302.31299999999987</v>
      </c>
      <c r="T74" s="311">
        <f t="shared" si="41"/>
        <v>26.16702917796907</v>
      </c>
    </row>
    <row r="75" spans="1:20" ht="13" customHeight="1" x14ac:dyDescent="0.25">
      <c r="A75" s="312" t="s">
        <v>174</v>
      </c>
      <c r="B75" s="241" t="s">
        <v>175</v>
      </c>
      <c r="C75" s="242">
        <f>97328.3/1000</f>
        <v>97.328299999999999</v>
      </c>
      <c r="D75" s="259">
        <f>E75+F75</f>
        <v>97.328299999999999</v>
      </c>
      <c r="E75" s="244">
        <f>18324.6/1000</f>
        <v>18.3246</v>
      </c>
      <c r="F75" s="244">
        <f>79003.7/1000</f>
        <v>79.003699999999995</v>
      </c>
      <c r="G75" s="245">
        <f t="shared" si="9"/>
        <v>0</v>
      </c>
      <c r="H75" s="245">
        <f t="shared" si="43"/>
        <v>0</v>
      </c>
      <c r="I75" s="244">
        <f>103003.1/1000</f>
        <v>103.0031</v>
      </c>
      <c r="J75" s="243">
        <f>K75+L75</f>
        <v>103.06780000000001</v>
      </c>
      <c r="K75" s="244">
        <f>18541/1000</f>
        <v>18.541</v>
      </c>
      <c r="L75" s="244">
        <f>84526.8/1000</f>
        <v>84.526800000000009</v>
      </c>
      <c r="M75" s="245">
        <f t="shared" si="29"/>
        <v>-6.4700000000001978E-2</v>
      </c>
      <c r="N75" s="245">
        <f t="shared" si="8"/>
        <v>-6.2774212702706222E-2</v>
      </c>
      <c r="O75" s="244">
        <f>103156.5/1000</f>
        <v>103.15649999999999</v>
      </c>
      <c r="P75" s="243">
        <f>Q75+R75</f>
        <v>103.06780000000001</v>
      </c>
      <c r="Q75" s="244">
        <f>18541/1000</f>
        <v>18.541</v>
      </c>
      <c r="R75" s="244">
        <f>84526.8/1000</f>
        <v>84.526800000000009</v>
      </c>
      <c r="S75" s="247">
        <f t="shared" si="40"/>
        <v>8.8699999999988677E-2</v>
      </c>
      <c r="T75" s="313">
        <f t="shared" si="41"/>
        <v>8.6059855745432401E-2</v>
      </c>
    </row>
    <row r="76" spans="1:20" ht="13.9" customHeight="1" x14ac:dyDescent="0.25">
      <c r="A76" s="312" t="s">
        <v>176</v>
      </c>
      <c r="B76" s="241" t="s">
        <v>177</v>
      </c>
      <c r="C76" s="242">
        <f>77202.4/1000</f>
        <v>77.202399999999997</v>
      </c>
      <c r="D76" s="259">
        <f t="shared" ref="D76:D78" si="44">E76+F76</f>
        <v>77.202400000000011</v>
      </c>
      <c r="E76" s="244">
        <f>3705.6/1000</f>
        <v>3.7056</v>
      </c>
      <c r="F76" s="244">
        <f>73496.8/1000</f>
        <v>73.496800000000007</v>
      </c>
      <c r="G76" s="245">
        <f t="shared" si="9"/>
        <v>0</v>
      </c>
      <c r="H76" s="245">
        <f t="shared" si="43"/>
        <v>0</v>
      </c>
      <c r="I76" s="244">
        <f>81816.8/1000</f>
        <v>81.816800000000001</v>
      </c>
      <c r="J76" s="243">
        <f t="shared" ref="J76:J78" si="45">K76+L76</f>
        <v>37.318199999999997</v>
      </c>
      <c r="K76" s="244">
        <f>3834.6/1000</f>
        <v>3.8346</v>
      </c>
      <c r="L76" s="244">
        <f>33483.6/1000</f>
        <v>33.483599999999996</v>
      </c>
      <c r="M76" s="245">
        <f t="shared" si="29"/>
        <v>44.498600000000003</v>
      </c>
      <c r="N76" s="245">
        <v>0</v>
      </c>
      <c r="O76" s="244">
        <f>73915.2/1000</f>
        <v>73.915199999999999</v>
      </c>
      <c r="P76" s="243">
        <f t="shared" ref="P76:P78" si="46">Q76+R76</f>
        <v>3.2917000000000001</v>
      </c>
      <c r="Q76" s="244">
        <f>2900/1000</f>
        <v>2.9</v>
      </c>
      <c r="R76" s="244">
        <f>391.7/1000</f>
        <v>0.39169999999999999</v>
      </c>
      <c r="S76" s="247">
        <f t="shared" si="40"/>
        <v>70.623499999999993</v>
      </c>
      <c r="T76" s="313">
        <v>0</v>
      </c>
    </row>
    <row r="77" spans="1:20" x14ac:dyDescent="0.25">
      <c r="A77" s="312" t="s">
        <v>178</v>
      </c>
      <c r="B77" s="241" t="s">
        <v>179</v>
      </c>
      <c r="C77" s="242">
        <f>476827.8/1000</f>
        <v>476.82779999999997</v>
      </c>
      <c r="D77" s="259">
        <f t="shared" si="44"/>
        <v>476.82780000000002</v>
      </c>
      <c r="E77" s="244">
        <f>327808.4/1000</f>
        <v>327.80840000000001</v>
      </c>
      <c r="F77" s="244">
        <f>149019.4/1000</f>
        <v>149.01939999999999</v>
      </c>
      <c r="G77" s="245">
        <f t="shared" si="9"/>
        <v>0</v>
      </c>
      <c r="H77" s="245">
        <f t="shared" si="43"/>
        <v>0</v>
      </c>
      <c r="I77" s="244">
        <f>465654.9/1000</f>
        <v>465.6549</v>
      </c>
      <c r="J77" s="243">
        <f t="shared" si="45"/>
        <v>359.22379999999998</v>
      </c>
      <c r="K77" s="244">
        <f>215991.3/1000</f>
        <v>215.9913</v>
      </c>
      <c r="L77" s="244">
        <f>143232.5/1000</f>
        <v>143.23249999999999</v>
      </c>
      <c r="M77" s="245">
        <f t="shared" si="29"/>
        <v>106.43110000000001</v>
      </c>
      <c r="N77" s="245">
        <f>I77/J77*100-100</f>
        <v>29.628075868024325</v>
      </c>
      <c r="O77" s="244">
        <f>469159/1000</f>
        <v>469.15899999999999</v>
      </c>
      <c r="P77" s="243">
        <f t="shared" si="46"/>
        <v>328.44450000000001</v>
      </c>
      <c r="Q77" s="244">
        <f>213361.3/1000</f>
        <v>213.3613</v>
      </c>
      <c r="R77" s="244">
        <f>115083.2/1000</f>
        <v>115.08319999999999</v>
      </c>
      <c r="S77" s="247">
        <f t="shared" si="40"/>
        <v>140.71449999999999</v>
      </c>
      <c r="T77" s="313">
        <f t="shared" si="41"/>
        <v>42.842702496159944</v>
      </c>
    </row>
    <row r="78" spans="1:20" ht="50" x14ac:dyDescent="0.25">
      <c r="A78" s="314" t="s">
        <v>502</v>
      </c>
      <c r="B78" s="250" t="s">
        <v>180</v>
      </c>
      <c r="C78" s="278">
        <f>881416.9/1000</f>
        <v>881.41690000000006</v>
      </c>
      <c r="D78" s="275">
        <f t="shared" si="44"/>
        <v>881.41690000000006</v>
      </c>
      <c r="E78" s="254">
        <f>280846.6/1000</f>
        <v>280.84659999999997</v>
      </c>
      <c r="F78" s="254">
        <f>600570.3/1000</f>
        <v>600.57030000000009</v>
      </c>
      <c r="G78" s="255">
        <f t="shared" si="9"/>
        <v>0</v>
      </c>
      <c r="H78" s="255">
        <f t="shared" si="43"/>
        <v>0</v>
      </c>
      <c r="I78" s="254">
        <f>764926.6/1000</f>
        <v>764.92660000000001</v>
      </c>
      <c r="J78" s="279">
        <f t="shared" si="45"/>
        <v>720.5163</v>
      </c>
      <c r="K78" s="254">
        <f>179703.7/1000</f>
        <v>179.7037</v>
      </c>
      <c r="L78" s="254">
        <f>540812.6/1000</f>
        <v>540.81259999999997</v>
      </c>
      <c r="M78" s="255">
        <f t="shared" si="29"/>
        <v>44.410300000000007</v>
      </c>
      <c r="N78" s="255">
        <f>I78/J78*100-100</f>
        <v>6.163677351921109</v>
      </c>
      <c r="O78" s="254">
        <f>811402.6/1000</f>
        <v>811.40260000000001</v>
      </c>
      <c r="P78" s="243">
        <f t="shared" si="46"/>
        <v>720.5163</v>
      </c>
      <c r="Q78" s="254">
        <f>179703.7/1000</f>
        <v>179.7037</v>
      </c>
      <c r="R78" s="254">
        <f>540812.6/1000</f>
        <v>540.81259999999997</v>
      </c>
      <c r="S78" s="256">
        <f t="shared" si="40"/>
        <v>90.886300000000006</v>
      </c>
      <c r="T78" s="316">
        <f t="shared" si="41"/>
        <v>12.614051895841911</v>
      </c>
    </row>
    <row r="79" spans="1:20" ht="64.5" customHeight="1" x14ac:dyDescent="0.3">
      <c r="A79" s="321" t="s">
        <v>503</v>
      </c>
      <c r="B79" s="280" t="s">
        <v>504</v>
      </c>
      <c r="C79" s="267">
        <f>C80+C81+C82+C83+C84+C85+C86</f>
        <v>2005.8701000000001</v>
      </c>
      <c r="D79" s="267">
        <f>E79+F79</f>
        <v>2005.8701000000001</v>
      </c>
      <c r="E79" s="281">
        <f>E80+E81+E82+E83+E84+E85+E86</f>
        <v>1312.8122000000001</v>
      </c>
      <c r="F79" s="281">
        <f>F80+F81+F82+F83+F84+F85+F86</f>
        <v>693.05790000000002</v>
      </c>
      <c r="G79" s="268">
        <f t="shared" si="9"/>
        <v>0</v>
      </c>
      <c r="H79" s="268">
        <f t="shared" si="43"/>
        <v>0</v>
      </c>
      <c r="I79" s="267">
        <f>I80+I81+I82+I83+I84+I85+I86</f>
        <v>1914.0336000000002</v>
      </c>
      <c r="J79" s="281">
        <f>K79+L79</f>
        <v>1999.0891000000001</v>
      </c>
      <c r="K79" s="281">
        <f>K80+K81+K82+K83+K84+K85+K86</f>
        <v>1139.2070999999999</v>
      </c>
      <c r="L79" s="281">
        <f>L80+L81+L82+L83+L84+L85+L86</f>
        <v>859.88200000000018</v>
      </c>
      <c r="M79" s="268">
        <f>I79-J79</f>
        <v>-85.055499999999938</v>
      </c>
      <c r="N79" s="268">
        <f>I79/J79*100-100</f>
        <v>-4.2547128089488382</v>
      </c>
      <c r="O79" s="267">
        <f>O80+O81+O82+O83+O84+O85+O86</f>
        <v>1170.2235000000001</v>
      </c>
      <c r="P79" s="267">
        <f>P80+P81+P82+P83+P84+P85+P86</f>
        <v>1259.4218000000001</v>
      </c>
      <c r="Q79" s="281">
        <f>Q80+Q81+Q82+Q83+Q84+Q85+Q86</f>
        <v>1170.8375999999998</v>
      </c>
      <c r="R79" s="281">
        <f>R80+R81+R82+R83+R84+R85+R86</f>
        <v>88.58420000000001</v>
      </c>
      <c r="S79" s="282">
        <f>O79-P79</f>
        <v>-89.198300000000017</v>
      </c>
      <c r="T79" s="322">
        <f>O79/P79*100-100</f>
        <v>-7.0824802302135765</v>
      </c>
    </row>
    <row r="80" spans="1:20" ht="37.5" x14ac:dyDescent="0.25">
      <c r="A80" s="323" t="s">
        <v>505</v>
      </c>
      <c r="B80" s="283" t="s">
        <v>506</v>
      </c>
      <c r="C80" s="259">
        <f>10945.1/1000</f>
        <v>10.9451</v>
      </c>
      <c r="D80" s="259">
        <f>E80+F80</f>
        <v>10.945</v>
      </c>
      <c r="E80" s="243">
        <f>9875.9/1000</f>
        <v>9.8758999999999997</v>
      </c>
      <c r="F80" s="243">
        <f>1069.1/1000</f>
        <v>1.0690999999999999</v>
      </c>
      <c r="G80" s="284">
        <f>C80-D80</f>
        <v>9.9999999999766942E-5</v>
      </c>
      <c r="H80" s="284">
        <f>C80/D80*100</f>
        <v>100.00091365920511</v>
      </c>
      <c r="I80" s="243">
        <f>11163/1000</f>
        <v>11.163</v>
      </c>
      <c r="J80" s="243">
        <f>K80+L80</f>
        <v>11.1629</v>
      </c>
      <c r="K80" s="243">
        <f>10093.8/1000</f>
        <v>10.0938</v>
      </c>
      <c r="L80" s="243">
        <f>1069.1/1000</f>
        <v>1.0690999999999999</v>
      </c>
      <c r="M80" s="284">
        <f t="shared" si="29"/>
        <v>9.9999999999766942E-5</v>
      </c>
      <c r="N80" s="284">
        <f>I80/J80*100-100</f>
        <v>8.9582456170944624E-4</v>
      </c>
      <c r="O80" s="243">
        <f>10812.1/1000</f>
        <v>10.812100000000001</v>
      </c>
      <c r="P80" s="243">
        <f>Q80+R80</f>
        <v>10.812100000000001</v>
      </c>
      <c r="Q80" s="243">
        <f>9743/1000</f>
        <v>9.7430000000000003</v>
      </c>
      <c r="R80" s="243">
        <f>1069.1/1000</f>
        <v>1.0690999999999999</v>
      </c>
      <c r="S80" s="285">
        <f>O80-P80</f>
        <v>0</v>
      </c>
      <c r="T80" s="324">
        <f>O80/P80*100-100</f>
        <v>0</v>
      </c>
    </row>
    <row r="81" spans="1:20" ht="62.5" x14ac:dyDescent="0.25">
      <c r="A81" s="325" t="s">
        <v>507</v>
      </c>
      <c r="B81" s="283" t="s">
        <v>508</v>
      </c>
      <c r="C81" s="259">
        <f>119836.3/1000</f>
        <v>119.83630000000001</v>
      </c>
      <c r="D81" s="259">
        <f t="shared" ref="D81:D86" si="47">E81+F81</f>
        <v>119.83630000000001</v>
      </c>
      <c r="E81" s="243">
        <f>119836.3/1000</f>
        <v>119.83630000000001</v>
      </c>
      <c r="F81" s="243"/>
      <c r="G81" s="284">
        <f t="shared" ref="G81:G109" si="48">C81-D81</f>
        <v>0</v>
      </c>
      <c r="H81" s="284">
        <f t="shared" ref="H81:H86" si="49">C81/D81*100</f>
        <v>100</v>
      </c>
      <c r="I81" s="243">
        <f>78375.3/1000</f>
        <v>78.37530000000001</v>
      </c>
      <c r="J81" s="243">
        <f t="shared" ref="J81:J86" si="50">K81+L81</f>
        <v>87.104100000000003</v>
      </c>
      <c r="K81" s="243">
        <f>87104.1/1000</f>
        <v>87.104100000000003</v>
      </c>
      <c r="L81" s="243"/>
      <c r="M81" s="284">
        <f t="shared" si="29"/>
        <v>-8.7287999999999926</v>
      </c>
      <c r="N81" s="284">
        <f t="shared" ref="N81:N86" si="51">I81/J81*100-100</f>
        <v>-10.021112668634416</v>
      </c>
      <c r="O81" s="243">
        <f>79419.7/1000</f>
        <v>79.419699999999992</v>
      </c>
      <c r="P81" s="243">
        <f t="shared" ref="P81:P86" si="52">Q81+R81</f>
        <v>87.104100000000003</v>
      </c>
      <c r="Q81" s="243">
        <f>87104.1/1000</f>
        <v>87.104100000000003</v>
      </c>
      <c r="R81" s="243"/>
      <c r="S81" s="285">
        <f t="shared" ref="S81:S86" si="53">O81-P81</f>
        <v>-7.6844000000000108</v>
      </c>
      <c r="T81" s="324">
        <f t="shared" ref="T81:T86" si="54">O81/P81*100-100</f>
        <v>-8.822087594039786</v>
      </c>
    </row>
    <row r="82" spans="1:20" ht="25" x14ac:dyDescent="0.25">
      <c r="A82" s="325" t="s">
        <v>509</v>
      </c>
      <c r="B82" s="283" t="s">
        <v>510</v>
      </c>
      <c r="C82" s="259">
        <f>27400/1000</f>
        <v>27.4</v>
      </c>
      <c r="D82" s="259">
        <f t="shared" si="47"/>
        <v>27.4</v>
      </c>
      <c r="E82" s="243">
        <f>27400/1000</f>
        <v>27.4</v>
      </c>
      <c r="F82" s="243"/>
      <c r="G82" s="284">
        <f t="shared" si="48"/>
        <v>0</v>
      </c>
      <c r="H82" s="284">
        <f t="shared" si="49"/>
        <v>100</v>
      </c>
      <c r="I82" s="243">
        <f>2861/1000</f>
        <v>2.8610000000000002</v>
      </c>
      <c r="J82" s="243">
        <f t="shared" si="50"/>
        <v>25.85</v>
      </c>
      <c r="K82" s="243">
        <f>25850/1000</f>
        <v>25.85</v>
      </c>
      <c r="L82" s="243"/>
      <c r="M82" s="284">
        <f t="shared" si="29"/>
        <v>-22.989000000000001</v>
      </c>
      <c r="N82" s="284">
        <f t="shared" si="51"/>
        <v>-88.932301740812377</v>
      </c>
      <c r="O82" s="243">
        <f>2932.5/1000</f>
        <v>2.9325000000000001</v>
      </c>
      <c r="P82" s="243">
        <f t="shared" si="52"/>
        <v>27.65</v>
      </c>
      <c r="Q82" s="243">
        <f>27650/1000</f>
        <v>27.65</v>
      </c>
      <c r="R82" s="243"/>
      <c r="S82" s="285">
        <f t="shared" si="53"/>
        <v>-24.717499999999998</v>
      </c>
      <c r="T82" s="324">
        <f t="shared" si="54"/>
        <v>-89.394213381555147</v>
      </c>
    </row>
    <row r="83" spans="1:20" ht="25" x14ac:dyDescent="0.25">
      <c r="A83" s="325" t="s">
        <v>511</v>
      </c>
      <c r="B83" s="283" t="s">
        <v>512</v>
      </c>
      <c r="C83" s="259">
        <f>22667.8/1000</f>
        <v>22.6678</v>
      </c>
      <c r="D83" s="259">
        <f t="shared" si="47"/>
        <v>22.6678</v>
      </c>
      <c r="E83" s="243">
        <f>22667.8/1000</f>
        <v>22.6678</v>
      </c>
      <c r="F83" s="243"/>
      <c r="G83" s="284">
        <f t="shared" si="48"/>
        <v>0</v>
      </c>
      <c r="H83" s="284">
        <f t="shared" si="49"/>
        <v>100</v>
      </c>
      <c r="I83" s="243">
        <f>18829.6/1000</f>
        <v>18.829599999999999</v>
      </c>
      <c r="J83" s="243">
        <f t="shared" si="50"/>
        <v>36.625500000000002</v>
      </c>
      <c r="K83" s="243">
        <f>36625.5/1000</f>
        <v>36.625500000000002</v>
      </c>
      <c r="L83" s="243"/>
      <c r="M83" s="284">
        <f t="shared" si="29"/>
        <v>-17.795900000000003</v>
      </c>
      <c r="N83" s="284">
        <f t="shared" si="51"/>
        <v>-48.588824725942317</v>
      </c>
      <c r="O83" s="243">
        <f>20279.6/1000</f>
        <v>20.279599999999999</v>
      </c>
      <c r="P83" s="243">
        <f t="shared" si="52"/>
        <v>39.825499999999998</v>
      </c>
      <c r="Q83" s="243">
        <f>39825.5/1000</f>
        <v>39.825499999999998</v>
      </c>
      <c r="R83" s="243"/>
      <c r="S83" s="285">
        <f t="shared" si="53"/>
        <v>-19.5459</v>
      </c>
      <c r="T83" s="324">
        <f t="shared" si="54"/>
        <v>-49.078856511531555</v>
      </c>
    </row>
    <row r="84" spans="1:20" ht="50" x14ac:dyDescent="0.25">
      <c r="A84" s="325" t="s">
        <v>513</v>
      </c>
      <c r="B84" s="283" t="s">
        <v>514</v>
      </c>
      <c r="C84" s="259">
        <f>2531.7/1000</f>
        <v>2.5316999999999998</v>
      </c>
      <c r="D84" s="259">
        <f t="shared" si="47"/>
        <v>2.5317000000000003</v>
      </c>
      <c r="E84" s="243">
        <f>523.2/1000</f>
        <v>0.5232</v>
      </c>
      <c r="F84" s="243">
        <f>2008.5/1000</f>
        <v>2.0085000000000002</v>
      </c>
      <c r="G84" s="284">
        <f t="shared" si="48"/>
        <v>0</v>
      </c>
      <c r="H84" s="284">
        <f t="shared" si="49"/>
        <v>99.999999999999972</v>
      </c>
      <c r="I84" s="243">
        <f>300/1000</f>
        <v>0.3</v>
      </c>
      <c r="J84" s="243">
        <f t="shared" si="50"/>
        <v>2.1669999999999998</v>
      </c>
      <c r="K84" s="243">
        <f>2167/1000</f>
        <v>2.1669999999999998</v>
      </c>
      <c r="L84" s="243"/>
      <c r="M84" s="284">
        <f t="shared" si="29"/>
        <v>-1.8669999999999998</v>
      </c>
      <c r="N84" s="284">
        <f t="shared" si="51"/>
        <v>-86.155976003691734</v>
      </c>
      <c r="O84" s="243">
        <f>300/1000</f>
        <v>0.3</v>
      </c>
      <c r="P84" s="243">
        <f t="shared" si="52"/>
        <v>2.1669999999999998</v>
      </c>
      <c r="Q84" s="243">
        <f>2167/1000</f>
        <v>2.1669999999999998</v>
      </c>
      <c r="R84" s="243"/>
      <c r="S84" s="285">
        <f t="shared" si="53"/>
        <v>-1.8669999999999998</v>
      </c>
      <c r="T84" s="324">
        <f t="shared" si="54"/>
        <v>-86.155976003691734</v>
      </c>
    </row>
    <row r="85" spans="1:20" ht="37.5" x14ac:dyDescent="0.25">
      <c r="A85" s="325" t="s">
        <v>515</v>
      </c>
      <c r="B85" s="283" t="s">
        <v>516</v>
      </c>
      <c r="C85" s="259">
        <f>555500/1000</f>
        <v>555.5</v>
      </c>
      <c r="D85" s="259">
        <f t="shared" si="47"/>
        <v>555.5</v>
      </c>
      <c r="E85" s="243"/>
      <c r="F85" s="243">
        <f>555500/1000</f>
        <v>555.5</v>
      </c>
      <c r="G85" s="284">
        <f t="shared" si="48"/>
        <v>0</v>
      </c>
      <c r="H85" s="284">
        <f t="shared" si="49"/>
        <v>100</v>
      </c>
      <c r="I85" s="243">
        <f>773940.8/1000</f>
        <v>773.94080000000008</v>
      </c>
      <c r="J85" s="243">
        <f t="shared" si="50"/>
        <v>773.94080000000008</v>
      </c>
      <c r="K85" s="243"/>
      <c r="L85" s="243">
        <f>773940.8/1000</f>
        <v>773.94080000000008</v>
      </c>
      <c r="M85" s="284">
        <f t="shared" si="29"/>
        <v>0</v>
      </c>
      <c r="N85" s="284">
        <f t="shared" si="51"/>
        <v>0</v>
      </c>
      <c r="O85" s="243">
        <f>0</f>
        <v>0</v>
      </c>
      <c r="P85" s="243">
        <f t="shared" si="52"/>
        <v>0</v>
      </c>
      <c r="Q85" s="243"/>
      <c r="R85" s="243"/>
      <c r="S85" s="285">
        <f t="shared" si="53"/>
        <v>0</v>
      </c>
      <c r="T85" s="324"/>
    </row>
    <row r="86" spans="1:20" ht="37.5" x14ac:dyDescent="0.25">
      <c r="A86" s="326" t="s">
        <v>517</v>
      </c>
      <c r="B86" s="286" t="s">
        <v>518</v>
      </c>
      <c r="C86" s="275">
        <f>1266989.2/1000</f>
        <v>1266.9892</v>
      </c>
      <c r="D86" s="259">
        <f t="shared" si="47"/>
        <v>1266.9893</v>
      </c>
      <c r="E86" s="279">
        <f>1132509/1000</f>
        <v>1132.509</v>
      </c>
      <c r="F86" s="279">
        <f>134480.3/1000</f>
        <v>134.4803</v>
      </c>
      <c r="G86" s="284">
        <f t="shared" si="48"/>
        <v>-9.9999999974897946E-5</v>
      </c>
      <c r="H86" s="284">
        <f t="shared" si="49"/>
        <v>99.999992107273513</v>
      </c>
      <c r="I86" s="279">
        <f>1028563.9/1000</f>
        <v>1028.5639000000001</v>
      </c>
      <c r="J86" s="243">
        <f t="shared" si="50"/>
        <v>1062.2387999999999</v>
      </c>
      <c r="K86" s="279">
        <f>977366.7/1000</f>
        <v>977.36669999999992</v>
      </c>
      <c r="L86" s="279">
        <f>84872.1/1000</f>
        <v>84.872100000000003</v>
      </c>
      <c r="M86" s="284">
        <f t="shared" si="29"/>
        <v>-33.674899999999752</v>
      </c>
      <c r="N86" s="284">
        <f t="shared" si="51"/>
        <v>-3.170181695490669</v>
      </c>
      <c r="O86" s="279">
        <f>1056479.6/1000</f>
        <v>1056.4796000000001</v>
      </c>
      <c r="P86" s="243">
        <f t="shared" si="52"/>
        <v>1091.8631</v>
      </c>
      <c r="Q86" s="279">
        <f>1004348/1000</f>
        <v>1004.348</v>
      </c>
      <c r="R86" s="279">
        <f>87515.1/1000</f>
        <v>87.515100000000004</v>
      </c>
      <c r="S86" s="285">
        <f t="shared" si="53"/>
        <v>-35.383499999999913</v>
      </c>
      <c r="T86" s="324">
        <f t="shared" si="54"/>
        <v>-3.2406535214900032</v>
      </c>
    </row>
    <row r="87" spans="1:20" s="72" customFormat="1" ht="52" x14ac:dyDescent="0.3">
      <c r="A87" s="327" t="s">
        <v>438</v>
      </c>
      <c r="B87" s="287" t="s">
        <v>181</v>
      </c>
      <c r="C87" s="237">
        <f t="shared" ref="C87:F87" si="55">SUM(C88:C90)</f>
        <v>4706.1790999999994</v>
      </c>
      <c r="D87" s="237">
        <f t="shared" si="55"/>
        <v>4706.1790999999994</v>
      </c>
      <c r="E87" s="237">
        <f t="shared" si="55"/>
        <v>4506.8672999999999</v>
      </c>
      <c r="F87" s="237">
        <f t="shared" si="55"/>
        <v>199.31179999999998</v>
      </c>
      <c r="G87" s="238">
        <f t="shared" si="48"/>
        <v>0</v>
      </c>
      <c r="H87" s="238">
        <f t="shared" si="43"/>
        <v>0</v>
      </c>
      <c r="I87" s="237">
        <f>SUM(I88:I90)</f>
        <v>3372.8052999999995</v>
      </c>
      <c r="J87" s="237">
        <f>SUM(J88:J90)</f>
        <v>3372.8052999999995</v>
      </c>
      <c r="K87" s="237">
        <f>SUM(K88:K90)</f>
        <v>2949.6324999999997</v>
      </c>
      <c r="L87" s="237">
        <f>SUM(L88:L90)</f>
        <v>423.1728</v>
      </c>
      <c r="M87" s="238">
        <f>I87-J87</f>
        <v>0</v>
      </c>
      <c r="N87" s="238">
        <f>I87/J87*100-100</f>
        <v>0</v>
      </c>
      <c r="O87" s="237">
        <f>SUM(O88:O90)</f>
        <v>1062.8527000000001</v>
      </c>
      <c r="P87" s="237">
        <f>SUM(P88:P90)</f>
        <v>1062.8527999999999</v>
      </c>
      <c r="Q87" s="237">
        <f>SUM(Q88:Q90)</f>
        <v>421.7278</v>
      </c>
      <c r="R87" s="237">
        <f>SUM(R88:R90)</f>
        <v>641.125</v>
      </c>
      <c r="S87" s="240">
        <f t="shared" si="40"/>
        <v>-9.9999999747524271E-5</v>
      </c>
      <c r="T87" s="311">
        <f t="shared" si="41"/>
        <v>-9.4086405653115435E-6</v>
      </c>
    </row>
    <row r="88" spans="1:20" ht="37.5" x14ac:dyDescent="0.25">
      <c r="A88" s="328" t="s">
        <v>182</v>
      </c>
      <c r="B88" s="288" t="s">
        <v>183</v>
      </c>
      <c r="C88" s="242">
        <f>206017.3/1000</f>
        <v>206.01729999999998</v>
      </c>
      <c r="D88" s="259">
        <f>E88+F88</f>
        <v>206.01729999999998</v>
      </c>
      <c r="E88" s="244">
        <f>6705.5/1000</f>
        <v>6.7054999999999998</v>
      </c>
      <c r="F88" s="244">
        <f>199311.8/1000</f>
        <v>199.31179999999998</v>
      </c>
      <c r="G88" s="245">
        <f t="shared" si="48"/>
        <v>0</v>
      </c>
      <c r="H88" s="245">
        <f t="shared" si="43"/>
        <v>0</v>
      </c>
      <c r="I88" s="244">
        <f>432709/1000</f>
        <v>432.709</v>
      </c>
      <c r="J88" s="243">
        <f>K88+L88</f>
        <v>432.709</v>
      </c>
      <c r="K88" s="244">
        <f>9536.2/1000</f>
        <v>9.5362000000000009</v>
      </c>
      <c r="L88" s="244">
        <f>423172.8/1000</f>
        <v>423.1728</v>
      </c>
      <c r="M88" s="245">
        <f t="shared" si="29"/>
        <v>0</v>
      </c>
      <c r="N88" s="245">
        <f>I88/J88*100-100</f>
        <v>0</v>
      </c>
      <c r="O88" s="244">
        <f>655109.3/1000</f>
        <v>655.10930000000008</v>
      </c>
      <c r="P88" s="243">
        <f>Q88+R88</f>
        <v>655.10929999999996</v>
      </c>
      <c r="Q88" s="244">
        <f>13984.3/1000</f>
        <v>13.984299999999999</v>
      </c>
      <c r="R88" s="244">
        <f>641125/1000</f>
        <v>641.125</v>
      </c>
      <c r="S88" s="247">
        <f t="shared" si="40"/>
        <v>0</v>
      </c>
      <c r="T88" s="313">
        <f t="shared" si="41"/>
        <v>0</v>
      </c>
    </row>
    <row r="89" spans="1:20" ht="25" hidden="1" x14ac:dyDescent="0.25">
      <c r="A89" s="328" t="s">
        <v>242</v>
      </c>
      <c r="B89" s="289"/>
      <c r="C89" s="251"/>
      <c r="D89" s="259">
        <f t="shared" ref="D89:D90" si="56">E89+F89</f>
        <v>0</v>
      </c>
      <c r="E89" s="262"/>
      <c r="F89" s="262"/>
      <c r="G89" s="245">
        <f t="shared" si="48"/>
        <v>0</v>
      </c>
      <c r="H89" s="245" t="e">
        <f t="shared" si="43"/>
        <v>#DIV/0!</v>
      </c>
      <c r="I89" s="262"/>
      <c r="J89" s="243">
        <f t="shared" ref="J89:J90" si="57">K89+L89</f>
        <v>0</v>
      </c>
      <c r="K89" s="262"/>
      <c r="L89" s="262"/>
      <c r="M89" s="253">
        <f t="shared" si="29"/>
        <v>0</v>
      </c>
      <c r="N89" s="245">
        <v>0</v>
      </c>
      <c r="O89" s="262"/>
      <c r="P89" s="243">
        <f t="shared" ref="P89:P90" si="58">Q89+R89</f>
        <v>0</v>
      </c>
      <c r="Q89" s="262"/>
      <c r="R89" s="262"/>
      <c r="S89" s="247">
        <f t="shared" si="40"/>
        <v>0</v>
      </c>
      <c r="T89" s="313" t="e">
        <f t="shared" si="41"/>
        <v>#DIV/0!</v>
      </c>
    </row>
    <row r="90" spans="1:20" ht="50" x14ac:dyDescent="0.25">
      <c r="A90" s="329" t="s">
        <v>184</v>
      </c>
      <c r="B90" s="290" t="s">
        <v>185</v>
      </c>
      <c r="C90" s="251">
        <f>4500161.8/1000</f>
        <v>4500.1617999999999</v>
      </c>
      <c r="D90" s="259">
        <f t="shared" si="56"/>
        <v>4500.1617999999999</v>
      </c>
      <c r="E90" s="262">
        <f>4500161.8/1000</f>
        <v>4500.1617999999999</v>
      </c>
      <c r="F90" s="262"/>
      <c r="G90" s="253">
        <f t="shared" si="48"/>
        <v>0</v>
      </c>
      <c r="H90" s="253">
        <f t="shared" si="43"/>
        <v>0</v>
      </c>
      <c r="I90" s="262">
        <f>2940096.3/1000</f>
        <v>2940.0962999999997</v>
      </c>
      <c r="J90" s="243">
        <f t="shared" si="57"/>
        <v>2940.0962999999997</v>
      </c>
      <c r="K90" s="262">
        <f>2940096.3/1000</f>
        <v>2940.0962999999997</v>
      </c>
      <c r="L90" s="262"/>
      <c r="M90" s="253">
        <f t="shared" si="29"/>
        <v>0</v>
      </c>
      <c r="N90" s="253">
        <f t="shared" ref="N90:N109" si="59">I90/J90*100-100</f>
        <v>0</v>
      </c>
      <c r="O90" s="254">
        <f>407743.4/1000</f>
        <v>407.74340000000001</v>
      </c>
      <c r="P90" s="243">
        <f t="shared" si="58"/>
        <v>407.74349999999998</v>
      </c>
      <c r="Q90" s="254">
        <f>407743.5/1000</f>
        <v>407.74349999999998</v>
      </c>
      <c r="R90" s="262"/>
      <c r="S90" s="247">
        <f t="shared" si="40"/>
        <v>-9.9999999974897946E-5</v>
      </c>
      <c r="T90" s="313">
        <f t="shared" si="41"/>
        <v>-2.4525222343640962E-5</v>
      </c>
    </row>
    <row r="91" spans="1:20" s="72" customFormat="1" ht="39" x14ac:dyDescent="0.3">
      <c r="A91" s="310" t="s">
        <v>439</v>
      </c>
      <c r="B91" s="236" t="s">
        <v>186</v>
      </c>
      <c r="C91" s="237">
        <f>C92+C93+C94+C95+C96+C97+C98</f>
        <v>8563.0669999999991</v>
      </c>
      <c r="D91" s="237">
        <f>D92+D93+D94+D95+D96+D97+D98</f>
        <v>8563.0668999999998</v>
      </c>
      <c r="E91" s="237">
        <f>E92+E93+E94+E95+E96+E97+E98</f>
        <v>7995.0668999999998</v>
      </c>
      <c r="F91" s="237">
        <f>F92+F93+F94+F95+F96+F97+F98</f>
        <v>568</v>
      </c>
      <c r="G91" s="238">
        <f t="shared" si="48"/>
        <v>9.999999929277692E-5</v>
      </c>
      <c r="H91" s="238">
        <f t="shared" si="43"/>
        <v>1.1678058911002154E-6</v>
      </c>
      <c r="I91" s="237">
        <f>I92+I93+I94+I95+I96+I97+I98</f>
        <v>10204.402999999998</v>
      </c>
      <c r="J91" s="237">
        <f>J92+J93+J94+J95+J96+J97+J98</f>
        <v>11110.615900000001</v>
      </c>
      <c r="K91" s="237">
        <f>K92+K93+K94+K95+K96+K97+K98</f>
        <v>10542.615899999999</v>
      </c>
      <c r="L91" s="237">
        <f>L92+L93+L94+L95+L96+L97+L98</f>
        <v>568</v>
      </c>
      <c r="M91" s="238">
        <f>I91-J91</f>
        <v>-906.21290000000226</v>
      </c>
      <c r="N91" s="238">
        <f t="shared" si="59"/>
        <v>-8.156279617226275</v>
      </c>
      <c r="O91" s="237">
        <f>O92+O93+O94+O95+O96+O97+O98</f>
        <v>11720.4594</v>
      </c>
      <c r="P91" s="237">
        <f>P92+P93+P94+P95+P96+P97+P98</f>
        <v>12948.681399999999</v>
      </c>
      <c r="Q91" s="237">
        <f>Q92+Q93+Q94+Q95+Q96+Q97+Q98</f>
        <v>12380.681399999999</v>
      </c>
      <c r="R91" s="237">
        <f>R92+R93+R94+R95+R96+R97+R98</f>
        <v>568</v>
      </c>
      <c r="S91" s="240">
        <f t="shared" si="40"/>
        <v>-1228.2219999999998</v>
      </c>
      <c r="T91" s="311">
        <f t="shared" si="41"/>
        <v>-9.485305584860555</v>
      </c>
    </row>
    <row r="92" spans="1:20" ht="26.15" customHeight="1" x14ac:dyDescent="0.25">
      <c r="A92" s="312" t="s">
        <v>187</v>
      </c>
      <c r="B92" s="241" t="s">
        <v>188</v>
      </c>
      <c r="C92" s="242">
        <f>796948.3/1000</f>
        <v>796.94830000000002</v>
      </c>
      <c r="D92" s="259">
        <f>E92+F92</f>
        <v>796.94830000000002</v>
      </c>
      <c r="E92" s="244">
        <f>796948.3/1000</f>
        <v>796.94830000000002</v>
      </c>
      <c r="F92" s="244"/>
      <c r="G92" s="245">
        <f t="shared" si="48"/>
        <v>0</v>
      </c>
      <c r="H92" s="245">
        <f t="shared" si="43"/>
        <v>0</v>
      </c>
      <c r="I92" s="244">
        <f>523537.5/1000</f>
        <v>523.53750000000002</v>
      </c>
      <c r="J92" s="243">
        <f>K92+L92</f>
        <v>752.64200000000005</v>
      </c>
      <c r="K92" s="244">
        <f>752642/1000</f>
        <v>752.64200000000005</v>
      </c>
      <c r="L92" s="244"/>
      <c r="M92" s="245">
        <f t="shared" si="29"/>
        <v>-229.10450000000003</v>
      </c>
      <c r="N92" s="245">
        <f t="shared" si="59"/>
        <v>-30.440036564528697</v>
      </c>
      <c r="O92" s="244">
        <f>938655.4/1000</f>
        <v>938.65539999999999</v>
      </c>
      <c r="P92" s="243">
        <f>Q92+R92</f>
        <v>752.64200000000005</v>
      </c>
      <c r="Q92" s="244">
        <f>752642/1000</f>
        <v>752.64200000000005</v>
      </c>
      <c r="R92" s="244"/>
      <c r="S92" s="247">
        <f t="shared" si="40"/>
        <v>186.01339999999993</v>
      </c>
      <c r="T92" s="313">
        <f t="shared" si="41"/>
        <v>24.7147249289835</v>
      </c>
    </row>
    <row r="93" spans="1:20" ht="37.5" x14ac:dyDescent="0.25">
      <c r="A93" s="312" t="s">
        <v>189</v>
      </c>
      <c r="B93" s="241" t="s">
        <v>190</v>
      </c>
      <c r="C93" s="242">
        <f>603579/1000</f>
        <v>603.57899999999995</v>
      </c>
      <c r="D93" s="259">
        <f t="shared" ref="D93:D98" si="60">E93+F93</f>
        <v>603.57889999999998</v>
      </c>
      <c r="E93" s="244">
        <f>603578.9/1000</f>
        <v>603.57889999999998</v>
      </c>
      <c r="F93" s="244"/>
      <c r="G93" s="245">
        <f t="shared" si="48"/>
        <v>9.9999999974897946E-5</v>
      </c>
      <c r="H93" s="245">
        <f t="shared" si="43"/>
        <v>1.6567842251902221E-5</v>
      </c>
      <c r="I93" s="244">
        <f>440503.3/1000</f>
        <v>440.50329999999997</v>
      </c>
      <c r="J93" s="243">
        <f t="shared" ref="J93:J98" si="61">K93+L93</f>
        <v>1115.9802999999999</v>
      </c>
      <c r="K93" s="244">
        <f>1115980.3/1000</f>
        <v>1115.9802999999999</v>
      </c>
      <c r="L93" s="244"/>
      <c r="M93" s="245">
        <f t="shared" si="29"/>
        <v>-675.47699999999998</v>
      </c>
      <c r="N93" s="245">
        <f t="shared" si="59"/>
        <v>-60.527681357816085</v>
      </c>
      <c r="O93" s="244">
        <f>1833931.7/1000</f>
        <v>1833.9316999999999</v>
      </c>
      <c r="P93" s="243">
        <f t="shared" ref="P93:P98" si="62">Q93+R93</f>
        <v>2680.3352999999997</v>
      </c>
      <c r="Q93" s="244">
        <f>2680335.3/1000</f>
        <v>2680.3352999999997</v>
      </c>
      <c r="R93" s="244"/>
      <c r="S93" s="247">
        <f t="shared" si="40"/>
        <v>-846.40359999999987</v>
      </c>
      <c r="T93" s="313">
        <f t="shared" si="41"/>
        <v>-31.578273061583005</v>
      </c>
    </row>
    <row r="94" spans="1:20" ht="37.5" x14ac:dyDescent="0.25">
      <c r="A94" s="312" t="s">
        <v>191</v>
      </c>
      <c r="B94" s="241" t="s">
        <v>192</v>
      </c>
      <c r="C94" s="242">
        <f>94894.2/1000</f>
        <v>94.894199999999998</v>
      </c>
      <c r="D94" s="259">
        <f t="shared" si="60"/>
        <v>94.894199999999998</v>
      </c>
      <c r="E94" s="244">
        <f>94894.2/1000</f>
        <v>94.894199999999998</v>
      </c>
      <c r="F94" s="244"/>
      <c r="G94" s="245">
        <f t="shared" si="48"/>
        <v>0</v>
      </c>
      <c r="H94" s="245">
        <f t="shared" si="43"/>
        <v>0</v>
      </c>
      <c r="I94" s="244">
        <f>100000/1000</f>
        <v>100</v>
      </c>
      <c r="J94" s="243">
        <f t="shared" si="61"/>
        <v>100</v>
      </c>
      <c r="K94" s="244">
        <f>100000/1000</f>
        <v>100</v>
      </c>
      <c r="L94" s="244"/>
      <c r="M94" s="245">
        <f t="shared" si="29"/>
        <v>0</v>
      </c>
      <c r="N94" s="245">
        <f t="shared" si="59"/>
        <v>0</v>
      </c>
      <c r="O94" s="244">
        <f>347203.8/1000</f>
        <v>347.2038</v>
      </c>
      <c r="P94" s="243">
        <f t="shared" si="62"/>
        <v>347.2038</v>
      </c>
      <c r="Q94" s="244">
        <f>347203.8/1000</f>
        <v>347.2038</v>
      </c>
      <c r="R94" s="244"/>
      <c r="S94" s="247">
        <f t="shared" si="40"/>
        <v>0</v>
      </c>
      <c r="T94" s="313">
        <f t="shared" si="41"/>
        <v>0</v>
      </c>
    </row>
    <row r="95" spans="1:20" ht="50" x14ac:dyDescent="0.25">
      <c r="A95" s="312" t="s">
        <v>193</v>
      </c>
      <c r="B95" s="241" t="s">
        <v>194</v>
      </c>
      <c r="C95" s="242">
        <f>3273779.7/1000</f>
        <v>3273.7797</v>
      </c>
      <c r="D95" s="259">
        <f t="shared" si="60"/>
        <v>3273.7797</v>
      </c>
      <c r="E95" s="244">
        <f>3273779.7/1000</f>
        <v>3273.7797</v>
      </c>
      <c r="F95" s="244"/>
      <c r="G95" s="245">
        <f t="shared" si="48"/>
        <v>0</v>
      </c>
      <c r="H95" s="245">
        <f t="shared" si="43"/>
        <v>0</v>
      </c>
      <c r="I95" s="244">
        <f>3894905.1/1000</f>
        <v>3894.9050999999999</v>
      </c>
      <c r="J95" s="243">
        <f t="shared" si="61"/>
        <v>3894.9050999999999</v>
      </c>
      <c r="K95" s="244">
        <f>3894905.1/1000</f>
        <v>3894.9050999999999</v>
      </c>
      <c r="L95" s="244"/>
      <c r="M95" s="245">
        <f t="shared" si="29"/>
        <v>0</v>
      </c>
      <c r="N95" s="245">
        <f t="shared" si="59"/>
        <v>0</v>
      </c>
      <c r="O95" s="244">
        <f>3559852.4/1000</f>
        <v>3559.8523999999998</v>
      </c>
      <c r="P95" s="243">
        <f t="shared" si="62"/>
        <v>3559.8523999999998</v>
      </c>
      <c r="Q95" s="244">
        <f>3559852.4/1000</f>
        <v>3559.8523999999998</v>
      </c>
      <c r="R95" s="244"/>
      <c r="S95" s="247">
        <f t="shared" si="40"/>
        <v>0</v>
      </c>
      <c r="T95" s="313">
        <f t="shared" si="41"/>
        <v>0</v>
      </c>
    </row>
    <row r="96" spans="1:20" ht="37.5" x14ac:dyDescent="0.25">
      <c r="A96" s="312" t="s">
        <v>195</v>
      </c>
      <c r="B96" s="241" t="s">
        <v>196</v>
      </c>
      <c r="C96" s="242">
        <f>618060.1/1000</f>
        <v>618.06009999999992</v>
      </c>
      <c r="D96" s="259">
        <f t="shared" si="60"/>
        <v>618.06009999999992</v>
      </c>
      <c r="E96" s="244">
        <f>618060.1/1000</f>
        <v>618.06009999999992</v>
      </c>
      <c r="F96" s="244"/>
      <c r="G96" s="245">
        <f t="shared" si="48"/>
        <v>0</v>
      </c>
      <c r="H96" s="245">
        <f t="shared" si="43"/>
        <v>0</v>
      </c>
      <c r="I96" s="244">
        <f>635131.9/1000</f>
        <v>635.13189999999997</v>
      </c>
      <c r="J96" s="243">
        <f t="shared" si="61"/>
        <v>636.76330000000007</v>
      </c>
      <c r="K96" s="244">
        <f>636763.3/1000</f>
        <v>636.76330000000007</v>
      </c>
      <c r="L96" s="244"/>
      <c r="M96" s="245">
        <f t="shared" si="29"/>
        <v>-1.6314000000000988</v>
      </c>
      <c r="N96" s="245">
        <f t="shared" si="59"/>
        <v>-0.2562019513373599</v>
      </c>
      <c r="O96" s="244">
        <f>644172.9/1000</f>
        <v>644.17290000000003</v>
      </c>
      <c r="P96" s="243">
        <f t="shared" si="62"/>
        <v>644.00469999999996</v>
      </c>
      <c r="Q96" s="244">
        <f>644004.7/1000</f>
        <v>644.00469999999996</v>
      </c>
      <c r="R96" s="244"/>
      <c r="S96" s="247">
        <f t="shared" si="40"/>
        <v>0.16820000000006985</v>
      </c>
      <c r="T96" s="313">
        <f t="shared" si="41"/>
        <v>2.6117821810942132E-2</v>
      </c>
    </row>
    <row r="97" spans="1:20" ht="25" x14ac:dyDescent="0.25">
      <c r="A97" s="312" t="s">
        <v>197</v>
      </c>
      <c r="B97" s="241" t="s">
        <v>198</v>
      </c>
      <c r="C97" s="242">
        <f>153272.3/1000</f>
        <v>153.2723</v>
      </c>
      <c r="D97" s="259">
        <f t="shared" si="60"/>
        <v>153.2723</v>
      </c>
      <c r="E97" s="244">
        <f>153272.3/1000</f>
        <v>153.2723</v>
      </c>
      <c r="F97" s="244"/>
      <c r="G97" s="245">
        <f t="shared" si="48"/>
        <v>0</v>
      </c>
      <c r="H97" s="245">
        <f t="shared" si="43"/>
        <v>0</v>
      </c>
      <c r="I97" s="244">
        <f>122783.1/1000</f>
        <v>122.7831</v>
      </c>
      <c r="J97" s="243">
        <f t="shared" si="61"/>
        <v>122.7831</v>
      </c>
      <c r="K97" s="244">
        <f>122783.1/1000</f>
        <v>122.7831</v>
      </c>
      <c r="L97" s="244"/>
      <c r="M97" s="245">
        <f t="shared" si="29"/>
        <v>0</v>
      </c>
      <c r="N97" s="245">
        <f t="shared" si="59"/>
        <v>0</v>
      </c>
      <c r="O97" s="244">
        <f>127293.8/1000</f>
        <v>127.2938</v>
      </c>
      <c r="P97" s="243">
        <f t="shared" si="62"/>
        <v>127.2938</v>
      </c>
      <c r="Q97" s="244">
        <f>127293.8/1000</f>
        <v>127.2938</v>
      </c>
      <c r="R97" s="244"/>
      <c r="S97" s="247">
        <f t="shared" si="40"/>
        <v>0</v>
      </c>
      <c r="T97" s="313">
        <f t="shared" si="41"/>
        <v>0</v>
      </c>
    </row>
    <row r="98" spans="1:20" ht="37.5" x14ac:dyDescent="0.25">
      <c r="A98" s="314" t="s">
        <v>519</v>
      </c>
      <c r="B98" s="250" t="s">
        <v>520</v>
      </c>
      <c r="C98" s="278">
        <f>3022533.4/1000</f>
        <v>3022.5333999999998</v>
      </c>
      <c r="D98" s="275">
        <f t="shared" si="60"/>
        <v>3022.5333999999998</v>
      </c>
      <c r="E98" s="254">
        <f>2454533.4/1000</f>
        <v>2454.5333999999998</v>
      </c>
      <c r="F98" s="254">
        <f>568000/1000</f>
        <v>568</v>
      </c>
      <c r="G98" s="255">
        <f t="shared" si="48"/>
        <v>0</v>
      </c>
      <c r="H98" s="255">
        <f t="shared" si="43"/>
        <v>0</v>
      </c>
      <c r="I98" s="254">
        <f>4487542.1/1000</f>
        <v>4487.5420999999997</v>
      </c>
      <c r="J98" s="279">
        <f t="shared" si="61"/>
        <v>4487.5421000000006</v>
      </c>
      <c r="K98" s="254">
        <f>3919542.1/1000</f>
        <v>3919.5421000000001</v>
      </c>
      <c r="L98" s="254">
        <f>568000/1000</f>
        <v>568</v>
      </c>
      <c r="M98" s="255">
        <f t="shared" si="29"/>
        <v>0</v>
      </c>
      <c r="N98" s="255">
        <f t="shared" si="59"/>
        <v>0</v>
      </c>
      <c r="O98" s="254">
        <f>4269349.4/1000</f>
        <v>4269.3494000000001</v>
      </c>
      <c r="P98" s="279">
        <f t="shared" si="62"/>
        <v>4837.3494000000001</v>
      </c>
      <c r="Q98" s="254">
        <f>4269349.4/1000</f>
        <v>4269.3494000000001</v>
      </c>
      <c r="R98" s="254">
        <f>568000/1000</f>
        <v>568</v>
      </c>
      <c r="S98" s="291">
        <f t="shared" si="40"/>
        <v>-568</v>
      </c>
      <c r="T98" s="330">
        <f t="shared" si="41"/>
        <v>-11.74196761557063</v>
      </c>
    </row>
    <row r="99" spans="1:20" s="72" customFormat="1" ht="39" x14ac:dyDescent="0.3">
      <c r="A99" s="317" t="s">
        <v>521</v>
      </c>
      <c r="B99" s="263" t="s">
        <v>199</v>
      </c>
      <c r="C99" s="239">
        <f>1560299.3/1000</f>
        <v>1560.2993000000001</v>
      </c>
      <c r="D99" s="239">
        <f>E99+F99</f>
        <v>1560.2993000000001</v>
      </c>
      <c r="E99" s="239">
        <f>222103.8/1000</f>
        <v>222.10379999999998</v>
      </c>
      <c r="F99" s="239">
        <f>1338195.5/1000</f>
        <v>1338.1955</v>
      </c>
      <c r="G99" s="277">
        <f t="shared" si="48"/>
        <v>0</v>
      </c>
      <c r="H99" s="277">
        <f t="shared" si="43"/>
        <v>0</v>
      </c>
      <c r="I99" s="239">
        <f>54211.1/1000</f>
        <v>54.211100000000002</v>
      </c>
      <c r="J99" s="239">
        <f>K99+L99</f>
        <v>54.211100000000002</v>
      </c>
      <c r="K99" s="239">
        <f>20605/1000</f>
        <v>20.605</v>
      </c>
      <c r="L99" s="239">
        <f>33606.1/1000</f>
        <v>33.606099999999998</v>
      </c>
      <c r="M99" s="265">
        <f>I99-J99</f>
        <v>0</v>
      </c>
      <c r="N99" s="265">
        <f t="shared" si="59"/>
        <v>0</v>
      </c>
      <c r="O99" s="264">
        <f>17244.3/1000</f>
        <v>17.244299999999999</v>
      </c>
      <c r="P99" s="264">
        <f>Q99+R99</f>
        <v>17.244299999999999</v>
      </c>
      <c r="Q99" s="264">
        <f>17244.3/1000</f>
        <v>17.244299999999999</v>
      </c>
      <c r="R99" s="264"/>
      <c r="S99" s="266">
        <f t="shared" si="40"/>
        <v>0</v>
      </c>
      <c r="T99" s="318">
        <f t="shared" si="41"/>
        <v>0</v>
      </c>
    </row>
    <row r="100" spans="1:20" s="72" customFormat="1" ht="52" x14ac:dyDescent="0.3">
      <c r="A100" s="317" t="s">
        <v>522</v>
      </c>
      <c r="B100" s="263" t="s">
        <v>200</v>
      </c>
      <c r="C100" s="239">
        <f>113304.1/1000</f>
        <v>113.30410000000001</v>
      </c>
      <c r="D100" s="239">
        <v>113.3</v>
      </c>
      <c r="E100" s="239">
        <f>113304.1/1000</f>
        <v>113.30410000000001</v>
      </c>
      <c r="F100" s="239"/>
      <c r="G100" s="277">
        <f t="shared" si="48"/>
        <v>4.1000000000082082E-3</v>
      </c>
      <c r="H100" s="277">
        <f t="shared" si="43"/>
        <v>3.6187113856982478E-3</v>
      </c>
      <c r="I100" s="239">
        <f>84132.3/1000</f>
        <v>84.132300000000001</v>
      </c>
      <c r="J100" s="239">
        <f>K100+L100</f>
        <v>88.532300000000006</v>
      </c>
      <c r="K100" s="239">
        <f>88532.3/1000</f>
        <v>88.532300000000006</v>
      </c>
      <c r="L100" s="239"/>
      <c r="M100" s="265">
        <f>I100-J100</f>
        <v>-4.4000000000000057</v>
      </c>
      <c r="N100" s="265">
        <f t="shared" si="59"/>
        <v>-4.9699375256262499</v>
      </c>
      <c r="O100" s="264">
        <f>86948.1/1000</f>
        <v>86.948100000000011</v>
      </c>
      <c r="P100" s="264">
        <f>Q100+R100</f>
        <v>91.348100000000002</v>
      </c>
      <c r="Q100" s="264">
        <f>91348.1/1000</f>
        <v>91.348100000000002</v>
      </c>
      <c r="R100" s="264"/>
      <c r="S100" s="266">
        <f t="shared" si="40"/>
        <v>-4.3999999999999915</v>
      </c>
      <c r="T100" s="318">
        <f t="shared" si="41"/>
        <v>-4.816739483360891</v>
      </c>
    </row>
    <row r="101" spans="1:20" s="72" customFormat="1" ht="52" x14ac:dyDescent="0.3">
      <c r="A101" s="310" t="s">
        <v>440</v>
      </c>
      <c r="B101" s="236" t="s">
        <v>201</v>
      </c>
      <c r="C101" s="237">
        <f>C102+C103+C104+C105</f>
        <v>9569.3956999999991</v>
      </c>
      <c r="D101" s="237">
        <f t="shared" si="42"/>
        <v>9569.3957000000009</v>
      </c>
      <c r="E101" s="237">
        <f>E102+E103+E104+E105</f>
        <v>9361.9914000000008</v>
      </c>
      <c r="F101" s="237">
        <f>F102+F103+F104+F105</f>
        <v>207.40429999999998</v>
      </c>
      <c r="G101" s="238">
        <f t="shared" si="48"/>
        <v>0</v>
      </c>
      <c r="H101" s="238">
        <f t="shared" si="43"/>
        <v>0</v>
      </c>
      <c r="I101" s="237">
        <f t="shared" ref="I101:R101" si="63">I102+I103+I104+I105</f>
        <v>10848.480300000001</v>
      </c>
      <c r="J101" s="237">
        <f t="shared" si="63"/>
        <v>10848.480300000001</v>
      </c>
      <c r="K101" s="237">
        <f t="shared" si="63"/>
        <v>10675.952200000002</v>
      </c>
      <c r="L101" s="237">
        <f t="shared" si="63"/>
        <v>172.52809999999999</v>
      </c>
      <c r="M101" s="238">
        <f>I101-J101</f>
        <v>0</v>
      </c>
      <c r="N101" s="238">
        <f t="shared" si="59"/>
        <v>0</v>
      </c>
      <c r="O101" s="237">
        <f t="shared" si="63"/>
        <v>9972.2356000000018</v>
      </c>
      <c r="P101" s="237">
        <f t="shared" si="63"/>
        <v>9972.2355000000007</v>
      </c>
      <c r="Q101" s="237">
        <f t="shared" si="63"/>
        <v>9790.5641000000014</v>
      </c>
      <c r="R101" s="237">
        <f t="shared" si="63"/>
        <v>181.67140000000001</v>
      </c>
      <c r="S101" s="240">
        <f t="shared" si="40"/>
        <v>1.0000000111176632E-4</v>
      </c>
      <c r="T101" s="311">
        <f t="shared" si="41"/>
        <v>1.0027841881310451E-6</v>
      </c>
    </row>
    <row r="102" spans="1:20" ht="50" x14ac:dyDescent="0.25">
      <c r="A102" s="312" t="s">
        <v>202</v>
      </c>
      <c r="B102" s="241" t="s">
        <v>203</v>
      </c>
      <c r="C102" s="242">
        <f>392537.8/1000</f>
        <v>392.5378</v>
      </c>
      <c r="D102" s="259">
        <f>E102+F102</f>
        <v>392.5378</v>
      </c>
      <c r="E102" s="244">
        <f>350279.5/1000</f>
        <v>350.27949999999998</v>
      </c>
      <c r="F102" s="244">
        <f>42258.3/1000</f>
        <v>42.258300000000006</v>
      </c>
      <c r="G102" s="245">
        <f t="shared" si="48"/>
        <v>0</v>
      </c>
      <c r="H102" s="245">
        <f t="shared" si="43"/>
        <v>0</v>
      </c>
      <c r="I102" s="244">
        <f>401632.1/1000</f>
        <v>401.63209999999998</v>
      </c>
      <c r="J102" s="243">
        <f>K102+L102</f>
        <v>401.63210000000004</v>
      </c>
      <c r="K102" s="244">
        <f>359062/1000</f>
        <v>359.06200000000001</v>
      </c>
      <c r="L102" s="244">
        <f>42570.1/1000</f>
        <v>42.570099999999996</v>
      </c>
      <c r="M102" s="245">
        <f t="shared" si="29"/>
        <v>0</v>
      </c>
      <c r="N102" s="245">
        <f t="shared" si="59"/>
        <v>0</v>
      </c>
      <c r="O102" s="244">
        <f>417617/1000</f>
        <v>417.61700000000002</v>
      </c>
      <c r="P102" s="243">
        <f>Q102+R102</f>
        <v>417.61689999999999</v>
      </c>
      <c r="Q102" s="244">
        <f>369404.5/1000</f>
        <v>369.40449999999998</v>
      </c>
      <c r="R102" s="244">
        <f>48212.4/1000</f>
        <v>48.212400000000002</v>
      </c>
      <c r="S102" s="247">
        <f t="shared" si="40"/>
        <v>1.0000000003174137E-4</v>
      </c>
      <c r="T102" s="313">
        <f t="shared" si="41"/>
        <v>2.3945391120605564E-5</v>
      </c>
    </row>
    <row r="103" spans="1:20" ht="25" x14ac:dyDescent="0.25">
      <c r="A103" s="312" t="s">
        <v>204</v>
      </c>
      <c r="B103" s="241" t="s">
        <v>205</v>
      </c>
      <c r="C103" s="242">
        <f>3240064.1/1000</f>
        <v>3240.0641000000001</v>
      </c>
      <c r="D103" s="259">
        <f t="shared" ref="D103:D105" si="64">E103+F103</f>
        <v>3240.0641000000001</v>
      </c>
      <c r="E103" s="244">
        <f>3240064.1/1000</f>
        <v>3240.0641000000001</v>
      </c>
      <c r="F103" s="244"/>
      <c r="G103" s="245">
        <f t="shared" si="48"/>
        <v>0</v>
      </c>
      <c r="H103" s="245">
        <f t="shared" si="43"/>
        <v>0</v>
      </c>
      <c r="I103" s="244">
        <f>4233993.9/1000</f>
        <v>4233.9939000000004</v>
      </c>
      <c r="J103" s="243">
        <f t="shared" ref="J103:J105" si="65">K103+L103</f>
        <v>4233.9939000000004</v>
      </c>
      <c r="K103" s="244">
        <f>4233993.9/1000</f>
        <v>4233.9939000000004</v>
      </c>
      <c r="L103" s="244"/>
      <c r="M103" s="245">
        <f t="shared" si="29"/>
        <v>0</v>
      </c>
      <c r="N103" s="245">
        <f t="shared" si="59"/>
        <v>0</v>
      </c>
      <c r="O103" s="244">
        <f>1873794.8/1000</f>
        <v>1873.7948000000001</v>
      </c>
      <c r="P103" s="243">
        <f t="shared" ref="P103:P105" si="66">Q103+R103</f>
        <v>1873.7948000000001</v>
      </c>
      <c r="Q103" s="244">
        <f>1873794.8/1000</f>
        <v>1873.7948000000001</v>
      </c>
      <c r="R103" s="244"/>
      <c r="S103" s="247">
        <f t="shared" si="40"/>
        <v>0</v>
      </c>
      <c r="T103" s="313">
        <f t="shared" si="41"/>
        <v>0</v>
      </c>
    </row>
    <row r="104" spans="1:20" ht="37.5" x14ac:dyDescent="0.25">
      <c r="A104" s="312" t="s">
        <v>206</v>
      </c>
      <c r="B104" s="241" t="s">
        <v>207</v>
      </c>
      <c r="C104" s="242">
        <f>5906873.8/1000</f>
        <v>5906.8737999999994</v>
      </c>
      <c r="D104" s="259">
        <f t="shared" si="64"/>
        <v>5906.8737999999994</v>
      </c>
      <c r="E104" s="244">
        <f>5741727.8/1000</f>
        <v>5741.7277999999997</v>
      </c>
      <c r="F104" s="244">
        <f>165146/1000</f>
        <v>165.14599999999999</v>
      </c>
      <c r="G104" s="245">
        <f t="shared" si="48"/>
        <v>0</v>
      </c>
      <c r="H104" s="245">
        <f t="shared" si="43"/>
        <v>0</v>
      </c>
      <c r="I104" s="244">
        <f>6181944.1/1000</f>
        <v>6181.9440999999997</v>
      </c>
      <c r="J104" s="243">
        <f t="shared" si="65"/>
        <v>6181.9440999999997</v>
      </c>
      <c r="K104" s="244">
        <f>6051986.1/1000</f>
        <v>6051.9861000000001</v>
      </c>
      <c r="L104" s="244">
        <f>129958/1000</f>
        <v>129.958</v>
      </c>
      <c r="M104" s="245">
        <f t="shared" si="29"/>
        <v>0</v>
      </c>
      <c r="N104" s="245">
        <f t="shared" si="59"/>
        <v>0</v>
      </c>
      <c r="O104" s="244">
        <f>7648825.2/1000</f>
        <v>7648.8252000000002</v>
      </c>
      <c r="P104" s="243">
        <f t="shared" si="66"/>
        <v>7648.8252000000002</v>
      </c>
      <c r="Q104" s="244">
        <f>7515366.2/1000</f>
        <v>7515.3662000000004</v>
      </c>
      <c r="R104" s="244">
        <f>133459/1000</f>
        <v>133.459</v>
      </c>
      <c r="S104" s="247">
        <f t="shared" si="40"/>
        <v>0</v>
      </c>
      <c r="T104" s="313">
        <f t="shared" si="41"/>
        <v>0</v>
      </c>
    </row>
    <row r="105" spans="1:20" ht="37.5" x14ac:dyDescent="0.25">
      <c r="A105" s="314" t="s">
        <v>208</v>
      </c>
      <c r="B105" s="250" t="s">
        <v>209</v>
      </c>
      <c r="C105" s="278">
        <f>29920/1000</f>
        <v>29.92</v>
      </c>
      <c r="D105" s="275">
        <f t="shared" si="64"/>
        <v>29.92</v>
      </c>
      <c r="E105" s="254">
        <f>29920/1000</f>
        <v>29.92</v>
      </c>
      <c r="F105" s="254"/>
      <c r="G105" s="255">
        <f t="shared" si="48"/>
        <v>0</v>
      </c>
      <c r="H105" s="255">
        <f t="shared" si="43"/>
        <v>0</v>
      </c>
      <c r="I105" s="254">
        <f>30910.2/1000</f>
        <v>30.9102</v>
      </c>
      <c r="J105" s="279">
        <f t="shared" si="65"/>
        <v>30.9102</v>
      </c>
      <c r="K105" s="254">
        <f>30910.2/1000</f>
        <v>30.9102</v>
      </c>
      <c r="L105" s="254"/>
      <c r="M105" s="255">
        <f t="shared" si="29"/>
        <v>0</v>
      </c>
      <c r="N105" s="255">
        <f t="shared" si="59"/>
        <v>0</v>
      </c>
      <c r="O105" s="254">
        <f>31998.6/1000</f>
        <v>31.9986</v>
      </c>
      <c r="P105" s="279">
        <f t="shared" si="66"/>
        <v>31.9986</v>
      </c>
      <c r="Q105" s="254">
        <f>31998.6/1000</f>
        <v>31.9986</v>
      </c>
      <c r="R105" s="254"/>
      <c r="S105" s="256">
        <f t="shared" si="40"/>
        <v>0</v>
      </c>
      <c r="T105" s="316">
        <f t="shared" si="41"/>
        <v>0</v>
      </c>
    </row>
    <row r="106" spans="1:20" s="72" customFormat="1" ht="52" x14ac:dyDescent="0.3">
      <c r="A106" s="321" t="s">
        <v>523</v>
      </c>
      <c r="B106" s="280" t="s">
        <v>524</v>
      </c>
      <c r="C106" s="267">
        <f>C107+C108+C109</f>
        <v>685.81099999999992</v>
      </c>
      <c r="D106" s="267">
        <f>E106+F106</f>
        <v>685.81099999999992</v>
      </c>
      <c r="E106" s="267">
        <f>E107+E108+E109</f>
        <v>401.6995</v>
      </c>
      <c r="F106" s="267">
        <f>F107+F108+F109</f>
        <v>284.11149999999998</v>
      </c>
      <c r="G106" s="268">
        <f t="shared" si="48"/>
        <v>0</v>
      </c>
      <c r="H106" s="268">
        <f t="shared" si="43"/>
        <v>0</v>
      </c>
      <c r="I106" s="267">
        <f>I107+I108+I109</f>
        <v>533.85879999999997</v>
      </c>
      <c r="J106" s="267">
        <f>K106+L106</f>
        <v>1059.0711999999999</v>
      </c>
      <c r="K106" s="267">
        <f>K107+K108+K109</f>
        <v>328.07849999999996</v>
      </c>
      <c r="L106" s="267">
        <f>L107+L108+L109</f>
        <v>730.99270000000001</v>
      </c>
      <c r="M106" s="268">
        <f>I106-J106</f>
        <v>-525.21239999999989</v>
      </c>
      <c r="N106" s="268">
        <f t="shared" si="59"/>
        <v>-49.591793261869455</v>
      </c>
      <c r="O106" s="267">
        <f>O107+O108+O109</f>
        <v>369.70309999999995</v>
      </c>
      <c r="P106" s="267">
        <f>Q106+R106</f>
        <v>352.77679999999998</v>
      </c>
      <c r="Q106" s="267">
        <f>Q107+Q108+Q109</f>
        <v>61.948499999999996</v>
      </c>
      <c r="R106" s="267">
        <f>R107+R108+R109</f>
        <v>290.82830000000001</v>
      </c>
      <c r="S106" s="292">
        <f t="shared" si="40"/>
        <v>16.926299999999969</v>
      </c>
      <c r="T106" s="331">
        <f t="shared" si="41"/>
        <v>4.7980195976606126</v>
      </c>
    </row>
    <row r="107" spans="1:20" s="295" customFormat="1" ht="37.5" x14ac:dyDescent="0.3">
      <c r="A107" s="332" t="s">
        <v>525</v>
      </c>
      <c r="B107" s="283" t="s">
        <v>526</v>
      </c>
      <c r="C107" s="293">
        <f>54009.9/1000</f>
        <v>54.009900000000002</v>
      </c>
      <c r="D107" s="259">
        <f>E107+F107</f>
        <v>54.009900000000002</v>
      </c>
      <c r="E107" s="259">
        <f>36983.7/1000</f>
        <v>36.983699999999999</v>
      </c>
      <c r="F107" s="259">
        <f>17026.2/1000</f>
        <v>17.026199999999999</v>
      </c>
      <c r="G107" s="284">
        <f t="shared" si="48"/>
        <v>0</v>
      </c>
      <c r="H107" s="284">
        <f t="shared" si="43"/>
        <v>0</v>
      </c>
      <c r="I107" s="259">
        <f>54572.9/1000</f>
        <v>54.572900000000004</v>
      </c>
      <c r="J107" s="259">
        <f>K107+L107</f>
        <v>54.572499999999991</v>
      </c>
      <c r="K107" s="259">
        <f>35616.7/1000</f>
        <v>35.616699999999994</v>
      </c>
      <c r="L107" s="259">
        <f>18955.8/1000</f>
        <v>18.9558</v>
      </c>
      <c r="M107" s="284">
        <f t="shared" si="29"/>
        <v>4.0000000001327862E-4</v>
      </c>
      <c r="N107" s="284">
        <f t="shared" si="59"/>
        <v>7.3296990244386961E-4</v>
      </c>
      <c r="O107" s="259">
        <f>100197.8/1000</f>
        <v>100.1978</v>
      </c>
      <c r="P107" s="259">
        <f>Q107+R107</f>
        <v>100.19710000000001</v>
      </c>
      <c r="Q107" s="259">
        <f>36690.5/1000</f>
        <v>36.6905</v>
      </c>
      <c r="R107" s="259">
        <f>63506.6/1000</f>
        <v>63.506599999999999</v>
      </c>
      <c r="S107" s="294">
        <f t="shared" si="40"/>
        <v>6.9999999999481588E-4</v>
      </c>
      <c r="T107" s="333">
        <f t="shared" si="41"/>
        <v>6.9862301404555183E-4</v>
      </c>
    </row>
    <row r="108" spans="1:20" s="295" customFormat="1" ht="25" x14ac:dyDescent="0.3">
      <c r="A108" s="332" t="s">
        <v>527</v>
      </c>
      <c r="B108" s="283" t="s">
        <v>528</v>
      </c>
      <c r="C108" s="293">
        <f>1050/1000</f>
        <v>1.05</v>
      </c>
      <c r="D108" s="259">
        <f t="shared" ref="D108:D109" si="67">E108+F108</f>
        <v>1.05</v>
      </c>
      <c r="E108" s="334">
        <f>105/1000</f>
        <v>0.105</v>
      </c>
      <c r="F108" s="259">
        <f>945/1000</f>
        <v>0.94499999999999995</v>
      </c>
      <c r="G108" s="284">
        <f t="shared" si="48"/>
        <v>0</v>
      </c>
      <c r="H108" s="284">
        <f t="shared" si="43"/>
        <v>0</v>
      </c>
      <c r="I108" s="259">
        <f>1050/1000</f>
        <v>1.05</v>
      </c>
      <c r="J108" s="259">
        <f t="shared" ref="J108:J109" si="68">K108+L108</f>
        <v>1.05</v>
      </c>
      <c r="K108" s="334">
        <f>105/1000</f>
        <v>0.105</v>
      </c>
      <c r="L108" s="259">
        <f>945/1000</f>
        <v>0.94499999999999995</v>
      </c>
      <c r="M108" s="284">
        <f t="shared" si="29"/>
        <v>0</v>
      </c>
      <c r="N108" s="284">
        <f t="shared" si="59"/>
        <v>0</v>
      </c>
      <c r="O108" s="259">
        <f>1050/1000</f>
        <v>1.05</v>
      </c>
      <c r="P108" s="259">
        <f t="shared" ref="P108:P109" si="69">Q108+R108</f>
        <v>1.05</v>
      </c>
      <c r="Q108" s="334">
        <f>105/1000</f>
        <v>0.105</v>
      </c>
      <c r="R108" s="259">
        <f>945/1000</f>
        <v>0.94499999999999995</v>
      </c>
      <c r="S108" s="294">
        <f t="shared" si="40"/>
        <v>0</v>
      </c>
      <c r="T108" s="333">
        <f t="shared" si="41"/>
        <v>0</v>
      </c>
    </row>
    <row r="109" spans="1:20" s="295" customFormat="1" ht="25" x14ac:dyDescent="0.3">
      <c r="A109" s="335" t="s">
        <v>529</v>
      </c>
      <c r="B109" s="286" t="s">
        <v>530</v>
      </c>
      <c r="C109" s="296">
        <f>630751.1/1000</f>
        <v>630.75109999999995</v>
      </c>
      <c r="D109" s="259">
        <f t="shared" si="67"/>
        <v>630.75109999999995</v>
      </c>
      <c r="E109" s="275">
        <f>364610.8/1000</f>
        <v>364.61079999999998</v>
      </c>
      <c r="F109" s="275">
        <f>266140.3/1000</f>
        <v>266.14029999999997</v>
      </c>
      <c r="G109" s="284">
        <f t="shared" si="48"/>
        <v>0</v>
      </c>
      <c r="H109" s="284">
        <f t="shared" si="43"/>
        <v>0</v>
      </c>
      <c r="I109" s="275">
        <f>478235.9/1000</f>
        <v>478.23590000000002</v>
      </c>
      <c r="J109" s="259">
        <f t="shared" si="68"/>
        <v>1003.4486999999999</v>
      </c>
      <c r="K109" s="275">
        <f>292356.8/1000</f>
        <v>292.35679999999996</v>
      </c>
      <c r="L109" s="275">
        <f>711091.9/1000</f>
        <v>711.09190000000001</v>
      </c>
      <c r="M109" s="284">
        <f t="shared" si="29"/>
        <v>-525.2127999999999</v>
      </c>
      <c r="N109" s="284">
        <f t="shared" si="59"/>
        <v>-52.340772378298958</v>
      </c>
      <c r="O109" s="275">
        <f>268455.3/1000</f>
        <v>268.45529999999997</v>
      </c>
      <c r="P109" s="259">
        <f t="shared" si="69"/>
        <v>251.52969999999999</v>
      </c>
      <c r="Q109" s="275">
        <f>25153/1000</f>
        <v>25.152999999999999</v>
      </c>
      <c r="R109" s="275">
        <f>226376.7/1000</f>
        <v>226.3767</v>
      </c>
      <c r="S109" s="294">
        <f t="shared" si="40"/>
        <v>16.925599999999974</v>
      </c>
      <c r="T109" s="333">
        <f t="shared" si="41"/>
        <v>6.7290661897978481</v>
      </c>
    </row>
    <row r="110" spans="1:20" s="295" customFormat="1" ht="52" x14ac:dyDescent="0.3">
      <c r="A110" s="336" t="s">
        <v>531</v>
      </c>
      <c r="B110" s="236" t="s">
        <v>532</v>
      </c>
      <c r="C110" s="237">
        <f>C111+C112+C113+C114+C115</f>
        <v>507.43110000000001</v>
      </c>
      <c r="D110" s="237">
        <f>SUM(D111:D115)</f>
        <v>507.43110000000001</v>
      </c>
      <c r="E110" s="237">
        <f>E111+E112+E113+E114+E115</f>
        <v>408.22799999999995</v>
      </c>
      <c r="F110" s="237">
        <f>F111+F112+F113+F114+F115</f>
        <v>99.203100000000006</v>
      </c>
      <c r="G110" s="238">
        <f>C110-D110</f>
        <v>0</v>
      </c>
      <c r="H110" s="238">
        <f>C110/D110*100-100</f>
        <v>0</v>
      </c>
      <c r="I110" s="237">
        <f>I111+I112+I113+I114+I115</f>
        <v>421.39</v>
      </c>
      <c r="J110" s="237">
        <f>SUM(J111:J115)</f>
        <v>436.39</v>
      </c>
      <c r="K110" s="237">
        <f>K111+K112+K113+K114+K115</f>
        <v>317.64299999999997</v>
      </c>
      <c r="L110" s="237">
        <f>L111+L112+L113+L114+L115</f>
        <v>118.747</v>
      </c>
      <c r="M110" s="238">
        <f>I110-J110</f>
        <v>-15</v>
      </c>
      <c r="N110" s="238">
        <f>I110/J110/100-100</f>
        <v>-99.990343729233032</v>
      </c>
      <c r="O110" s="237">
        <f>O111+O112+O113+O114+O115</f>
        <v>492.15989999999999</v>
      </c>
      <c r="P110" s="237">
        <f>P111+P112+P113+P114+P115</f>
        <v>492.15989999999999</v>
      </c>
      <c r="Q110" s="237">
        <f>Q111+Q112+Q113+Q114+Q115</f>
        <v>310.56779999999998</v>
      </c>
      <c r="R110" s="237">
        <f>R111+R112+R113+R114+R115</f>
        <v>181.59209999999999</v>
      </c>
      <c r="S110" s="237">
        <f>S111+S112+S113+S114+S115</f>
        <v>0</v>
      </c>
      <c r="T110" s="311">
        <f>O110/P110*100-100</f>
        <v>0</v>
      </c>
    </row>
    <row r="111" spans="1:20" s="295" customFormat="1" ht="37.5" x14ac:dyDescent="0.3">
      <c r="A111" s="332" t="s">
        <v>533</v>
      </c>
      <c r="B111" s="297" t="s">
        <v>534</v>
      </c>
      <c r="C111" s="259">
        <f>112568.8/1000</f>
        <v>112.5688</v>
      </c>
      <c r="D111" s="259">
        <f>E111+F111</f>
        <v>112.5688</v>
      </c>
      <c r="E111" s="259">
        <f>112568.8/1000</f>
        <v>112.5688</v>
      </c>
      <c r="F111" s="259"/>
      <c r="G111" s="284">
        <f>C111-D111</f>
        <v>0</v>
      </c>
      <c r="H111" s="284">
        <f>C111/D111*100-100</f>
        <v>0</v>
      </c>
      <c r="I111" s="259">
        <f>74920.9/1000</f>
        <v>74.920899999999989</v>
      </c>
      <c r="J111" s="259">
        <f>K111+L111</f>
        <v>74.921000000000006</v>
      </c>
      <c r="K111" s="259">
        <f>70421/1000</f>
        <v>70.421000000000006</v>
      </c>
      <c r="L111" s="259">
        <f>4500/1000</f>
        <v>4.5</v>
      </c>
      <c r="M111" s="284">
        <f>I111-J111</f>
        <v>-1.0000000001753051E-4</v>
      </c>
      <c r="N111" s="284">
        <f>I111/J111*100-100</f>
        <v>-1.334739258851414E-4</v>
      </c>
      <c r="O111" s="259">
        <f>82613.6/1000</f>
        <v>82.613600000000005</v>
      </c>
      <c r="P111" s="259">
        <f>Q111+R111</f>
        <v>82.613600000000005</v>
      </c>
      <c r="Q111" s="259">
        <f>70421/1000</f>
        <v>70.421000000000006</v>
      </c>
      <c r="R111" s="259">
        <f>12192.6/1000</f>
        <v>12.192600000000001</v>
      </c>
      <c r="S111" s="285">
        <f>O111-P111</f>
        <v>0</v>
      </c>
      <c r="T111" s="324">
        <f>O111/P111*100-100</f>
        <v>0</v>
      </c>
    </row>
    <row r="112" spans="1:20" s="295" customFormat="1" ht="37.5" x14ac:dyDescent="0.3">
      <c r="A112" s="332" t="s">
        <v>169</v>
      </c>
      <c r="B112" s="297" t="s">
        <v>535</v>
      </c>
      <c r="C112" s="259">
        <f>173989.4/1000</f>
        <v>173.98939999999999</v>
      </c>
      <c r="D112" s="259">
        <f t="shared" ref="D112:D120" si="70">E112+F112</f>
        <v>173.98940000000002</v>
      </c>
      <c r="E112" s="259">
        <f>94264.3/1000</f>
        <v>94.264300000000006</v>
      </c>
      <c r="F112" s="259">
        <f>79725.1/1000</f>
        <v>79.725100000000012</v>
      </c>
      <c r="G112" s="284">
        <f t="shared" ref="G112:G115" si="71">C112-D112</f>
        <v>0</v>
      </c>
      <c r="H112" s="284">
        <f t="shared" ref="H112:H115" si="72">C112/D112*100-100</f>
        <v>0</v>
      </c>
      <c r="I112" s="259">
        <f>145880.1/1000</f>
        <v>145.8801</v>
      </c>
      <c r="J112" s="259">
        <f t="shared" ref="J112:J120" si="73">K112+L112</f>
        <v>160.88</v>
      </c>
      <c r="K112" s="259">
        <f>46633/1000</f>
        <v>46.633000000000003</v>
      </c>
      <c r="L112" s="259">
        <f>114247/1000</f>
        <v>114.247</v>
      </c>
      <c r="M112" s="284">
        <f t="shared" ref="M112:M115" si="74">I112-J112</f>
        <v>-14.999899999999997</v>
      </c>
      <c r="N112" s="284">
        <f t="shared" ref="N112:N115" si="75">I112/J112*100-100</f>
        <v>-9.3236573843858821</v>
      </c>
      <c r="O112" s="259">
        <f>202158/1000</f>
        <v>202.15799999999999</v>
      </c>
      <c r="P112" s="259">
        <f t="shared" ref="P112:P120" si="76">Q112+R112</f>
        <v>202.15799999999999</v>
      </c>
      <c r="Q112" s="259">
        <f>32758.5/1000</f>
        <v>32.758499999999998</v>
      </c>
      <c r="R112" s="259">
        <f>169399.5/1000</f>
        <v>169.39949999999999</v>
      </c>
      <c r="S112" s="285">
        <f t="shared" ref="S112:S115" si="77">O112-P112</f>
        <v>0</v>
      </c>
      <c r="T112" s="324">
        <f t="shared" ref="T112:T115" si="78">O112/P112*100-100</f>
        <v>0</v>
      </c>
    </row>
    <row r="113" spans="1:20" s="295" customFormat="1" ht="37.5" x14ac:dyDescent="0.3">
      <c r="A113" s="332" t="s">
        <v>536</v>
      </c>
      <c r="B113" s="297" t="s">
        <v>537</v>
      </c>
      <c r="C113" s="259">
        <f>93392/1000</f>
        <v>93.391999999999996</v>
      </c>
      <c r="D113" s="259">
        <f t="shared" si="70"/>
        <v>93.391999999999996</v>
      </c>
      <c r="E113" s="259">
        <f>73914/1000</f>
        <v>73.914000000000001</v>
      </c>
      <c r="F113" s="259">
        <f>19478/1000</f>
        <v>19.478000000000002</v>
      </c>
      <c r="G113" s="284">
        <f t="shared" si="71"/>
        <v>0</v>
      </c>
      <c r="H113" s="284">
        <f t="shared" si="72"/>
        <v>0</v>
      </c>
      <c r="I113" s="259">
        <f>75168.2/1000</f>
        <v>75.168199999999999</v>
      </c>
      <c r="J113" s="259">
        <f t="shared" si="73"/>
        <v>75.168199999999999</v>
      </c>
      <c r="K113" s="259">
        <f>75168.2/1000</f>
        <v>75.168199999999999</v>
      </c>
      <c r="L113" s="259"/>
      <c r="M113" s="284">
        <f t="shared" si="74"/>
        <v>0</v>
      </c>
      <c r="N113" s="284">
        <f t="shared" si="75"/>
        <v>0</v>
      </c>
      <c r="O113" s="259">
        <f>77185.2/1000</f>
        <v>77.185199999999995</v>
      </c>
      <c r="P113" s="259">
        <f t="shared" si="76"/>
        <v>77.185199999999995</v>
      </c>
      <c r="Q113" s="259">
        <f>77185.2/1000</f>
        <v>77.185199999999995</v>
      </c>
      <c r="R113" s="259"/>
      <c r="S113" s="285">
        <f t="shared" si="77"/>
        <v>0</v>
      </c>
      <c r="T113" s="324">
        <f t="shared" si="78"/>
        <v>0</v>
      </c>
    </row>
    <row r="114" spans="1:20" s="295" customFormat="1" ht="25" x14ac:dyDescent="0.3">
      <c r="A114" s="332" t="s">
        <v>170</v>
      </c>
      <c r="B114" s="297" t="s">
        <v>538</v>
      </c>
      <c r="C114" s="259">
        <f>69035.7/1000</f>
        <v>69.035699999999991</v>
      </c>
      <c r="D114" s="259">
        <f t="shared" si="70"/>
        <v>69.035699999999991</v>
      </c>
      <c r="E114" s="259">
        <f>69035.7/1000</f>
        <v>69.035699999999991</v>
      </c>
      <c r="F114" s="259"/>
      <c r="G114" s="284">
        <f t="shared" si="71"/>
        <v>0</v>
      </c>
      <c r="H114" s="284">
        <f t="shared" si="72"/>
        <v>0</v>
      </c>
      <c r="I114" s="259">
        <f>66026.1/1000</f>
        <v>66.0261</v>
      </c>
      <c r="J114" s="259">
        <f t="shared" si="73"/>
        <v>66.0261</v>
      </c>
      <c r="K114" s="259">
        <f>66026.1/1000</f>
        <v>66.0261</v>
      </c>
      <c r="L114" s="259"/>
      <c r="M114" s="284">
        <f t="shared" si="74"/>
        <v>0</v>
      </c>
      <c r="N114" s="284">
        <f t="shared" si="75"/>
        <v>0</v>
      </c>
      <c r="O114" s="259">
        <f>68556.3/1000</f>
        <v>68.556300000000007</v>
      </c>
      <c r="P114" s="259">
        <f t="shared" si="76"/>
        <v>68.556300000000007</v>
      </c>
      <c r="Q114" s="259">
        <f>68556.3/1000</f>
        <v>68.556300000000007</v>
      </c>
      <c r="R114" s="259"/>
      <c r="S114" s="285">
        <f t="shared" si="77"/>
        <v>0</v>
      </c>
      <c r="T114" s="324">
        <f t="shared" si="78"/>
        <v>0</v>
      </c>
    </row>
    <row r="115" spans="1:20" s="295" customFormat="1" ht="38.15" customHeight="1" x14ac:dyDescent="0.3">
      <c r="A115" s="335" t="s">
        <v>171</v>
      </c>
      <c r="B115" s="298" t="s">
        <v>539</v>
      </c>
      <c r="C115" s="275">
        <f>58445.2/1000</f>
        <v>58.4452</v>
      </c>
      <c r="D115" s="275">
        <f t="shared" si="70"/>
        <v>58.4452</v>
      </c>
      <c r="E115" s="275">
        <f>58445.2/1000</f>
        <v>58.4452</v>
      </c>
      <c r="F115" s="275"/>
      <c r="G115" s="356">
        <f t="shared" si="71"/>
        <v>0</v>
      </c>
      <c r="H115" s="356">
        <f t="shared" si="72"/>
        <v>0</v>
      </c>
      <c r="I115" s="275">
        <f>59394.7/1000</f>
        <v>59.3947</v>
      </c>
      <c r="J115" s="275">
        <f t="shared" si="73"/>
        <v>59.3947</v>
      </c>
      <c r="K115" s="275">
        <f>59394.7/1000</f>
        <v>59.3947</v>
      </c>
      <c r="L115" s="275"/>
      <c r="M115" s="284">
        <f t="shared" si="74"/>
        <v>0</v>
      </c>
      <c r="N115" s="284">
        <f t="shared" si="75"/>
        <v>0</v>
      </c>
      <c r="O115" s="275">
        <f>61646.8/1000</f>
        <v>61.646800000000006</v>
      </c>
      <c r="P115" s="259">
        <f t="shared" si="76"/>
        <v>61.646800000000006</v>
      </c>
      <c r="Q115" s="275">
        <f>61646.8/1000</f>
        <v>61.646800000000006</v>
      </c>
      <c r="R115" s="275"/>
      <c r="S115" s="285">
        <f t="shared" si="77"/>
        <v>0</v>
      </c>
      <c r="T115" s="324">
        <f t="shared" si="78"/>
        <v>0</v>
      </c>
    </row>
    <row r="116" spans="1:20" s="295" customFormat="1" ht="39" x14ac:dyDescent="0.3">
      <c r="A116" s="337" t="s">
        <v>540</v>
      </c>
      <c r="B116" s="299" t="s">
        <v>541</v>
      </c>
      <c r="C116" s="300">
        <f>C117+C118+C119+C120</f>
        <v>695.56649999999991</v>
      </c>
      <c r="D116" s="267">
        <f>E116+F116</f>
        <v>695.56649999999991</v>
      </c>
      <c r="E116" s="354">
        <f>E117+E118+E119+E120</f>
        <v>683.14969999999994</v>
      </c>
      <c r="F116" s="354">
        <f>F117+F118+F119+F120</f>
        <v>12.416799999999999</v>
      </c>
      <c r="G116" s="355">
        <f>C116-D116</f>
        <v>0</v>
      </c>
      <c r="H116" s="355">
        <f>C116/D116*100-100</f>
        <v>0</v>
      </c>
      <c r="I116" s="354">
        <f>I117+I118+I119+I120</f>
        <v>453.50380000000001</v>
      </c>
      <c r="J116" s="267">
        <f t="shared" si="73"/>
        <v>453.50380000000001</v>
      </c>
      <c r="K116" s="300">
        <f>K117+K118+K119+K120</f>
        <v>453.50380000000001</v>
      </c>
      <c r="L116" s="300">
        <f>L117+L118+L119+L120</f>
        <v>0</v>
      </c>
      <c r="M116" s="302">
        <f>I116-J116</f>
        <v>0</v>
      </c>
      <c r="N116" s="302">
        <f>I116/J116*100-100</f>
        <v>0</v>
      </c>
      <c r="O116" s="300">
        <f>O117+O118+O119+O120</f>
        <v>468.73339999999996</v>
      </c>
      <c r="P116" s="301">
        <f t="shared" si="76"/>
        <v>468.73339999999996</v>
      </c>
      <c r="Q116" s="300">
        <f>Q117+Q118+Q119+Q120</f>
        <v>468.73339999999996</v>
      </c>
      <c r="R116" s="300">
        <f>R117+R118+R119+R120</f>
        <v>0</v>
      </c>
      <c r="S116" s="300">
        <f>S117+S118+S119+S120</f>
        <v>0</v>
      </c>
      <c r="T116" s="338">
        <f>O116/P116*100-100</f>
        <v>0</v>
      </c>
    </row>
    <row r="117" spans="1:20" s="295" customFormat="1" ht="25" x14ac:dyDescent="0.3">
      <c r="A117" s="325" t="s">
        <v>542</v>
      </c>
      <c r="B117" s="303" t="s">
        <v>543</v>
      </c>
      <c r="C117" s="304">
        <f>4924.7/1000</f>
        <v>4.9246999999999996</v>
      </c>
      <c r="D117" s="259">
        <f t="shared" si="70"/>
        <v>4.9246000000000008</v>
      </c>
      <c r="E117" s="304">
        <f>4924.6/1000</f>
        <v>4.9246000000000008</v>
      </c>
      <c r="F117" s="304"/>
      <c r="G117" s="305">
        <f>C117-D117</f>
        <v>9.9999999998878764E-5</v>
      </c>
      <c r="H117" s="305">
        <f>C117/D117*100-100</f>
        <v>2.0306217763703671E-3</v>
      </c>
      <c r="I117" s="304">
        <f>4642.8/1000</f>
        <v>4.6428000000000003</v>
      </c>
      <c r="J117" s="259">
        <f t="shared" si="73"/>
        <v>4.6428000000000003</v>
      </c>
      <c r="K117" s="304">
        <f>4642.8/1000</f>
        <v>4.6428000000000003</v>
      </c>
      <c r="L117" s="304"/>
      <c r="M117" s="305">
        <f>I117-J117</f>
        <v>0</v>
      </c>
      <c r="N117" s="305">
        <f>I117/J117*100-100</f>
        <v>0</v>
      </c>
      <c r="O117" s="304">
        <f>4786.3/1000</f>
        <v>4.7862999999999998</v>
      </c>
      <c r="P117" s="259">
        <f t="shared" si="76"/>
        <v>4.7862999999999998</v>
      </c>
      <c r="Q117" s="304">
        <f>4786.3/1000</f>
        <v>4.7862999999999998</v>
      </c>
      <c r="R117" s="304"/>
      <c r="S117" s="306">
        <f>O117-P117</f>
        <v>0</v>
      </c>
      <c r="T117" s="339">
        <f>O117/P117*100-100</f>
        <v>0</v>
      </c>
    </row>
    <row r="118" spans="1:20" s="295" customFormat="1" ht="37.5" x14ac:dyDescent="0.3">
      <c r="A118" s="325" t="s">
        <v>544</v>
      </c>
      <c r="B118" s="303" t="s">
        <v>545</v>
      </c>
      <c r="C118" s="304">
        <f>354927.1/1000</f>
        <v>354.9271</v>
      </c>
      <c r="D118" s="259">
        <f t="shared" si="70"/>
        <v>354.9271</v>
      </c>
      <c r="E118" s="304">
        <f>342510.3/1000</f>
        <v>342.51029999999997</v>
      </c>
      <c r="F118" s="304">
        <f>12416.8/1000</f>
        <v>12.416799999999999</v>
      </c>
      <c r="G118" s="305">
        <f t="shared" ref="G118:G120" si="79">C118-D118</f>
        <v>0</v>
      </c>
      <c r="H118" s="305">
        <f t="shared" ref="H118:H120" si="80">C118/D118*100-100</f>
        <v>0</v>
      </c>
      <c r="I118" s="304">
        <f>329675.5/1000</f>
        <v>329.6755</v>
      </c>
      <c r="J118" s="259">
        <f t="shared" si="73"/>
        <v>329.6755</v>
      </c>
      <c r="K118" s="304">
        <f>329675.5/1000</f>
        <v>329.6755</v>
      </c>
      <c r="L118" s="304"/>
      <c r="M118" s="305">
        <f t="shared" ref="M118:M120" si="81">I118-J118</f>
        <v>0</v>
      </c>
      <c r="N118" s="305">
        <f t="shared" ref="N118:N119" si="82">I118/J118*100-100</f>
        <v>0</v>
      </c>
      <c r="O118" s="304">
        <f>336832.6/1000</f>
        <v>336.83259999999996</v>
      </c>
      <c r="P118" s="259">
        <f t="shared" si="76"/>
        <v>336.83259999999996</v>
      </c>
      <c r="Q118" s="304">
        <f>336832.6/1000</f>
        <v>336.83259999999996</v>
      </c>
      <c r="R118" s="304"/>
      <c r="S118" s="306">
        <f t="shared" ref="S118:S120" si="83">O118-P118</f>
        <v>0</v>
      </c>
      <c r="T118" s="339">
        <f t="shared" ref="T118:T119" si="84">O118/P118*100-100</f>
        <v>0</v>
      </c>
    </row>
    <row r="119" spans="1:20" s="295" customFormat="1" ht="37.5" x14ac:dyDescent="0.3">
      <c r="A119" s="325" t="s">
        <v>546</v>
      </c>
      <c r="B119" s="303" t="s">
        <v>547</v>
      </c>
      <c r="C119" s="304">
        <f>196815.4/1000</f>
        <v>196.81539999999998</v>
      </c>
      <c r="D119" s="259">
        <f t="shared" si="70"/>
        <v>196.81549999999999</v>
      </c>
      <c r="E119" s="304">
        <f>196815.5/1000</f>
        <v>196.81549999999999</v>
      </c>
      <c r="F119" s="304"/>
      <c r="G119" s="305">
        <f t="shared" si="79"/>
        <v>-1.0000000000331966E-4</v>
      </c>
      <c r="H119" s="305">
        <f t="shared" si="80"/>
        <v>-5.080900639597985E-5</v>
      </c>
      <c r="I119" s="304">
        <f>119185.5/1000</f>
        <v>119.1855</v>
      </c>
      <c r="J119" s="259">
        <f t="shared" si="73"/>
        <v>119.1855</v>
      </c>
      <c r="K119" s="304">
        <f>119185.5/1000</f>
        <v>119.1855</v>
      </c>
      <c r="L119" s="304"/>
      <c r="M119" s="305">
        <f t="shared" si="81"/>
        <v>0</v>
      </c>
      <c r="N119" s="305">
        <f t="shared" si="82"/>
        <v>0</v>
      </c>
      <c r="O119" s="304">
        <f>127114.5/1000</f>
        <v>127.11450000000001</v>
      </c>
      <c r="P119" s="259">
        <f t="shared" si="76"/>
        <v>127.11450000000001</v>
      </c>
      <c r="Q119" s="304">
        <f>127114.5/1000</f>
        <v>127.11450000000001</v>
      </c>
      <c r="R119" s="304"/>
      <c r="S119" s="306">
        <f t="shared" si="83"/>
        <v>0</v>
      </c>
      <c r="T119" s="339">
        <f t="shared" si="84"/>
        <v>0</v>
      </c>
    </row>
    <row r="120" spans="1:20" s="295" customFormat="1" ht="37.5" x14ac:dyDescent="0.3">
      <c r="A120" s="326" t="s">
        <v>548</v>
      </c>
      <c r="B120" s="307" t="s">
        <v>549</v>
      </c>
      <c r="C120" s="308">
        <f>138899.3/1000</f>
        <v>138.89929999999998</v>
      </c>
      <c r="D120" s="259">
        <f t="shared" si="70"/>
        <v>138.89929999999998</v>
      </c>
      <c r="E120" s="308">
        <f>138899.3/1000</f>
        <v>138.89929999999998</v>
      </c>
      <c r="F120" s="308"/>
      <c r="G120" s="305">
        <f t="shared" si="79"/>
        <v>0</v>
      </c>
      <c r="H120" s="305">
        <f t="shared" si="80"/>
        <v>0</v>
      </c>
      <c r="I120" s="308"/>
      <c r="J120" s="259">
        <f t="shared" si="73"/>
        <v>0</v>
      </c>
      <c r="K120" s="308"/>
      <c r="L120" s="308"/>
      <c r="M120" s="305">
        <f t="shared" si="81"/>
        <v>0</v>
      </c>
      <c r="N120" s="305"/>
      <c r="O120" s="308"/>
      <c r="P120" s="259">
        <f t="shared" si="76"/>
        <v>0</v>
      </c>
      <c r="Q120" s="308"/>
      <c r="R120" s="308"/>
      <c r="S120" s="306">
        <f t="shared" si="83"/>
        <v>0</v>
      </c>
      <c r="T120" s="339"/>
    </row>
    <row r="121" spans="1:20" ht="13.5" thickBot="1" x14ac:dyDescent="0.35">
      <c r="A121" s="73" t="s">
        <v>55</v>
      </c>
      <c r="B121" s="340" t="s">
        <v>510</v>
      </c>
      <c r="C121" s="74">
        <f>C8+C18+C26+C35+C36+C41+C46+C52+C57+C62+C66+C72+C73+C74+C79+C87+C91+C99+C100+C101+C106+C110+C116</f>
        <v>97319.333299999984</v>
      </c>
      <c r="D121" s="341">
        <f>D8+D18+D26+D35+D36+D41+D46+D52+D57+D62+D66+D72+D73+D74+D79+D87+D91+D99+D100+D101+D106+D110+D116</f>
        <v>97318.065900000001</v>
      </c>
      <c r="E121" s="74">
        <f>E8+E18+E26+E35+E36+E41+E46+E52+E57+E62+E66+E72+E73+E74+E79+E87+E91+E99+E100+E101+E106+E110+E116</f>
        <v>82087.186499999996</v>
      </c>
      <c r="F121" s="74">
        <f t="shared" ref="F121:R121" si="85">F8+F18+F26+F35+F36+F41+F46+F52+F57+F62+F66+F72+F73+F74+F79+F87+F91+F99+F100+F101+F106+F110+F116</f>
        <v>15230.883500000004</v>
      </c>
      <c r="G121" s="74">
        <v>1.2</v>
      </c>
      <c r="H121" s="74">
        <f>C121/D121*100-100</f>
        <v>1.3023275671031342E-3</v>
      </c>
      <c r="I121" s="74">
        <f t="shared" si="85"/>
        <v>93965.441499999972</v>
      </c>
      <c r="J121" s="74">
        <f t="shared" si="85"/>
        <v>94676.220800000025</v>
      </c>
      <c r="K121" s="74">
        <f t="shared" si="85"/>
        <v>80821.524000000005</v>
      </c>
      <c r="L121" s="74">
        <f t="shared" si="85"/>
        <v>13854.696800000002</v>
      </c>
      <c r="M121" s="74">
        <f>M8+M18+M26+M35+M36+M41+M46+M52+M57+M62+M66+M72+M73+M74+M79+M87+M91+M99+M100+M101+M106+M110+M116</f>
        <v>-710.7793000000047</v>
      </c>
      <c r="N121" s="74">
        <f>I121/J121*100-100</f>
        <v>-0.75074743583348891</v>
      </c>
      <c r="O121" s="74">
        <f t="shared" si="85"/>
        <v>92007.832599999994</v>
      </c>
      <c r="P121" s="74">
        <f t="shared" si="85"/>
        <v>95914.66280000002</v>
      </c>
      <c r="Q121" s="74">
        <f t="shared" si="85"/>
        <v>84375.909400000004</v>
      </c>
      <c r="R121" s="74">
        <f t="shared" si="85"/>
        <v>11538.753399999996</v>
      </c>
      <c r="S121" s="74">
        <f>S8+S18+S26+S35+S36+S41+S46+S52+S57+S62+S66+S72+S73+S74+S79+S87+S91+S99+S100+S101+S106+S110+S116-0.1</f>
        <v>-3906.9301999999939</v>
      </c>
      <c r="T121" s="342">
        <f>O121/P121*100-100</f>
        <v>-4.0732356096027758</v>
      </c>
    </row>
    <row r="122" spans="1:20" s="231" customFormat="1" ht="13" thickTop="1" x14ac:dyDescent="0.25">
      <c r="C122" s="230"/>
      <c r="D122" s="230"/>
      <c r="E122" s="230"/>
      <c r="F122" s="230"/>
      <c r="G122" s="230"/>
      <c r="H122" s="230"/>
      <c r="I122" s="230"/>
      <c r="J122" s="230"/>
      <c r="K122" s="230"/>
      <c r="L122" s="230"/>
      <c r="M122" s="230"/>
      <c r="N122" s="230"/>
      <c r="O122" s="230"/>
    </row>
    <row r="123" spans="1:20" s="231" customFormat="1" x14ac:dyDescent="0.25">
      <c r="C123" s="230"/>
      <c r="D123" s="230"/>
      <c r="E123" s="230"/>
      <c r="F123" s="230"/>
      <c r="G123" s="230"/>
      <c r="H123" s="230"/>
      <c r="I123" s="230"/>
      <c r="J123" s="230"/>
      <c r="K123" s="230"/>
      <c r="L123" s="230"/>
      <c r="M123" s="230"/>
      <c r="N123" s="230"/>
      <c r="O123" s="230"/>
    </row>
    <row r="124" spans="1:20" s="231" customFormat="1" x14ac:dyDescent="0.25">
      <c r="C124" s="230"/>
      <c r="D124" s="230"/>
      <c r="E124" s="230"/>
      <c r="F124" s="230"/>
      <c r="G124" s="230"/>
      <c r="H124" s="230"/>
      <c r="I124" s="230"/>
      <c r="J124" s="309"/>
      <c r="K124" s="309"/>
      <c r="L124" s="309"/>
      <c r="M124" s="230"/>
      <c r="N124" s="230"/>
      <c r="O124" s="230"/>
    </row>
    <row r="125" spans="1:20" s="231" customFormat="1" x14ac:dyDescent="0.25">
      <c r="C125" s="230"/>
      <c r="D125" s="230"/>
      <c r="E125" s="230"/>
      <c r="F125" s="230"/>
      <c r="G125" s="230"/>
      <c r="H125" s="230"/>
      <c r="I125" s="230"/>
      <c r="J125" s="230"/>
      <c r="K125" s="230"/>
      <c r="L125" s="230"/>
      <c r="M125" s="230"/>
      <c r="N125" s="230"/>
      <c r="O125" s="230"/>
    </row>
    <row r="126" spans="1:20" s="231" customFormat="1" x14ac:dyDescent="0.25">
      <c r="C126" s="230"/>
      <c r="D126" s="230"/>
      <c r="E126" s="230"/>
      <c r="F126" s="230"/>
      <c r="G126" s="230"/>
      <c r="H126" s="230"/>
      <c r="I126" s="230"/>
      <c r="J126" s="230"/>
      <c r="K126" s="230"/>
      <c r="L126" s="230"/>
      <c r="M126" s="230"/>
      <c r="N126" s="230"/>
      <c r="O126" s="230"/>
    </row>
    <row r="127" spans="1:20" s="231" customFormat="1" x14ac:dyDescent="0.25">
      <c r="C127" s="230"/>
      <c r="D127" s="230"/>
      <c r="E127" s="230"/>
      <c r="F127" s="230"/>
      <c r="G127" s="230"/>
      <c r="H127" s="230"/>
      <c r="I127" s="230"/>
      <c r="J127" s="230"/>
      <c r="K127" s="230"/>
      <c r="L127" s="230"/>
      <c r="M127" s="230"/>
      <c r="N127" s="230"/>
      <c r="O127" s="230"/>
    </row>
    <row r="128" spans="1:20" s="231" customFormat="1" x14ac:dyDescent="0.25">
      <c r="C128" s="230"/>
      <c r="D128" s="230"/>
      <c r="E128" s="230"/>
      <c r="F128" s="230"/>
      <c r="G128" s="230"/>
      <c r="H128" s="230"/>
      <c r="I128" s="230"/>
      <c r="J128" s="230"/>
      <c r="K128" s="230"/>
      <c r="L128" s="230"/>
      <c r="M128" s="230"/>
      <c r="N128" s="230"/>
      <c r="O128" s="230"/>
    </row>
    <row r="129" spans="3:15" s="231" customFormat="1" x14ac:dyDescent="0.25">
      <c r="C129" s="230"/>
      <c r="D129" s="230"/>
      <c r="E129" s="230"/>
      <c r="F129" s="230"/>
      <c r="G129" s="230"/>
      <c r="H129" s="230"/>
      <c r="I129" s="230"/>
      <c r="J129" s="230"/>
      <c r="K129" s="230"/>
      <c r="L129" s="230"/>
      <c r="M129" s="230"/>
      <c r="N129" s="230"/>
      <c r="O129" s="230"/>
    </row>
    <row r="130" spans="3:15" s="231" customFormat="1" x14ac:dyDescent="0.25">
      <c r="C130" s="230"/>
      <c r="D130" s="230"/>
      <c r="E130" s="230"/>
      <c r="F130" s="230"/>
      <c r="G130" s="230"/>
      <c r="H130" s="230"/>
      <c r="I130" s="230"/>
      <c r="J130" s="230"/>
      <c r="K130" s="230"/>
      <c r="L130" s="230"/>
      <c r="M130" s="230"/>
      <c r="N130" s="230"/>
      <c r="O130" s="230"/>
    </row>
    <row r="131" spans="3:15" s="231" customFormat="1" x14ac:dyDescent="0.25">
      <c r="C131" s="230"/>
      <c r="D131" s="230"/>
      <c r="E131" s="230"/>
      <c r="F131" s="230"/>
      <c r="G131" s="230"/>
      <c r="H131" s="230"/>
      <c r="I131" s="230"/>
      <c r="J131" s="230"/>
      <c r="K131" s="230"/>
      <c r="L131" s="230"/>
      <c r="M131" s="230"/>
      <c r="N131" s="230"/>
      <c r="O131" s="230"/>
    </row>
    <row r="132" spans="3:15" s="231" customFormat="1" x14ac:dyDescent="0.25">
      <c r="C132" s="230"/>
      <c r="D132" s="230"/>
      <c r="E132" s="230"/>
      <c r="F132" s="230"/>
      <c r="G132" s="230"/>
      <c r="H132" s="230"/>
      <c r="I132" s="230"/>
      <c r="J132" s="230"/>
      <c r="K132" s="230"/>
      <c r="L132" s="230"/>
      <c r="M132" s="230"/>
      <c r="N132" s="230"/>
      <c r="O132" s="230"/>
    </row>
    <row r="133" spans="3:15" s="231" customFormat="1" x14ac:dyDescent="0.25">
      <c r="C133" s="230"/>
      <c r="D133" s="230"/>
      <c r="E133" s="230"/>
      <c r="F133" s="230"/>
      <c r="G133" s="230"/>
      <c r="H133" s="230"/>
      <c r="I133" s="230"/>
      <c r="J133" s="230"/>
      <c r="K133" s="230"/>
      <c r="L133" s="230"/>
      <c r="M133" s="230"/>
      <c r="N133" s="230"/>
      <c r="O133" s="230"/>
    </row>
    <row r="134" spans="3:15" s="231" customFormat="1" x14ac:dyDescent="0.25">
      <c r="C134" s="230"/>
      <c r="D134" s="230"/>
      <c r="E134" s="230"/>
      <c r="F134" s="230"/>
      <c r="G134" s="230"/>
      <c r="H134" s="230"/>
      <c r="I134" s="230"/>
      <c r="J134" s="230"/>
      <c r="K134" s="230"/>
      <c r="L134" s="230"/>
      <c r="M134" s="230"/>
      <c r="N134" s="230"/>
      <c r="O134" s="230"/>
    </row>
    <row r="135" spans="3:15" s="231" customFormat="1" x14ac:dyDescent="0.25">
      <c r="C135" s="230"/>
      <c r="D135" s="230"/>
      <c r="E135" s="230"/>
      <c r="F135" s="230"/>
      <c r="G135" s="230"/>
      <c r="H135" s="230"/>
      <c r="I135" s="230"/>
      <c r="J135" s="230"/>
      <c r="K135" s="230"/>
      <c r="L135" s="230"/>
      <c r="M135" s="230"/>
      <c r="N135" s="230"/>
      <c r="O135" s="230"/>
    </row>
    <row r="136" spans="3:15" s="231" customFormat="1" x14ac:dyDescent="0.25">
      <c r="C136" s="230"/>
      <c r="D136" s="230"/>
      <c r="E136" s="230"/>
      <c r="F136" s="230"/>
      <c r="G136" s="230"/>
      <c r="H136" s="230"/>
      <c r="I136" s="230"/>
      <c r="J136" s="230"/>
      <c r="K136" s="230"/>
      <c r="L136" s="230"/>
      <c r="M136" s="230"/>
      <c r="N136" s="230"/>
      <c r="O136" s="230"/>
    </row>
    <row r="137" spans="3:15" s="231" customFormat="1" x14ac:dyDescent="0.25">
      <c r="C137" s="230"/>
      <c r="D137" s="230"/>
      <c r="E137" s="230"/>
      <c r="F137" s="230"/>
      <c r="G137" s="230"/>
      <c r="H137" s="230"/>
      <c r="I137" s="230"/>
      <c r="J137" s="230"/>
      <c r="K137" s="230"/>
      <c r="L137" s="230"/>
      <c r="M137" s="230"/>
      <c r="N137" s="230"/>
      <c r="O137" s="230"/>
    </row>
    <row r="138" spans="3:15" s="231" customFormat="1" x14ac:dyDescent="0.25">
      <c r="C138" s="230"/>
      <c r="D138" s="230"/>
      <c r="E138" s="230"/>
      <c r="F138" s="230"/>
      <c r="G138" s="230"/>
      <c r="H138" s="230"/>
      <c r="I138" s="230"/>
      <c r="J138" s="230"/>
      <c r="K138" s="230"/>
      <c r="L138" s="230"/>
      <c r="M138" s="230"/>
      <c r="N138" s="230"/>
      <c r="O138" s="230"/>
    </row>
    <row r="139" spans="3:15" s="231" customFormat="1" x14ac:dyDescent="0.25">
      <c r="C139" s="230"/>
      <c r="D139" s="230"/>
      <c r="E139" s="230"/>
      <c r="F139" s="230"/>
      <c r="G139" s="230"/>
      <c r="H139" s="230"/>
      <c r="I139" s="230"/>
      <c r="J139" s="230"/>
      <c r="K139" s="230"/>
      <c r="L139" s="230"/>
      <c r="M139" s="230"/>
      <c r="N139" s="230"/>
      <c r="O139" s="230"/>
    </row>
    <row r="140" spans="3:15" s="231" customFormat="1" x14ac:dyDescent="0.25">
      <c r="C140" s="230"/>
      <c r="D140" s="230"/>
      <c r="E140" s="230"/>
      <c r="F140" s="230"/>
      <c r="G140" s="230"/>
      <c r="H140" s="230"/>
      <c r="I140" s="230"/>
      <c r="J140" s="230"/>
      <c r="K140" s="230"/>
      <c r="L140" s="230"/>
      <c r="M140" s="230"/>
      <c r="N140" s="230"/>
      <c r="O140" s="230"/>
    </row>
    <row r="141" spans="3:15" s="231" customFormat="1" x14ac:dyDescent="0.25">
      <c r="C141" s="230"/>
      <c r="D141" s="230"/>
      <c r="E141" s="230"/>
      <c r="F141" s="230"/>
      <c r="G141" s="230"/>
      <c r="H141" s="230"/>
      <c r="I141" s="230"/>
      <c r="J141" s="230"/>
      <c r="K141" s="230"/>
      <c r="L141" s="230"/>
      <c r="M141" s="230"/>
      <c r="N141" s="230"/>
      <c r="O141" s="230"/>
    </row>
    <row r="142" spans="3:15" s="231" customFormat="1" x14ac:dyDescent="0.25">
      <c r="C142" s="230"/>
      <c r="D142" s="230"/>
      <c r="E142" s="230"/>
      <c r="F142" s="230"/>
      <c r="G142" s="230"/>
      <c r="H142" s="230"/>
      <c r="I142" s="230"/>
      <c r="J142" s="230"/>
      <c r="K142" s="230"/>
      <c r="L142" s="230"/>
      <c r="M142" s="230"/>
      <c r="N142" s="230"/>
      <c r="O142" s="230"/>
    </row>
    <row r="143" spans="3:15" s="231" customFormat="1" x14ac:dyDescent="0.25">
      <c r="C143" s="230"/>
      <c r="D143" s="230"/>
      <c r="E143" s="230"/>
      <c r="F143" s="230"/>
      <c r="G143" s="230"/>
      <c r="H143" s="230"/>
      <c r="I143" s="230"/>
      <c r="J143" s="230"/>
      <c r="K143" s="230"/>
      <c r="L143" s="230"/>
      <c r="M143" s="230"/>
      <c r="N143" s="230"/>
      <c r="O143" s="230"/>
    </row>
    <row r="144" spans="3:15" s="231" customFormat="1" x14ac:dyDescent="0.25">
      <c r="C144" s="230"/>
      <c r="D144" s="230"/>
      <c r="E144" s="230"/>
      <c r="F144" s="230"/>
      <c r="G144" s="230"/>
      <c r="H144" s="230"/>
      <c r="I144" s="230"/>
      <c r="J144" s="230"/>
      <c r="K144" s="230"/>
      <c r="L144" s="230"/>
      <c r="M144" s="230"/>
      <c r="N144" s="230"/>
      <c r="O144" s="230"/>
    </row>
    <row r="145" spans="3:15" s="231" customFormat="1" x14ac:dyDescent="0.25">
      <c r="C145" s="230"/>
      <c r="D145" s="230"/>
      <c r="E145" s="230"/>
      <c r="F145" s="230"/>
      <c r="G145" s="230"/>
      <c r="H145" s="230"/>
      <c r="I145" s="230"/>
      <c r="J145" s="230"/>
      <c r="K145" s="230"/>
      <c r="L145" s="230"/>
      <c r="M145" s="230"/>
      <c r="N145" s="230"/>
      <c r="O145" s="230"/>
    </row>
    <row r="146" spans="3:15" s="231" customFormat="1" x14ac:dyDescent="0.25">
      <c r="C146" s="230"/>
      <c r="D146" s="230"/>
      <c r="E146" s="230"/>
      <c r="F146" s="230"/>
      <c r="G146" s="230"/>
      <c r="H146" s="230"/>
      <c r="I146" s="230"/>
      <c r="J146" s="230"/>
      <c r="K146" s="230"/>
      <c r="L146" s="230"/>
      <c r="M146" s="230"/>
      <c r="N146" s="230"/>
      <c r="O146" s="230"/>
    </row>
    <row r="147" spans="3:15" s="231" customFormat="1" x14ac:dyDescent="0.25">
      <c r="C147" s="230"/>
      <c r="D147" s="230"/>
      <c r="E147" s="230"/>
      <c r="F147" s="230"/>
      <c r="G147" s="230"/>
      <c r="H147" s="230"/>
      <c r="I147" s="230"/>
      <c r="J147" s="230"/>
      <c r="K147" s="230"/>
      <c r="L147" s="230"/>
      <c r="M147" s="230"/>
      <c r="N147" s="230"/>
      <c r="O147" s="230"/>
    </row>
    <row r="148" spans="3:15" s="231" customFormat="1" x14ac:dyDescent="0.25">
      <c r="C148" s="230"/>
      <c r="D148" s="230"/>
      <c r="E148" s="230"/>
      <c r="F148" s="230"/>
      <c r="G148" s="230"/>
      <c r="H148" s="230"/>
      <c r="I148" s="230"/>
      <c r="J148" s="230"/>
      <c r="K148" s="230"/>
      <c r="L148" s="230"/>
      <c r="M148" s="230"/>
      <c r="N148" s="230"/>
      <c r="O148" s="230"/>
    </row>
    <row r="149" spans="3:15" s="231" customFormat="1" x14ac:dyDescent="0.25">
      <c r="C149" s="230"/>
      <c r="D149" s="230"/>
      <c r="E149" s="230"/>
      <c r="F149" s="230"/>
      <c r="G149" s="230"/>
      <c r="H149" s="230"/>
      <c r="I149" s="230"/>
      <c r="J149" s="230"/>
      <c r="K149" s="230"/>
      <c r="L149" s="230"/>
      <c r="M149" s="230"/>
      <c r="N149" s="230"/>
      <c r="O149" s="230"/>
    </row>
    <row r="150" spans="3:15" s="231" customFormat="1" x14ac:dyDescent="0.25">
      <c r="C150" s="230"/>
      <c r="D150" s="230"/>
      <c r="E150" s="230"/>
      <c r="F150" s="230"/>
      <c r="G150" s="230"/>
      <c r="H150" s="230"/>
      <c r="I150" s="230"/>
      <c r="J150" s="230"/>
      <c r="K150" s="230"/>
      <c r="L150" s="230"/>
      <c r="M150" s="230"/>
      <c r="N150" s="230"/>
      <c r="O150" s="230"/>
    </row>
    <row r="151" spans="3:15" s="231" customFormat="1" x14ac:dyDescent="0.25">
      <c r="C151" s="230"/>
      <c r="D151" s="230"/>
      <c r="E151" s="230"/>
      <c r="F151" s="230"/>
      <c r="G151" s="230"/>
      <c r="H151" s="230"/>
      <c r="I151" s="230"/>
      <c r="J151" s="230"/>
      <c r="K151" s="230"/>
      <c r="L151" s="230"/>
      <c r="M151" s="230"/>
      <c r="N151" s="230"/>
      <c r="O151" s="230"/>
    </row>
    <row r="152" spans="3:15" s="231" customFormat="1" x14ac:dyDescent="0.25">
      <c r="C152" s="230"/>
      <c r="D152" s="230"/>
      <c r="E152" s="230"/>
      <c r="F152" s="230"/>
      <c r="G152" s="230"/>
      <c r="H152" s="230"/>
      <c r="I152" s="230"/>
      <c r="J152" s="230"/>
      <c r="K152" s="230"/>
      <c r="L152" s="230"/>
      <c r="M152" s="230"/>
      <c r="N152" s="230"/>
      <c r="O152" s="230"/>
    </row>
    <row r="153" spans="3:15" s="231" customFormat="1" x14ac:dyDescent="0.25">
      <c r="C153" s="230"/>
      <c r="D153" s="230"/>
      <c r="E153" s="230"/>
      <c r="F153" s="230"/>
      <c r="G153" s="230"/>
      <c r="H153" s="230"/>
      <c r="I153" s="230"/>
      <c r="J153" s="230"/>
      <c r="K153" s="230"/>
      <c r="L153" s="230"/>
      <c r="M153" s="230"/>
      <c r="N153" s="230"/>
      <c r="O153" s="230"/>
    </row>
    <row r="154" spans="3:15" s="231" customFormat="1" x14ac:dyDescent="0.25">
      <c r="C154" s="230"/>
      <c r="D154" s="230"/>
      <c r="E154" s="230"/>
      <c r="F154" s="230"/>
      <c r="G154" s="230"/>
      <c r="H154" s="230"/>
      <c r="I154" s="230"/>
      <c r="J154" s="230"/>
      <c r="K154" s="230"/>
      <c r="L154" s="230"/>
      <c r="M154" s="230"/>
      <c r="N154" s="230"/>
      <c r="O154" s="230"/>
    </row>
    <row r="155" spans="3:15" s="231" customFormat="1" x14ac:dyDescent="0.25">
      <c r="C155" s="230"/>
      <c r="D155" s="230"/>
      <c r="E155" s="230"/>
      <c r="F155" s="230"/>
      <c r="G155" s="230"/>
      <c r="H155" s="230"/>
      <c r="I155" s="230"/>
      <c r="J155" s="230"/>
      <c r="K155" s="230"/>
      <c r="L155" s="230"/>
      <c r="M155" s="230"/>
      <c r="N155" s="230"/>
      <c r="O155" s="230"/>
    </row>
    <row r="156" spans="3:15" s="231" customFormat="1" x14ac:dyDescent="0.25">
      <c r="C156" s="230"/>
      <c r="D156" s="230"/>
      <c r="E156" s="230"/>
      <c r="F156" s="230"/>
      <c r="G156" s="230"/>
      <c r="H156" s="230"/>
      <c r="I156" s="230"/>
      <c r="J156" s="230"/>
      <c r="K156" s="230"/>
      <c r="L156" s="230"/>
      <c r="M156" s="230"/>
      <c r="N156" s="230"/>
      <c r="O156" s="230"/>
    </row>
    <row r="157" spans="3:15" s="231" customFormat="1" x14ac:dyDescent="0.25">
      <c r="C157" s="230"/>
      <c r="D157" s="230"/>
      <c r="E157" s="230"/>
      <c r="F157" s="230"/>
      <c r="G157" s="230"/>
      <c r="H157" s="230"/>
      <c r="I157" s="230"/>
      <c r="J157" s="230"/>
      <c r="K157" s="230"/>
      <c r="L157" s="230"/>
      <c r="M157" s="230"/>
      <c r="N157" s="230"/>
      <c r="O157" s="230"/>
    </row>
    <row r="158" spans="3:15" s="231" customFormat="1" x14ac:dyDescent="0.25">
      <c r="C158" s="230"/>
      <c r="D158" s="230"/>
      <c r="E158" s="230"/>
      <c r="F158" s="230"/>
      <c r="G158" s="230"/>
      <c r="H158" s="230"/>
      <c r="I158" s="230"/>
      <c r="J158" s="230"/>
      <c r="K158" s="230"/>
      <c r="L158" s="230"/>
      <c r="M158" s="230"/>
      <c r="N158" s="230"/>
      <c r="O158" s="230"/>
    </row>
    <row r="159" spans="3:15" s="231" customFormat="1" x14ac:dyDescent="0.25">
      <c r="C159" s="230"/>
      <c r="D159" s="230"/>
      <c r="E159" s="230"/>
      <c r="F159" s="230"/>
      <c r="G159" s="230"/>
      <c r="H159" s="230"/>
      <c r="I159" s="230"/>
      <c r="J159" s="230"/>
      <c r="K159" s="230"/>
      <c r="L159" s="230"/>
      <c r="M159" s="230"/>
      <c r="N159" s="230"/>
      <c r="O159" s="230"/>
    </row>
    <row r="160" spans="3:15" s="231" customFormat="1" x14ac:dyDescent="0.25">
      <c r="C160" s="230"/>
      <c r="D160" s="230"/>
      <c r="E160" s="230"/>
      <c r="F160" s="230"/>
      <c r="G160" s="230"/>
      <c r="H160" s="230"/>
      <c r="I160" s="230"/>
      <c r="J160" s="230"/>
      <c r="K160" s="230"/>
      <c r="L160" s="230"/>
      <c r="M160" s="230"/>
      <c r="N160" s="230"/>
      <c r="O160" s="230"/>
    </row>
    <row r="161" spans="3:15" s="231" customFormat="1" x14ac:dyDescent="0.25">
      <c r="C161" s="230"/>
      <c r="D161" s="230"/>
      <c r="E161" s="230"/>
      <c r="F161" s="230"/>
      <c r="G161" s="230"/>
      <c r="H161" s="230"/>
      <c r="I161" s="230"/>
      <c r="J161" s="230"/>
      <c r="K161" s="230"/>
      <c r="L161" s="230"/>
      <c r="M161" s="230"/>
      <c r="N161" s="230"/>
      <c r="O161" s="230"/>
    </row>
    <row r="162" spans="3:15" s="231" customFormat="1" x14ac:dyDescent="0.25">
      <c r="C162" s="230"/>
      <c r="D162" s="230"/>
      <c r="E162" s="230"/>
      <c r="F162" s="230"/>
      <c r="G162" s="230"/>
      <c r="H162" s="230"/>
      <c r="I162" s="230"/>
      <c r="J162" s="230"/>
      <c r="K162" s="230"/>
      <c r="L162" s="230"/>
      <c r="M162" s="230"/>
      <c r="N162" s="230"/>
      <c r="O162" s="230"/>
    </row>
    <row r="163" spans="3:15" s="231" customFormat="1" x14ac:dyDescent="0.25">
      <c r="C163" s="230"/>
      <c r="D163" s="230"/>
      <c r="E163" s="230"/>
      <c r="F163" s="230"/>
      <c r="G163" s="230"/>
      <c r="H163" s="230"/>
      <c r="I163" s="230"/>
      <c r="J163" s="230"/>
      <c r="K163" s="230"/>
      <c r="L163" s="230"/>
      <c r="M163" s="230"/>
      <c r="N163" s="230"/>
      <c r="O163" s="230"/>
    </row>
    <row r="164" spans="3:15" s="231" customFormat="1" x14ac:dyDescent="0.25">
      <c r="C164" s="230"/>
      <c r="D164" s="230"/>
      <c r="E164" s="230"/>
      <c r="F164" s="230"/>
      <c r="G164" s="230"/>
      <c r="H164" s="230"/>
      <c r="I164" s="230"/>
      <c r="J164" s="230"/>
      <c r="K164" s="230"/>
      <c r="L164" s="230"/>
      <c r="M164" s="230"/>
      <c r="N164" s="230"/>
      <c r="O164" s="230"/>
    </row>
    <row r="165" spans="3:15" s="231" customFormat="1" x14ac:dyDescent="0.25">
      <c r="C165" s="230"/>
      <c r="D165" s="230"/>
      <c r="E165" s="230"/>
      <c r="F165" s="230"/>
      <c r="G165" s="230"/>
      <c r="H165" s="230"/>
      <c r="I165" s="230"/>
      <c r="J165" s="230"/>
      <c r="K165" s="230"/>
      <c r="L165" s="230"/>
      <c r="M165" s="230"/>
      <c r="N165" s="230"/>
      <c r="O165" s="230"/>
    </row>
    <row r="166" spans="3:15" s="231" customFormat="1" x14ac:dyDescent="0.25">
      <c r="C166" s="230"/>
      <c r="D166" s="230"/>
      <c r="E166" s="230"/>
      <c r="F166" s="230"/>
      <c r="G166" s="230"/>
      <c r="H166" s="230"/>
      <c r="I166" s="230"/>
      <c r="J166" s="230"/>
      <c r="K166" s="230"/>
      <c r="L166" s="230"/>
      <c r="M166" s="230"/>
      <c r="N166" s="230"/>
      <c r="O166" s="230"/>
    </row>
    <row r="167" spans="3:15" s="231" customFormat="1" x14ac:dyDescent="0.25">
      <c r="C167" s="230"/>
      <c r="D167" s="230"/>
      <c r="E167" s="230"/>
      <c r="F167" s="230"/>
      <c r="G167" s="230"/>
      <c r="H167" s="230"/>
      <c r="I167" s="230"/>
      <c r="J167" s="230"/>
      <c r="K167" s="230"/>
      <c r="L167" s="230"/>
      <c r="M167" s="230"/>
      <c r="N167" s="230"/>
      <c r="O167" s="230"/>
    </row>
    <row r="168" spans="3:15" s="231" customFormat="1" x14ac:dyDescent="0.25">
      <c r="C168" s="230"/>
      <c r="D168" s="230"/>
      <c r="E168" s="230"/>
      <c r="F168" s="230"/>
      <c r="G168" s="230"/>
      <c r="H168" s="230"/>
      <c r="I168" s="230"/>
      <c r="J168" s="230"/>
      <c r="K168" s="230"/>
      <c r="L168" s="230"/>
      <c r="M168" s="230"/>
      <c r="N168" s="230"/>
      <c r="O168" s="230"/>
    </row>
    <row r="169" spans="3:15" s="231" customFormat="1" x14ac:dyDescent="0.25">
      <c r="C169" s="230"/>
      <c r="D169" s="230"/>
      <c r="E169" s="230"/>
      <c r="F169" s="230"/>
      <c r="G169" s="230"/>
      <c r="H169" s="230"/>
      <c r="I169" s="230"/>
      <c r="J169" s="230"/>
      <c r="K169" s="230"/>
      <c r="L169" s="230"/>
      <c r="M169" s="230"/>
      <c r="N169" s="230"/>
      <c r="O169" s="230"/>
    </row>
    <row r="170" spans="3:15" s="231" customFormat="1" x14ac:dyDescent="0.25">
      <c r="C170" s="230"/>
      <c r="D170" s="230"/>
      <c r="E170" s="230"/>
      <c r="F170" s="230"/>
      <c r="G170" s="230"/>
      <c r="H170" s="230"/>
      <c r="I170" s="230"/>
      <c r="J170" s="230"/>
      <c r="K170" s="230"/>
      <c r="L170" s="230"/>
      <c r="M170" s="230"/>
      <c r="N170" s="230"/>
      <c r="O170" s="230"/>
    </row>
    <row r="171" spans="3:15" s="231" customFormat="1" x14ac:dyDescent="0.25">
      <c r="C171" s="230"/>
      <c r="D171" s="230"/>
      <c r="E171" s="230"/>
      <c r="F171" s="230"/>
      <c r="G171" s="230"/>
      <c r="H171" s="230"/>
      <c r="I171" s="230"/>
      <c r="J171" s="230"/>
      <c r="K171" s="230"/>
      <c r="L171" s="230"/>
      <c r="M171" s="230"/>
      <c r="N171" s="230"/>
      <c r="O171" s="230"/>
    </row>
    <row r="172" spans="3:15" s="231" customFormat="1" x14ac:dyDescent="0.25">
      <c r="C172" s="230"/>
      <c r="D172" s="230"/>
      <c r="E172" s="230"/>
      <c r="F172" s="230"/>
      <c r="G172" s="230"/>
      <c r="H172" s="230"/>
      <c r="I172" s="230"/>
      <c r="J172" s="230"/>
      <c r="K172" s="230"/>
      <c r="L172" s="230"/>
      <c r="M172" s="230"/>
      <c r="N172" s="230"/>
      <c r="O172" s="230"/>
    </row>
    <row r="173" spans="3:15" s="231" customFormat="1" x14ac:dyDescent="0.25">
      <c r="C173" s="230"/>
      <c r="D173" s="230"/>
      <c r="E173" s="230"/>
      <c r="F173" s="230"/>
      <c r="G173" s="230"/>
      <c r="H173" s="230"/>
      <c r="I173" s="230"/>
      <c r="J173" s="230"/>
      <c r="K173" s="230"/>
      <c r="L173" s="230"/>
      <c r="M173" s="230"/>
      <c r="N173" s="230"/>
      <c r="O173" s="230"/>
    </row>
    <row r="174" spans="3:15" s="231" customFormat="1" x14ac:dyDescent="0.25">
      <c r="C174" s="230"/>
      <c r="D174" s="230"/>
      <c r="E174" s="230"/>
      <c r="F174" s="230"/>
      <c r="G174" s="230"/>
      <c r="H174" s="230"/>
      <c r="I174" s="230"/>
      <c r="J174" s="230"/>
      <c r="K174" s="230"/>
      <c r="L174" s="230"/>
      <c r="M174" s="230"/>
      <c r="N174" s="230"/>
      <c r="O174" s="230"/>
    </row>
    <row r="175" spans="3:15" s="231" customFormat="1" x14ac:dyDescent="0.25">
      <c r="C175" s="230"/>
      <c r="D175" s="230"/>
      <c r="E175" s="230"/>
      <c r="F175" s="230"/>
      <c r="G175" s="230"/>
      <c r="H175" s="230"/>
      <c r="I175" s="230"/>
      <c r="J175" s="230"/>
      <c r="K175" s="230"/>
      <c r="L175" s="230"/>
      <c r="M175" s="230"/>
      <c r="N175" s="230"/>
      <c r="O175" s="230"/>
    </row>
    <row r="176" spans="3:15" s="231" customFormat="1" x14ac:dyDescent="0.25">
      <c r="C176" s="230"/>
      <c r="D176" s="230"/>
      <c r="E176" s="230"/>
      <c r="F176" s="230"/>
      <c r="G176" s="230"/>
      <c r="H176" s="230"/>
      <c r="I176" s="230"/>
      <c r="J176" s="230"/>
      <c r="K176" s="230"/>
      <c r="L176" s="230"/>
      <c r="M176" s="230"/>
      <c r="N176" s="230"/>
      <c r="O176" s="230"/>
    </row>
    <row r="177" spans="3:15" s="231" customFormat="1" x14ac:dyDescent="0.25">
      <c r="C177" s="230"/>
      <c r="D177" s="230"/>
      <c r="E177" s="230"/>
      <c r="F177" s="230"/>
      <c r="G177" s="230"/>
      <c r="H177" s="230"/>
      <c r="I177" s="230"/>
      <c r="J177" s="230"/>
      <c r="K177" s="230"/>
      <c r="L177" s="230"/>
      <c r="M177" s="230"/>
      <c r="N177" s="230"/>
      <c r="O177" s="230"/>
    </row>
    <row r="178" spans="3:15" s="231" customFormat="1" x14ac:dyDescent="0.25">
      <c r="C178" s="230"/>
      <c r="D178" s="230"/>
      <c r="E178" s="230"/>
      <c r="F178" s="230"/>
      <c r="G178" s="230"/>
      <c r="H178" s="230"/>
      <c r="I178" s="230"/>
      <c r="J178" s="230"/>
      <c r="K178" s="230"/>
      <c r="L178" s="230"/>
      <c r="M178" s="230"/>
      <c r="N178" s="230"/>
      <c r="O178" s="230"/>
    </row>
    <row r="179" spans="3:15" s="231" customFormat="1" x14ac:dyDescent="0.25">
      <c r="C179" s="230"/>
      <c r="D179" s="230"/>
      <c r="E179" s="230"/>
      <c r="F179" s="230"/>
      <c r="G179" s="230"/>
      <c r="H179" s="230"/>
      <c r="I179" s="230"/>
      <c r="J179" s="230"/>
      <c r="K179" s="230"/>
      <c r="L179" s="230"/>
      <c r="M179" s="230"/>
      <c r="N179" s="230"/>
      <c r="O179" s="230"/>
    </row>
    <row r="180" spans="3:15" s="231" customFormat="1" x14ac:dyDescent="0.25">
      <c r="C180" s="230"/>
      <c r="D180" s="230"/>
      <c r="E180" s="230"/>
      <c r="F180" s="230"/>
      <c r="G180" s="230"/>
      <c r="H180" s="230"/>
      <c r="I180" s="230"/>
      <c r="J180" s="230"/>
      <c r="K180" s="230"/>
      <c r="L180" s="230"/>
      <c r="M180" s="230"/>
      <c r="N180" s="230"/>
      <c r="O180" s="230"/>
    </row>
    <row r="181" spans="3:15" s="231" customFormat="1" x14ac:dyDescent="0.25">
      <c r="C181" s="230"/>
      <c r="D181" s="230"/>
      <c r="E181" s="230"/>
      <c r="F181" s="230"/>
      <c r="G181" s="230"/>
      <c r="H181" s="230"/>
      <c r="I181" s="230"/>
      <c r="J181" s="230"/>
      <c r="K181" s="230"/>
      <c r="L181" s="230"/>
      <c r="M181" s="230"/>
      <c r="N181" s="230"/>
      <c r="O181" s="230"/>
    </row>
    <row r="182" spans="3:15" s="231" customFormat="1" x14ac:dyDescent="0.25">
      <c r="C182" s="230"/>
      <c r="D182" s="230"/>
      <c r="E182" s="230"/>
      <c r="F182" s="230"/>
      <c r="G182" s="230"/>
      <c r="H182" s="230"/>
      <c r="I182" s="230"/>
      <c r="J182" s="230"/>
      <c r="K182" s="230"/>
      <c r="L182" s="230"/>
      <c r="M182" s="230"/>
      <c r="N182" s="230"/>
      <c r="O182" s="230"/>
    </row>
    <row r="183" spans="3:15" s="231" customFormat="1" x14ac:dyDescent="0.25">
      <c r="C183" s="230"/>
      <c r="D183" s="230"/>
      <c r="E183" s="230"/>
      <c r="F183" s="230"/>
      <c r="G183" s="230"/>
      <c r="H183" s="230"/>
      <c r="I183" s="230"/>
      <c r="J183" s="230"/>
      <c r="K183" s="230"/>
      <c r="L183" s="230"/>
      <c r="M183" s="230"/>
      <c r="N183" s="230"/>
      <c r="O183" s="230"/>
    </row>
    <row r="184" spans="3:15" s="231" customFormat="1" x14ac:dyDescent="0.25">
      <c r="C184" s="230"/>
      <c r="D184" s="230"/>
      <c r="E184" s="230"/>
      <c r="F184" s="230"/>
      <c r="G184" s="230"/>
      <c r="H184" s="230"/>
      <c r="I184" s="230"/>
      <c r="J184" s="230"/>
      <c r="K184" s="230"/>
      <c r="L184" s="230"/>
      <c r="M184" s="230"/>
      <c r="N184" s="230"/>
      <c r="O184" s="230"/>
    </row>
    <row r="185" spans="3:15" s="231" customFormat="1" x14ac:dyDescent="0.25">
      <c r="C185" s="230"/>
      <c r="D185" s="230"/>
      <c r="E185" s="230"/>
      <c r="F185" s="230"/>
      <c r="G185" s="230"/>
      <c r="H185" s="230"/>
      <c r="I185" s="230"/>
      <c r="J185" s="230"/>
      <c r="K185" s="230"/>
      <c r="L185" s="230"/>
      <c r="M185" s="230"/>
      <c r="N185" s="230"/>
      <c r="O185" s="230"/>
    </row>
    <row r="186" spans="3:15" s="231" customFormat="1" x14ac:dyDescent="0.25">
      <c r="C186" s="230"/>
      <c r="D186" s="230"/>
      <c r="E186" s="230"/>
      <c r="F186" s="230"/>
      <c r="G186" s="230"/>
      <c r="H186" s="230"/>
      <c r="I186" s="230"/>
      <c r="J186" s="230"/>
      <c r="K186" s="230"/>
      <c r="L186" s="230"/>
      <c r="M186" s="230"/>
      <c r="N186" s="230"/>
      <c r="O186" s="230"/>
    </row>
    <row r="187" spans="3:15" s="231" customFormat="1" x14ac:dyDescent="0.25">
      <c r="C187" s="230"/>
      <c r="D187" s="230"/>
      <c r="E187" s="230"/>
      <c r="F187" s="230"/>
      <c r="G187" s="230"/>
      <c r="H187" s="230"/>
      <c r="I187" s="230"/>
      <c r="J187" s="230"/>
      <c r="K187" s="230"/>
      <c r="L187" s="230"/>
      <c r="M187" s="230"/>
      <c r="N187" s="230"/>
      <c r="O187" s="230"/>
    </row>
    <row r="188" spans="3:15" s="231" customFormat="1" x14ac:dyDescent="0.25">
      <c r="C188" s="230"/>
      <c r="D188" s="230"/>
      <c r="E188" s="230"/>
      <c r="F188" s="230"/>
      <c r="G188" s="230"/>
      <c r="H188" s="230"/>
      <c r="I188" s="230"/>
      <c r="J188" s="230"/>
      <c r="K188" s="230"/>
      <c r="L188" s="230"/>
      <c r="M188" s="230"/>
      <c r="N188" s="230"/>
      <c r="O188" s="230"/>
    </row>
    <row r="189" spans="3:15" s="231" customFormat="1" x14ac:dyDescent="0.25">
      <c r="C189" s="230"/>
      <c r="D189" s="230"/>
      <c r="E189" s="230"/>
      <c r="F189" s="230"/>
      <c r="G189" s="230"/>
      <c r="H189" s="230"/>
      <c r="I189" s="230"/>
      <c r="J189" s="230"/>
      <c r="K189" s="230"/>
      <c r="L189" s="230"/>
      <c r="M189" s="230"/>
      <c r="N189" s="230"/>
      <c r="O189" s="230"/>
    </row>
    <row r="190" spans="3:15" s="231" customFormat="1" x14ac:dyDescent="0.25">
      <c r="C190" s="230"/>
      <c r="D190" s="230"/>
      <c r="E190" s="230"/>
      <c r="F190" s="230"/>
      <c r="G190" s="230"/>
      <c r="H190" s="230"/>
      <c r="I190" s="230"/>
      <c r="J190" s="230"/>
      <c r="K190" s="230"/>
      <c r="L190" s="230"/>
      <c r="M190" s="230"/>
      <c r="N190" s="230"/>
      <c r="O190" s="230"/>
    </row>
    <row r="191" spans="3:15" s="231" customFormat="1" x14ac:dyDescent="0.25">
      <c r="C191" s="230"/>
      <c r="D191" s="230"/>
      <c r="E191" s="230"/>
      <c r="F191" s="230"/>
      <c r="G191" s="230"/>
      <c r="H191" s="230"/>
      <c r="I191" s="230"/>
      <c r="J191" s="230"/>
      <c r="K191" s="230"/>
      <c r="L191" s="230"/>
      <c r="M191" s="230"/>
      <c r="N191" s="230"/>
      <c r="O191" s="230"/>
    </row>
    <row r="192" spans="3:15" s="231" customFormat="1" x14ac:dyDescent="0.25">
      <c r="C192" s="230"/>
      <c r="D192" s="230"/>
      <c r="E192" s="230"/>
      <c r="F192" s="230"/>
      <c r="G192" s="230"/>
      <c r="H192" s="230"/>
      <c r="I192" s="230"/>
      <c r="J192" s="230"/>
      <c r="K192" s="230"/>
      <c r="L192" s="230"/>
      <c r="M192" s="230"/>
      <c r="N192" s="230"/>
      <c r="O192" s="230"/>
    </row>
    <row r="193" spans="3:15" s="231" customFormat="1" x14ac:dyDescent="0.25">
      <c r="C193" s="230"/>
      <c r="D193" s="230"/>
      <c r="E193" s="230"/>
      <c r="F193" s="230"/>
      <c r="G193" s="230"/>
      <c r="H193" s="230"/>
      <c r="I193" s="230"/>
      <c r="J193" s="230"/>
      <c r="K193" s="230"/>
      <c r="L193" s="230"/>
      <c r="M193" s="230"/>
      <c r="N193" s="230"/>
      <c r="O193" s="230"/>
    </row>
    <row r="194" spans="3:15" s="231" customFormat="1" x14ac:dyDescent="0.25">
      <c r="C194" s="230"/>
      <c r="D194" s="230"/>
      <c r="E194" s="230"/>
      <c r="F194" s="230"/>
      <c r="G194" s="230"/>
      <c r="H194" s="230"/>
      <c r="I194" s="230"/>
      <c r="J194" s="230"/>
      <c r="K194" s="230"/>
      <c r="L194" s="230"/>
      <c r="M194" s="230"/>
      <c r="N194" s="230"/>
      <c r="O194" s="230"/>
    </row>
    <row r="195" spans="3:15" s="231" customFormat="1" x14ac:dyDescent="0.25">
      <c r="C195" s="230"/>
      <c r="D195" s="230"/>
      <c r="E195" s="230"/>
      <c r="F195" s="230"/>
      <c r="G195" s="230"/>
      <c r="H195" s="230"/>
      <c r="I195" s="230"/>
      <c r="J195" s="230"/>
      <c r="K195" s="230"/>
      <c r="L195" s="230"/>
      <c r="M195" s="230"/>
      <c r="N195" s="230"/>
      <c r="O195" s="230"/>
    </row>
    <row r="196" spans="3:15" s="231" customFormat="1" x14ac:dyDescent="0.25">
      <c r="C196" s="230"/>
      <c r="D196" s="230"/>
      <c r="E196" s="230"/>
      <c r="F196" s="230"/>
      <c r="G196" s="230"/>
      <c r="H196" s="230"/>
      <c r="I196" s="230"/>
      <c r="J196" s="230"/>
      <c r="K196" s="230"/>
      <c r="L196" s="230"/>
      <c r="M196" s="230"/>
      <c r="N196" s="230"/>
      <c r="O196" s="230"/>
    </row>
    <row r="197" spans="3:15" s="231" customFormat="1" x14ac:dyDescent="0.25">
      <c r="C197" s="230"/>
      <c r="D197" s="230"/>
      <c r="E197" s="230"/>
      <c r="F197" s="230"/>
      <c r="G197" s="230"/>
      <c r="H197" s="230"/>
      <c r="I197" s="230"/>
      <c r="J197" s="230"/>
      <c r="K197" s="230"/>
      <c r="L197" s="230"/>
      <c r="M197" s="230"/>
      <c r="N197" s="230"/>
      <c r="O197" s="230"/>
    </row>
    <row r="198" spans="3:15" s="231" customFormat="1" x14ac:dyDescent="0.25">
      <c r="C198" s="230"/>
      <c r="D198" s="230"/>
      <c r="E198" s="230"/>
      <c r="F198" s="230"/>
      <c r="G198" s="230"/>
      <c r="H198" s="230"/>
      <c r="I198" s="230"/>
      <c r="J198" s="230"/>
      <c r="K198" s="230"/>
      <c r="L198" s="230"/>
      <c r="M198" s="230"/>
      <c r="N198" s="230"/>
      <c r="O198" s="230"/>
    </row>
    <row r="199" spans="3:15" s="231" customFormat="1" x14ac:dyDescent="0.25">
      <c r="C199" s="230"/>
      <c r="D199" s="230"/>
      <c r="E199" s="230"/>
      <c r="F199" s="230"/>
      <c r="G199" s="230"/>
      <c r="H199" s="230"/>
      <c r="I199" s="230"/>
      <c r="J199" s="230"/>
      <c r="K199" s="230"/>
      <c r="L199" s="230"/>
      <c r="M199" s="230"/>
      <c r="N199" s="230"/>
      <c r="O199" s="230"/>
    </row>
    <row r="200" spans="3:15" s="231" customFormat="1" x14ac:dyDescent="0.25">
      <c r="C200" s="230"/>
      <c r="D200" s="230"/>
      <c r="E200" s="230"/>
      <c r="F200" s="230"/>
      <c r="G200" s="230"/>
      <c r="H200" s="230"/>
      <c r="I200" s="230"/>
      <c r="J200" s="230"/>
      <c r="K200" s="230"/>
      <c r="L200" s="230"/>
      <c r="M200" s="230"/>
      <c r="N200" s="230"/>
      <c r="O200" s="230"/>
    </row>
    <row r="201" spans="3:15" s="231" customFormat="1" x14ac:dyDescent="0.25">
      <c r="C201" s="230"/>
      <c r="D201" s="230"/>
      <c r="E201" s="230"/>
      <c r="F201" s="230"/>
      <c r="G201" s="230"/>
      <c r="H201" s="230"/>
      <c r="I201" s="230"/>
      <c r="J201" s="230"/>
      <c r="K201" s="230"/>
      <c r="L201" s="230"/>
      <c r="M201" s="230"/>
      <c r="N201" s="230"/>
      <c r="O201" s="230"/>
    </row>
    <row r="202" spans="3:15" s="231" customFormat="1" x14ac:dyDescent="0.25">
      <c r="C202" s="230"/>
      <c r="D202" s="230"/>
      <c r="E202" s="230"/>
      <c r="F202" s="230"/>
      <c r="G202" s="230"/>
      <c r="H202" s="230"/>
      <c r="I202" s="230"/>
      <c r="J202" s="230"/>
      <c r="K202" s="230"/>
      <c r="L202" s="230"/>
      <c r="M202" s="230"/>
      <c r="N202" s="230"/>
      <c r="O202" s="230"/>
    </row>
    <row r="203" spans="3:15" s="231" customFormat="1" x14ac:dyDescent="0.25">
      <c r="C203" s="230"/>
      <c r="D203" s="230"/>
      <c r="E203" s="230"/>
      <c r="F203" s="230"/>
      <c r="G203" s="230"/>
      <c r="H203" s="230"/>
      <c r="I203" s="230"/>
      <c r="J203" s="230"/>
      <c r="K203" s="230"/>
      <c r="L203" s="230"/>
      <c r="M203" s="230"/>
      <c r="N203" s="230"/>
      <c r="O203" s="230"/>
    </row>
    <row r="204" spans="3:15" s="231" customFormat="1" x14ac:dyDescent="0.25">
      <c r="C204" s="230"/>
      <c r="D204" s="230"/>
      <c r="E204" s="230"/>
      <c r="F204" s="230"/>
      <c r="G204" s="230"/>
      <c r="H204" s="230"/>
      <c r="I204" s="230"/>
      <c r="J204" s="230"/>
      <c r="K204" s="230"/>
      <c r="L204" s="230"/>
      <c r="M204" s="230"/>
      <c r="N204" s="230"/>
      <c r="O204" s="230"/>
    </row>
    <row r="205" spans="3:15" s="231" customFormat="1" x14ac:dyDescent="0.25">
      <c r="C205" s="230"/>
      <c r="D205" s="230"/>
      <c r="E205" s="230"/>
      <c r="F205" s="230"/>
      <c r="G205" s="230"/>
      <c r="H205" s="230"/>
      <c r="I205" s="230"/>
      <c r="J205" s="230"/>
      <c r="K205" s="230"/>
      <c r="L205" s="230"/>
      <c r="M205" s="230"/>
      <c r="N205" s="230"/>
      <c r="O205" s="230"/>
    </row>
    <row r="206" spans="3:15" s="231" customFormat="1" x14ac:dyDescent="0.25">
      <c r="C206" s="230"/>
      <c r="D206" s="230"/>
      <c r="E206" s="230"/>
      <c r="F206" s="230"/>
      <c r="G206" s="230"/>
      <c r="H206" s="230"/>
      <c r="I206" s="230"/>
      <c r="J206" s="230"/>
      <c r="K206" s="230"/>
      <c r="L206" s="230"/>
      <c r="M206" s="230"/>
      <c r="N206" s="230"/>
      <c r="O206" s="230"/>
    </row>
    <row r="207" spans="3:15" s="231" customFormat="1" x14ac:dyDescent="0.25">
      <c r="C207" s="230"/>
      <c r="D207" s="230"/>
      <c r="E207" s="230"/>
      <c r="F207" s="230"/>
      <c r="G207" s="230"/>
      <c r="H207" s="230"/>
      <c r="I207" s="230"/>
      <c r="J207" s="230"/>
      <c r="K207" s="230"/>
      <c r="L207" s="230"/>
      <c r="M207" s="230"/>
      <c r="N207" s="230"/>
      <c r="O207" s="230"/>
    </row>
    <row r="208" spans="3:15" s="231" customFormat="1" x14ac:dyDescent="0.25">
      <c r="C208" s="230"/>
      <c r="D208" s="230"/>
      <c r="E208" s="230"/>
      <c r="F208" s="230"/>
      <c r="G208" s="230"/>
      <c r="H208" s="230"/>
      <c r="I208" s="230"/>
      <c r="J208" s="230"/>
      <c r="K208" s="230"/>
      <c r="L208" s="230"/>
      <c r="M208" s="230"/>
      <c r="N208" s="230"/>
      <c r="O208" s="230"/>
    </row>
    <row r="209" spans="3:15" s="231" customFormat="1" x14ac:dyDescent="0.25">
      <c r="C209" s="230"/>
      <c r="D209" s="230"/>
      <c r="E209" s="230"/>
      <c r="F209" s="230"/>
      <c r="G209" s="230"/>
      <c r="H209" s="230"/>
      <c r="I209" s="230"/>
      <c r="J209" s="230"/>
      <c r="K209" s="230"/>
      <c r="L209" s="230"/>
      <c r="M209" s="230"/>
      <c r="N209" s="230"/>
      <c r="O209" s="230"/>
    </row>
    <row r="210" spans="3:15" s="231" customFormat="1" x14ac:dyDescent="0.25">
      <c r="C210" s="230"/>
      <c r="D210" s="230"/>
      <c r="E210" s="230"/>
      <c r="F210" s="230"/>
      <c r="G210" s="230"/>
      <c r="H210" s="230"/>
      <c r="I210" s="230"/>
      <c r="J210" s="230"/>
      <c r="K210" s="230"/>
      <c r="L210" s="230"/>
      <c r="M210" s="230"/>
      <c r="N210" s="230"/>
      <c r="O210" s="230"/>
    </row>
    <row r="211" spans="3:15" s="231" customFormat="1" x14ac:dyDescent="0.25">
      <c r="C211" s="230"/>
      <c r="D211" s="230"/>
      <c r="E211" s="230"/>
      <c r="F211" s="230"/>
      <c r="G211" s="230"/>
      <c r="H211" s="230"/>
      <c r="I211" s="230"/>
      <c r="J211" s="230"/>
      <c r="K211" s="230"/>
      <c r="L211" s="230"/>
      <c r="M211" s="230"/>
      <c r="N211" s="230"/>
      <c r="O211" s="230"/>
    </row>
    <row r="212" spans="3:15" s="231" customFormat="1" x14ac:dyDescent="0.25">
      <c r="C212" s="230"/>
      <c r="D212" s="230"/>
      <c r="E212" s="230"/>
      <c r="F212" s="230"/>
      <c r="G212" s="230"/>
      <c r="H212" s="230"/>
      <c r="I212" s="230"/>
      <c r="J212" s="230"/>
      <c r="K212" s="230"/>
      <c r="L212" s="230"/>
      <c r="M212" s="230"/>
      <c r="N212" s="230"/>
      <c r="O212" s="230"/>
    </row>
    <row r="213" spans="3:15" s="231" customFormat="1" x14ac:dyDescent="0.25">
      <c r="C213" s="230"/>
      <c r="D213" s="230"/>
      <c r="E213" s="230"/>
      <c r="F213" s="230"/>
      <c r="G213" s="230"/>
      <c r="H213" s="230"/>
      <c r="I213" s="230"/>
      <c r="J213" s="230"/>
      <c r="K213" s="230"/>
      <c r="L213" s="230"/>
      <c r="M213" s="230"/>
      <c r="N213" s="230"/>
      <c r="O213" s="230"/>
    </row>
    <row r="214" spans="3:15" s="231" customFormat="1" x14ac:dyDescent="0.25">
      <c r="C214" s="230"/>
      <c r="D214" s="230"/>
      <c r="E214" s="230"/>
      <c r="F214" s="230"/>
      <c r="G214" s="230"/>
      <c r="H214" s="230"/>
      <c r="I214" s="230"/>
      <c r="J214" s="230"/>
      <c r="K214" s="230"/>
      <c r="L214" s="230"/>
      <c r="M214" s="230"/>
      <c r="N214" s="230"/>
      <c r="O214" s="230"/>
    </row>
    <row r="215" spans="3:15" s="231" customFormat="1" x14ac:dyDescent="0.25">
      <c r="C215" s="230"/>
      <c r="D215" s="230"/>
      <c r="E215" s="230"/>
      <c r="F215" s="230"/>
      <c r="G215" s="230"/>
      <c r="H215" s="230"/>
      <c r="I215" s="230"/>
      <c r="J215" s="230"/>
      <c r="K215" s="230"/>
      <c r="L215" s="230"/>
      <c r="M215" s="230"/>
      <c r="N215" s="230"/>
      <c r="O215" s="230"/>
    </row>
    <row r="216" spans="3:15" s="231" customFormat="1" x14ac:dyDescent="0.25">
      <c r="C216" s="230"/>
      <c r="D216" s="230"/>
      <c r="E216" s="230"/>
      <c r="F216" s="230"/>
      <c r="G216" s="230"/>
      <c r="H216" s="230"/>
      <c r="I216" s="230"/>
      <c r="J216" s="230"/>
      <c r="K216" s="230"/>
      <c r="L216" s="230"/>
      <c r="M216" s="230"/>
      <c r="N216" s="230"/>
      <c r="O216" s="230"/>
    </row>
    <row r="217" spans="3:15" s="231" customFormat="1" x14ac:dyDescent="0.25">
      <c r="C217" s="230"/>
      <c r="D217" s="230"/>
      <c r="E217" s="230"/>
      <c r="F217" s="230"/>
      <c r="G217" s="230"/>
      <c r="H217" s="230"/>
      <c r="I217" s="230"/>
      <c r="J217" s="230"/>
      <c r="K217" s="230"/>
      <c r="L217" s="230"/>
      <c r="M217" s="230"/>
      <c r="N217" s="230"/>
      <c r="O217" s="230"/>
    </row>
    <row r="218" spans="3:15" s="231" customFormat="1" x14ac:dyDescent="0.25">
      <c r="C218" s="230"/>
      <c r="D218" s="230"/>
      <c r="E218" s="230"/>
      <c r="F218" s="230"/>
      <c r="G218" s="230"/>
      <c r="H218" s="230"/>
      <c r="I218" s="230"/>
      <c r="J218" s="230"/>
      <c r="K218" s="230"/>
      <c r="L218" s="230"/>
      <c r="M218" s="230"/>
      <c r="N218" s="230"/>
      <c r="O218" s="230"/>
    </row>
    <row r="219" spans="3:15" s="231" customFormat="1" x14ac:dyDescent="0.25">
      <c r="C219" s="230"/>
      <c r="D219" s="230"/>
      <c r="E219" s="230"/>
      <c r="F219" s="230"/>
      <c r="G219" s="230"/>
      <c r="H219" s="230"/>
      <c r="I219" s="230"/>
      <c r="J219" s="230"/>
      <c r="K219" s="230"/>
      <c r="L219" s="230"/>
      <c r="M219" s="230"/>
      <c r="N219" s="230"/>
      <c r="O219" s="230"/>
    </row>
    <row r="220" spans="3:15" s="231" customFormat="1" x14ac:dyDescent="0.25">
      <c r="C220" s="230"/>
      <c r="D220" s="230"/>
      <c r="E220" s="230"/>
      <c r="F220" s="230"/>
      <c r="G220" s="230"/>
      <c r="H220" s="230"/>
      <c r="I220" s="230"/>
      <c r="J220" s="230"/>
      <c r="K220" s="230"/>
      <c r="L220" s="230"/>
      <c r="M220" s="230"/>
      <c r="N220" s="230"/>
      <c r="O220" s="230"/>
    </row>
    <row r="221" spans="3:15" s="231" customFormat="1" x14ac:dyDescent="0.25">
      <c r="C221" s="230"/>
      <c r="D221" s="230"/>
      <c r="E221" s="230"/>
      <c r="F221" s="230"/>
      <c r="G221" s="230"/>
      <c r="H221" s="230"/>
      <c r="I221" s="230"/>
      <c r="J221" s="230"/>
      <c r="K221" s="230"/>
      <c r="L221" s="230"/>
      <c r="M221" s="230"/>
      <c r="N221" s="230"/>
      <c r="O221" s="230"/>
    </row>
    <row r="222" spans="3:15" s="231" customFormat="1" x14ac:dyDescent="0.25">
      <c r="C222" s="230"/>
      <c r="D222" s="230"/>
      <c r="E222" s="230"/>
      <c r="F222" s="230"/>
      <c r="G222" s="230"/>
      <c r="H222" s="230"/>
      <c r="I222" s="230"/>
      <c r="J222" s="230"/>
      <c r="K222" s="230"/>
      <c r="L222" s="230"/>
      <c r="M222" s="230"/>
      <c r="N222" s="230"/>
      <c r="O222" s="230"/>
    </row>
    <row r="223" spans="3:15" s="231" customFormat="1" x14ac:dyDescent="0.25">
      <c r="C223" s="230"/>
      <c r="D223" s="230"/>
      <c r="E223" s="230"/>
      <c r="F223" s="230"/>
      <c r="G223" s="230"/>
      <c r="H223" s="230"/>
      <c r="I223" s="230"/>
      <c r="J223" s="230"/>
      <c r="K223" s="230"/>
      <c r="L223" s="230"/>
      <c r="M223" s="230"/>
      <c r="N223" s="230"/>
      <c r="O223" s="230"/>
    </row>
    <row r="224" spans="3:15" s="231" customFormat="1" x14ac:dyDescent="0.25">
      <c r="C224" s="230"/>
      <c r="D224" s="230"/>
      <c r="E224" s="230"/>
      <c r="F224" s="230"/>
      <c r="G224" s="230"/>
      <c r="H224" s="230"/>
      <c r="I224" s="230"/>
      <c r="J224" s="230"/>
      <c r="K224" s="230"/>
      <c r="L224" s="230"/>
      <c r="M224" s="230"/>
      <c r="N224" s="230"/>
      <c r="O224" s="230"/>
    </row>
    <row r="225" spans="3:15" s="231" customFormat="1" x14ac:dyDescent="0.25">
      <c r="C225" s="230"/>
      <c r="D225" s="230"/>
      <c r="E225" s="230"/>
      <c r="F225" s="230"/>
      <c r="G225" s="230"/>
      <c r="H225" s="230"/>
      <c r="I225" s="230"/>
      <c r="J225" s="230"/>
      <c r="K225" s="230"/>
      <c r="L225" s="230"/>
      <c r="M225" s="230"/>
      <c r="N225" s="230"/>
      <c r="O225" s="230"/>
    </row>
    <row r="226" spans="3:15" s="231" customFormat="1" x14ac:dyDescent="0.25">
      <c r="C226" s="230"/>
      <c r="D226" s="230"/>
      <c r="E226" s="230"/>
      <c r="F226" s="230"/>
      <c r="G226" s="230"/>
      <c r="H226" s="230"/>
      <c r="I226" s="230"/>
      <c r="J226" s="230"/>
      <c r="K226" s="230"/>
      <c r="L226" s="230"/>
      <c r="M226" s="230"/>
      <c r="N226" s="230"/>
      <c r="O226" s="230"/>
    </row>
    <row r="227" spans="3:15" s="231" customFormat="1" x14ac:dyDescent="0.25">
      <c r="C227" s="230"/>
      <c r="D227" s="230"/>
      <c r="E227" s="230"/>
      <c r="F227" s="230"/>
      <c r="G227" s="230"/>
      <c r="H227" s="230"/>
      <c r="I227" s="230"/>
      <c r="J227" s="230"/>
      <c r="K227" s="230"/>
      <c r="L227" s="230"/>
      <c r="M227" s="230"/>
      <c r="N227" s="230"/>
      <c r="O227" s="230"/>
    </row>
    <row r="228" spans="3:15" s="231" customFormat="1" x14ac:dyDescent="0.25">
      <c r="C228" s="230"/>
      <c r="D228" s="230"/>
      <c r="E228" s="230"/>
      <c r="F228" s="230"/>
      <c r="G228" s="230"/>
      <c r="H228" s="230"/>
      <c r="I228" s="230"/>
      <c r="J228" s="230"/>
      <c r="K228" s="230"/>
      <c r="L228" s="230"/>
      <c r="M228" s="230"/>
      <c r="N228" s="230"/>
      <c r="O228" s="230"/>
    </row>
    <row r="229" spans="3:15" s="231" customFormat="1" x14ac:dyDescent="0.25">
      <c r="C229" s="230"/>
      <c r="D229" s="230"/>
      <c r="E229" s="230"/>
      <c r="F229" s="230"/>
      <c r="G229" s="230"/>
      <c r="H229" s="230"/>
      <c r="I229" s="230"/>
      <c r="J229" s="230"/>
      <c r="K229" s="230"/>
      <c r="L229" s="230"/>
      <c r="M229" s="230"/>
      <c r="N229" s="230"/>
      <c r="O229" s="230"/>
    </row>
    <row r="230" spans="3:15" s="231" customFormat="1" x14ac:dyDescent="0.25">
      <c r="C230" s="230"/>
      <c r="D230" s="230"/>
      <c r="E230" s="230"/>
      <c r="F230" s="230"/>
      <c r="G230" s="230"/>
      <c r="H230" s="230"/>
      <c r="I230" s="230"/>
      <c r="J230" s="230"/>
      <c r="K230" s="230"/>
      <c r="L230" s="230"/>
      <c r="M230" s="230"/>
      <c r="N230" s="230"/>
      <c r="O230" s="230"/>
    </row>
    <row r="231" spans="3:15" s="231" customFormat="1" x14ac:dyDescent="0.25">
      <c r="C231" s="230"/>
      <c r="D231" s="230"/>
      <c r="E231" s="230"/>
      <c r="F231" s="230"/>
      <c r="G231" s="230"/>
      <c r="H231" s="230"/>
      <c r="I231" s="230"/>
      <c r="J231" s="230"/>
      <c r="K231" s="230"/>
      <c r="L231" s="230"/>
      <c r="M231" s="230"/>
      <c r="N231" s="230"/>
      <c r="O231" s="230"/>
    </row>
    <row r="232" spans="3:15" s="231" customFormat="1" x14ac:dyDescent="0.25">
      <c r="C232" s="230"/>
      <c r="D232" s="230"/>
      <c r="E232" s="230"/>
      <c r="F232" s="230"/>
      <c r="G232" s="230"/>
      <c r="H232" s="230"/>
      <c r="I232" s="230"/>
      <c r="J232" s="230"/>
      <c r="K232" s="230"/>
      <c r="L232" s="230"/>
      <c r="M232" s="230"/>
      <c r="N232" s="230"/>
      <c r="O232" s="230"/>
    </row>
    <row r="233" spans="3:15" s="231" customFormat="1" x14ac:dyDescent="0.25">
      <c r="C233" s="230"/>
      <c r="D233" s="230"/>
      <c r="E233" s="230"/>
      <c r="F233" s="230"/>
      <c r="G233" s="230"/>
      <c r="H233" s="230"/>
      <c r="I233" s="230"/>
      <c r="J233" s="230"/>
      <c r="K233" s="230"/>
      <c r="L233" s="230"/>
      <c r="M233" s="230"/>
      <c r="N233" s="230"/>
      <c r="O233" s="230"/>
    </row>
    <row r="234" spans="3:15" s="231" customFormat="1" x14ac:dyDescent="0.25">
      <c r="C234" s="230"/>
      <c r="D234" s="230"/>
      <c r="E234" s="230"/>
      <c r="F234" s="230"/>
      <c r="G234" s="230"/>
      <c r="H234" s="230"/>
      <c r="I234" s="230"/>
      <c r="J234" s="230"/>
      <c r="K234" s="230"/>
      <c r="L234" s="230"/>
      <c r="M234" s="230"/>
      <c r="N234" s="230"/>
      <c r="O234" s="230"/>
    </row>
    <row r="235" spans="3:15" s="231" customFormat="1" x14ac:dyDescent="0.25">
      <c r="C235" s="230"/>
      <c r="D235" s="230"/>
      <c r="E235" s="230"/>
      <c r="F235" s="230"/>
      <c r="G235" s="230"/>
      <c r="H235" s="230"/>
      <c r="I235" s="230"/>
      <c r="J235" s="230"/>
      <c r="K235" s="230"/>
      <c r="L235" s="230"/>
      <c r="M235" s="230"/>
      <c r="N235" s="230"/>
      <c r="O235" s="230"/>
    </row>
    <row r="236" spans="3:15" s="231" customFormat="1" x14ac:dyDescent="0.25">
      <c r="C236" s="230"/>
      <c r="D236" s="230"/>
      <c r="E236" s="230"/>
      <c r="F236" s="230"/>
      <c r="G236" s="230"/>
      <c r="H236" s="230"/>
      <c r="I236" s="230"/>
      <c r="J236" s="230"/>
      <c r="K236" s="230"/>
      <c r="L236" s="230"/>
      <c r="M236" s="230"/>
      <c r="N236" s="230"/>
      <c r="O236" s="230"/>
    </row>
    <row r="237" spans="3:15" s="231" customFormat="1" x14ac:dyDescent="0.25">
      <c r="C237" s="230"/>
      <c r="D237" s="230"/>
      <c r="E237" s="230"/>
      <c r="F237" s="230"/>
      <c r="G237" s="230"/>
      <c r="H237" s="230"/>
      <c r="I237" s="230"/>
      <c r="J237" s="230"/>
      <c r="K237" s="230"/>
      <c r="L237" s="230"/>
      <c r="M237" s="230"/>
      <c r="N237" s="230"/>
      <c r="O237" s="230"/>
    </row>
    <row r="238" spans="3:15" s="231" customFormat="1" x14ac:dyDescent="0.25">
      <c r="C238" s="230"/>
      <c r="D238" s="230"/>
      <c r="E238" s="230"/>
      <c r="F238" s="230"/>
      <c r="G238" s="230"/>
      <c r="H238" s="230"/>
      <c r="I238" s="230"/>
      <c r="J238" s="230"/>
      <c r="K238" s="230"/>
      <c r="L238" s="230"/>
      <c r="M238" s="230"/>
      <c r="N238" s="230"/>
      <c r="O238" s="230"/>
    </row>
    <row r="239" spans="3:15" s="231" customFormat="1" x14ac:dyDescent="0.25">
      <c r="C239" s="230"/>
      <c r="D239" s="230"/>
      <c r="E239" s="230"/>
      <c r="F239" s="230"/>
      <c r="G239" s="230"/>
      <c r="H239" s="230"/>
      <c r="I239" s="230"/>
      <c r="J239" s="230"/>
      <c r="K239" s="230"/>
      <c r="L239" s="230"/>
      <c r="M239" s="230"/>
      <c r="N239" s="230"/>
      <c r="O239" s="230"/>
    </row>
    <row r="240" spans="3:15" s="231" customFormat="1" x14ac:dyDescent="0.25">
      <c r="C240" s="230"/>
      <c r="D240" s="230"/>
      <c r="E240" s="230"/>
      <c r="F240" s="230"/>
      <c r="G240" s="230"/>
      <c r="H240" s="230"/>
      <c r="I240" s="230"/>
      <c r="J240" s="230"/>
      <c r="K240" s="230"/>
      <c r="L240" s="230"/>
      <c r="M240" s="230"/>
      <c r="N240" s="230"/>
      <c r="O240" s="230"/>
    </row>
    <row r="241" spans="3:15" s="231" customFormat="1" x14ac:dyDescent="0.25">
      <c r="C241" s="230"/>
      <c r="D241" s="230"/>
      <c r="E241" s="230"/>
      <c r="F241" s="230"/>
      <c r="G241" s="230"/>
      <c r="H241" s="230"/>
      <c r="I241" s="230"/>
      <c r="J241" s="230"/>
      <c r="K241" s="230"/>
      <c r="L241" s="230"/>
      <c r="M241" s="230"/>
      <c r="N241" s="230"/>
      <c r="O241" s="230"/>
    </row>
    <row r="242" spans="3:15" s="231" customFormat="1" x14ac:dyDescent="0.25">
      <c r="C242" s="230"/>
      <c r="D242" s="230"/>
      <c r="E242" s="230"/>
      <c r="F242" s="230"/>
      <c r="G242" s="230"/>
      <c r="H242" s="230"/>
      <c r="I242" s="230"/>
      <c r="J242" s="230"/>
      <c r="K242" s="230"/>
      <c r="L242" s="230"/>
      <c r="M242" s="230"/>
      <c r="N242" s="230"/>
      <c r="O242" s="230"/>
    </row>
    <row r="243" spans="3:15" s="231" customFormat="1" x14ac:dyDescent="0.25">
      <c r="C243" s="230"/>
      <c r="D243" s="230"/>
      <c r="E243" s="230"/>
      <c r="F243" s="230"/>
      <c r="G243" s="230"/>
      <c r="H243" s="230"/>
      <c r="I243" s="230"/>
      <c r="J243" s="230"/>
      <c r="K243" s="230"/>
      <c r="L243" s="230"/>
      <c r="M243" s="230"/>
      <c r="N243" s="230"/>
      <c r="O243" s="230"/>
    </row>
    <row r="244" spans="3:15" s="231" customFormat="1" x14ac:dyDescent="0.25">
      <c r="C244" s="230"/>
      <c r="D244" s="230"/>
      <c r="E244" s="230"/>
      <c r="F244" s="230"/>
      <c r="G244" s="230"/>
      <c r="H244" s="230"/>
      <c r="I244" s="230"/>
      <c r="J244" s="230"/>
      <c r="K244" s="230"/>
      <c r="L244" s="230"/>
      <c r="M244" s="230"/>
      <c r="N244" s="230"/>
      <c r="O244" s="230"/>
    </row>
    <row r="245" spans="3:15" s="231" customFormat="1" x14ac:dyDescent="0.25">
      <c r="C245" s="230"/>
      <c r="D245" s="230"/>
      <c r="E245" s="230"/>
      <c r="F245" s="230"/>
      <c r="G245" s="230"/>
      <c r="H245" s="230"/>
      <c r="I245" s="230"/>
      <c r="J245" s="230"/>
      <c r="K245" s="230"/>
      <c r="L245" s="230"/>
      <c r="M245" s="230"/>
      <c r="N245" s="230"/>
      <c r="O245" s="230"/>
    </row>
    <row r="246" spans="3:15" s="231" customFormat="1" x14ac:dyDescent="0.25">
      <c r="C246" s="230"/>
      <c r="D246" s="230"/>
      <c r="E246" s="230"/>
      <c r="F246" s="230"/>
      <c r="G246" s="230"/>
      <c r="H246" s="230"/>
      <c r="I246" s="230"/>
      <c r="J246" s="230"/>
      <c r="K246" s="230"/>
      <c r="L246" s="230"/>
      <c r="M246" s="230"/>
      <c r="N246" s="230"/>
      <c r="O246" s="230"/>
    </row>
    <row r="247" spans="3:15" s="231" customFormat="1" x14ac:dyDescent="0.25">
      <c r="C247" s="230"/>
      <c r="D247" s="230"/>
      <c r="E247" s="230"/>
      <c r="F247" s="230"/>
      <c r="G247" s="230"/>
      <c r="H247" s="230"/>
      <c r="I247" s="230"/>
      <c r="J247" s="230"/>
      <c r="K247" s="230"/>
      <c r="L247" s="230"/>
      <c r="M247" s="230"/>
      <c r="N247" s="230"/>
      <c r="O247" s="230"/>
    </row>
    <row r="248" spans="3:15" s="231" customFormat="1" x14ac:dyDescent="0.25">
      <c r="C248" s="230"/>
      <c r="D248" s="230"/>
      <c r="E248" s="230"/>
      <c r="F248" s="230"/>
      <c r="G248" s="230"/>
      <c r="H248" s="230"/>
      <c r="I248" s="230"/>
      <c r="J248" s="230"/>
      <c r="K248" s="230"/>
      <c r="L248" s="230"/>
      <c r="M248" s="230"/>
      <c r="N248" s="230"/>
      <c r="O248" s="230"/>
    </row>
    <row r="249" spans="3:15" s="231" customFormat="1" x14ac:dyDescent="0.25">
      <c r="C249" s="230"/>
      <c r="D249" s="230"/>
      <c r="E249" s="230"/>
      <c r="F249" s="230"/>
      <c r="G249" s="230"/>
      <c r="H249" s="230"/>
      <c r="I249" s="230"/>
      <c r="J249" s="230"/>
      <c r="K249" s="230"/>
      <c r="L249" s="230"/>
      <c r="M249" s="230"/>
      <c r="N249" s="230"/>
      <c r="O249" s="230"/>
    </row>
    <row r="250" spans="3:15" s="231" customFormat="1" x14ac:dyDescent="0.25">
      <c r="C250" s="230"/>
      <c r="D250" s="230"/>
      <c r="E250" s="230"/>
      <c r="F250" s="230"/>
      <c r="G250" s="230"/>
      <c r="H250" s="230"/>
      <c r="I250" s="230"/>
      <c r="J250" s="230"/>
      <c r="K250" s="230"/>
      <c r="L250" s="230"/>
      <c r="M250" s="230"/>
      <c r="N250" s="230"/>
      <c r="O250" s="230"/>
    </row>
    <row r="251" spans="3:15" s="231" customFormat="1" x14ac:dyDescent="0.25">
      <c r="C251" s="230"/>
      <c r="D251" s="230"/>
      <c r="E251" s="230"/>
      <c r="F251" s="230"/>
      <c r="G251" s="230"/>
      <c r="H251" s="230"/>
      <c r="I251" s="230"/>
      <c r="J251" s="230"/>
      <c r="K251" s="230"/>
      <c r="L251" s="230"/>
      <c r="M251" s="230"/>
      <c r="N251" s="230"/>
      <c r="O251" s="230"/>
    </row>
    <row r="252" spans="3:15" s="231" customFormat="1" x14ac:dyDescent="0.25">
      <c r="C252" s="230"/>
      <c r="D252" s="230"/>
      <c r="E252" s="230"/>
      <c r="F252" s="230"/>
      <c r="G252" s="230"/>
      <c r="H252" s="230"/>
      <c r="I252" s="230"/>
      <c r="J252" s="230"/>
      <c r="K252" s="230"/>
      <c r="L252" s="230"/>
      <c r="M252" s="230"/>
      <c r="N252" s="230"/>
      <c r="O252" s="230"/>
    </row>
    <row r="253" spans="3:15" s="231" customFormat="1" x14ac:dyDescent="0.25">
      <c r="C253" s="230"/>
      <c r="D253" s="230"/>
      <c r="E253" s="230"/>
      <c r="F253" s="230"/>
      <c r="G253" s="230"/>
      <c r="H253" s="230"/>
      <c r="I253" s="230"/>
      <c r="J253" s="230"/>
      <c r="K253" s="230"/>
      <c r="L253" s="230"/>
      <c r="M253" s="230"/>
      <c r="N253" s="230"/>
      <c r="O253" s="230"/>
    </row>
    <row r="254" spans="3:15" s="231" customFormat="1" x14ac:dyDescent="0.25">
      <c r="C254" s="230"/>
      <c r="D254" s="230"/>
      <c r="E254" s="230"/>
      <c r="F254" s="230"/>
      <c r="G254" s="230"/>
      <c r="H254" s="230"/>
      <c r="I254" s="230"/>
      <c r="J254" s="230"/>
      <c r="K254" s="230"/>
      <c r="L254" s="230"/>
      <c r="M254" s="230"/>
      <c r="N254" s="230"/>
      <c r="O254" s="230"/>
    </row>
    <row r="255" spans="3:15" s="231" customFormat="1" x14ac:dyDescent="0.25">
      <c r="C255" s="230"/>
      <c r="D255" s="230"/>
      <c r="E255" s="230"/>
      <c r="F255" s="230"/>
      <c r="G255" s="230"/>
      <c r="H255" s="230"/>
      <c r="I255" s="230"/>
      <c r="J255" s="230"/>
      <c r="K255" s="230"/>
      <c r="L255" s="230"/>
      <c r="M255" s="230"/>
      <c r="N255" s="230"/>
      <c r="O255" s="230"/>
    </row>
    <row r="256" spans="3:15" s="231" customFormat="1" x14ac:dyDescent="0.25">
      <c r="C256" s="230"/>
      <c r="D256" s="230"/>
      <c r="E256" s="230"/>
      <c r="F256" s="230"/>
      <c r="G256" s="230"/>
      <c r="H256" s="230"/>
      <c r="I256" s="230"/>
      <c r="J256" s="230"/>
      <c r="K256" s="230"/>
      <c r="L256" s="230"/>
      <c r="M256" s="230"/>
      <c r="N256" s="230"/>
      <c r="O256" s="230"/>
    </row>
    <row r="257" spans="3:15" s="231" customFormat="1" x14ac:dyDescent="0.25">
      <c r="C257" s="230"/>
      <c r="D257" s="230"/>
      <c r="E257" s="230"/>
      <c r="F257" s="230"/>
      <c r="G257" s="230"/>
      <c r="H257" s="230"/>
      <c r="I257" s="230"/>
      <c r="J257" s="230"/>
      <c r="K257" s="230"/>
      <c r="L257" s="230"/>
      <c r="M257" s="230"/>
      <c r="N257" s="230"/>
      <c r="O257" s="230"/>
    </row>
    <row r="258" spans="3:15" s="231" customFormat="1" x14ac:dyDescent="0.25">
      <c r="C258" s="230"/>
      <c r="D258" s="230"/>
      <c r="E258" s="230"/>
      <c r="F258" s="230"/>
      <c r="G258" s="230"/>
      <c r="H258" s="230"/>
      <c r="I258" s="230"/>
      <c r="J258" s="230"/>
      <c r="K258" s="230"/>
      <c r="L258" s="230"/>
      <c r="M258" s="230"/>
      <c r="N258" s="230"/>
      <c r="O258" s="230"/>
    </row>
    <row r="259" spans="3:15" s="231" customFormat="1" x14ac:dyDescent="0.25">
      <c r="C259" s="230"/>
      <c r="D259" s="230"/>
      <c r="E259" s="230"/>
      <c r="F259" s="230"/>
      <c r="G259" s="230"/>
      <c r="H259" s="230"/>
      <c r="I259" s="230"/>
      <c r="J259" s="230"/>
      <c r="K259" s="230"/>
      <c r="L259" s="230"/>
      <c r="M259" s="230"/>
      <c r="N259" s="230"/>
      <c r="O259" s="230"/>
    </row>
    <row r="260" spans="3:15" s="231" customFormat="1" x14ac:dyDescent="0.25">
      <c r="C260" s="230"/>
      <c r="D260" s="230"/>
      <c r="E260" s="230"/>
      <c r="F260" s="230"/>
      <c r="G260" s="230"/>
      <c r="H260" s="230"/>
      <c r="I260" s="230"/>
      <c r="J260" s="230"/>
      <c r="K260" s="230"/>
      <c r="L260" s="230"/>
      <c r="M260" s="230"/>
      <c r="N260" s="230"/>
      <c r="O260" s="230"/>
    </row>
    <row r="261" spans="3:15" s="231" customFormat="1" x14ac:dyDescent="0.25">
      <c r="C261" s="230"/>
      <c r="D261" s="230"/>
      <c r="E261" s="230"/>
      <c r="F261" s="230"/>
      <c r="G261" s="230"/>
      <c r="H261" s="230"/>
      <c r="I261" s="230"/>
      <c r="J261" s="230"/>
      <c r="K261" s="230"/>
      <c r="L261" s="230"/>
      <c r="M261" s="230"/>
      <c r="N261" s="230"/>
      <c r="O261" s="230"/>
    </row>
    <row r="262" spans="3:15" s="231" customFormat="1" x14ac:dyDescent="0.25">
      <c r="C262" s="230"/>
      <c r="D262" s="230"/>
      <c r="E262" s="230"/>
      <c r="F262" s="230"/>
      <c r="G262" s="230"/>
      <c r="H262" s="230"/>
      <c r="I262" s="230"/>
      <c r="J262" s="230"/>
      <c r="K262" s="230"/>
      <c r="L262" s="230"/>
      <c r="M262" s="230"/>
      <c r="N262" s="230"/>
      <c r="O262" s="230"/>
    </row>
    <row r="263" spans="3:15" s="231" customFormat="1" x14ac:dyDescent="0.25">
      <c r="C263" s="230"/>
      <c r="D263" s="230"/>
      <c r="E263" s="230"/>
      <c r="F263" s="230"/>
      <c r="G263" s="230"/>
      <c r="H263" s="230"/>
      <c r="I263" s="230"/>
      <c r="J263" s="230"/>
      <c r="K263" s="230"/>
      <c r="L263" s="230"/>
      <c r="M263" s="230"/>
      <c r="N263" s="230"/>
      <c r="O263" s="230"/>
    </row>
    <row r="264" spans="3:15" s="231" customFormat="1" x14ac:dyDescent="0.25">
      <c r="C264" s="230"/>
      <c r="D264" s="230"/>
      <c r="E264" s="230"/>
      <c r="F264" s="230"/>
      <c r="G264" s="230"/>
      <c r="H264" s="230"/>
      <c r="I264" s="230"/>
      <c r="J264" s="230"/>
      <c r="K264" s="230"/>
      <c r="L264" s="230"/>
      <c r="M264" s="230"/>
      <c r="N264" s="230"/>
      <c r="O264" s="230"/>
    </row>
    <row r="265" spans="3:15" s="231" customFormat="1" x14ac:dyDescent="0.25">
      <c r="C265" s="230"/>
      <c r="D265" s="230"/>
      <c r="E265" s="230"/>
      <c r="F265" s="230"/>
      <c r="G265" s="230"/>
      <c r="H265" s="230"/>
      <c r="I265" s="230"/>
      <c r="J265" s="230"/>
      <c r="K265" s="230"/>
      <c r="L265" s="230"/>
      <c r="M265" s="230"/>
      <c r="N265" s="230"/>
      <c r="O265" s="230"/>
    </row>
    <row r="266" spans="3:15" s="231" customFormat="1" x14ac:dyDescent="0.25">
      <c r="C266" s="230"/>
      <c r="D266" s="230"/>
      <c r="E266" s="230"/>
      <c r="F266" s="230"/>
      <c r="G266" s="230"/>
      <c r="H266" s="230"/>
      <c r="I266" s="230"/>
      <c r="J266" s="230"/>
      <c r="K266" s="230"/>
      <c r="L266" s="230"/>
      <c r="M266" s="230"/>
      <c r="N266" s="230"/>
      <c r="O266" s="230"/>
    </row>
    <row r="267" spans="3:15" s="231" customFormat="1" x14ac:dyDescent="0.25">
      <c r="C267" s="230"/>
      <c r="D267" s="230"/>
      <c r="E267" s="230"/>
      <c r="F267" s="230"/>
      <c r="G267" s="230"/>
      <c r="H267" s="230"/>
      <c r="I267" s="230"/>
      <c r="J267" s="230"/>
      <c r="K267" s="230"/>
      <c r="L267" s="230"/>
      <c r="M267" s="230"/>
      <c r="N267" s="230"/>
      <c r="O267" s="230"/>
    </row>
    <row r="268" spans="3:15" s="231" customFormat="1" x14ac:dyDescent="0.25">
      <c r="C268" s="230"/>
      <c r="D268" s="230"/>
      <c r="E268" s="230"/>
      <c r="F268" s="230"/>
      <c r="G268" s="230"/>
      <c r="H268" s="230"/>
      <c r="I268" s="230"/>
      <c r="J268" s="230"/>
      <c r="K268" s="230"/>
      <c r="L268" s="230"/>
      <c r="M268" s="230"/>
      <c r="N268" s="230"/>
      <c r="O268" s="230"/>
    </row>
    <row r="269" spans="3:15" s="231" customFormat="1" x14ac:dyDescent="0.25">
      <c r="C269" s="230"/>
      <c r="D269" s="230"/>
      <c r="E269" s="230"/>
      <c r="F269" s="230"/>
      <c r="G269" s="230"/>
      <c r="H269" s="230"/>
      <c r="I269" s="230"/>
      <c r="J269" s="230"/>
      <c r="K269" s="230"/>
      <c r="L269" s="230"/>
      <c r="M269" s="230"/>
      <c r="N269" s="230"/>
      <c r="O269" s="230"/>
    </row>
    <row r="270" spans="3:15" s="231" customFormat="1" x14ac:dyDescent="0.25">
      <c r="C270" s="230"/>
      <c r="D270" s="230"/>
      <c r="E270" s="230"/>
      <c r="F270" s="230"/>
      <c r="G270" s="230"/>
      <c r="H270" s="230"/>
      <c r="I270" s="230"/>
      <c r="J270" s="230"/>
      <c r="K270" s="230"/>
      <c r="L270" s="230"/>
      <c r="M270" s="230"/>
      <c r="N270" s="230"/>
      <c r="O270" s="230"/>
    </row>
    <row r="271" spans="3:15" s="231" customFormat="1" x14ac:dyDescent="0.25">
      <c r="C271" s="230"/>
      <c r="D271" s="230"/>
      <c r="E271" s="230"/>
      <c r="F271" s="230"/>
      <c r="G271" s="230"/>
      <c r="H271" s="230"/>
      <c r="I271" s="230"/>
      <c r="J271" s="230"/>
      <c r="K271" s="230"/>
      <c r="L271" s="230"/>
      <c r="M271" s="230"/>
      <c r="N271" s="230"/>
      <c r="O271" s="230"/>
    </row>
    <row r="272" spans="3:15" s="231" customFormat="1" x14ac:dyDescent="0.25">
      <c r="C272" s="230"/>
      <c r="D272" s="230"/>
      <c r="E272" s="230"/>
      <c r="F272" s="230"/>
      <c r="G272" s="230"/>
      <c r="H272" s="230"/>
      <c r="I272" s="230"/>
      <c r="J272" s="230"/>
      <c r="K272" s="230"/>
      <c r="L272" s="230"/>
      <c r="M272" s="230"/>
      <c r="N272" s="230"/>
      <c r="O272" s="230"/>
    </row>
    <row r="273" spans="3:15" s="231" customFormat="1" x14ac:dyDescent="0.25">
      <c r="C273" s="230"/>
      <c r="D273" s="230"/>
      <c r="E273" s="230"/>
      <c r="F273" s="230"/>
      <c r="G273" s="230"/>
      <c r="H273" s="230"/>
      <c r="I273" s="230"/>
      <c r="J273" s="230"/>
      <c r="K273" s="230"/>
      <c r="L273" s="230"/>
      <c r="M273" s="230"/>
      <c r="N273" s="230"/>
      <c r="O273" s="230"/>
    </row>
    <row r="274" spans="3:15" s="231" customFormat="1" x14ac:dyDescent="0.25">
      <c r="C274" s="230"/>
      <c r="D274" s="230"/>
      <c r="E274" s="230"/>
      <c r="F274" s="230"/>
      <c r="G274" s="230"/>
      <c r="H274" s="230"/>
      <c r="I274" s="230"/>
      <c r="J274" s="230"/>
      <c r="K274" s="230"/>
      <c r="L274" s="230"/>
      <c r="M274" s="230"/>
      <c r="N274" s="230"/>
      <c r="O274" s="230"/>
    </row>
    <row r="275" spans="3:15" s="231" customFormat="1" x14ac:dyDescent="0.25">
      <c r="C275" s="230"/>
      <c r="D275" s="230"/>
      <c r="E275" s="230"/>
      <c r="F275" s="230"/>
      <c r="G275" s="230"/>
      <c r="H275" s="230"/>
      <c r="I275" s="230"/>
      <c r="J275" s="230"/>
      <c r="K275" s="230"/>
      <c r="L275" s="230"/>
      <c r="M275" s="230"/>
      <c r="N275" s="230"/>
      <c r="O275" s="230"/>
    </row>
    <row r="276" spans="3:15" s="231" customFormat="1" x14ac:dyDescent="0.25">
      <c r="C276" s="230"/>
      <c r="D276" s="230"/>
      <c r="E276" s="230"/>
      <c r="F276" s="230"/>
      <c r="G276" s="230"/>
      <c r="H276" s="230"/>
      <c r="I276" s="230"/>
      <c r="J276" s="230"/>
      <c r="K276" s="230"/>
      <c r="L276" s="230"/>
      <c r="M276" s="230"/>
      <c r="N276" s="230"/>
      <c r="O276" s="230"/>
    </row>
    <row r="277" spans="3:15" s="231" customFormat="1" x14ac:dyDescent="0.25">
      <c r="C277" s="230"/>
      <c r="D277" s="230"/>
      <c r="E277" s="230"/>
      <c r="F277" s="230"/>
      <c r="G277" s="230"/>
      <c r="H277" s="230"/>
      <c r="I277" s="230"/>
      <c r="J277" s="230"/>
      <c r="K277" s="230"/>
      <c r="L277" s="230"/>
      <c r="M277" s="230"/>
      <c r="N277" s="230"/>
      <c r="O277" s="230"/>
    </row>
    <row r="278" spans="3:15" s="231" customFormat="1" x14ac:dyDescent="0.25">
      <c r="C278" s="230"/>
      <c r="D278" s="230"/>
      <c r="E278" s="230"/>
      <c r="F278" s="230"/>
      <c r="G278" s="230"/>
      <c r="H278" s="230"/>
      <c r="I278" s="230"/>
      <c r="J278" s="230"/>
      <c r="K278" s="230"/>
      <c r="L278" s="230"/>
      <c r="M278" s="230"/>
      <c r="N278" s="230"/>
      <c r="O278" s="230"/>
    </row>
    <row r="279" spans="3:15" s="231" customFormat="1" x14ac:dyDescent="0.25">
      <c r="C279" s="230"/>
      <c r="D279" s="230"/>
      <c r="E279" s="230"/>
      <c r="F279" s="230"/>
      <c r="G279" s="230"/>
      <c r="H279" s="230"/>
      <c r="I279" s="230"/>
      <c r="J279" s="230"/>
      <c r="K279" s="230"/>
      <c r="L279" s="230"/>
      <c r="M279" s="230"/>
      <c r="N279" s="230"/>
      <c r="O279" s="230"/>
    </row>
    <row r="280" spans="3:15" s="231" customFormat="1" x14ac:dyDescent="0.25">
      <c r="C280" s="230"/>
      <c r="D280" s="230"/>
      <c r="E280" s="230"/>
      <c r="F280" s="230"/>
      <c r="G280" s="230"/>
      <c r="H280" s="230"/>
      <c r="I280" s="230"/>
      <c r="J280" s="230"/>
      <c r="K280" s="230"/>
      <c r="L280" s="230"/>
      <c r="M280" s="230"/>
      <c r="N280" s="230"/>
      <c r="O280" s="230"/>
    </row>
    <row r="281" spans="3:15" s="231" customFormat="1" x14ac:dyDescent="0.25">
      <c r="C281" s="230"/>
      <c r="D281" s="230"/>
      <c r="E281" s="230"/>
      <c r="F281" s="230"/>
      <c r="G281" s="230"/>
      <c r="H281" s="230"/>
      <c r="I281" s="230"/>
      <c r="J281" s="230"/>
      <c r="K281" s="230"/>
      <c r="L281" s="230"/>
      <c r="M281" s="230"/>
      <c r="N281" s="230"/>
      <c r="O281" s="230"/>
    </row>
    <row r="282" spans="3:15" s="231" customFormat="1" x14ac:dyDescent="0.25">
      <c r="C282" s="230"/>
      <c r="D282" s="230"/>
      <c r="E282" s="230"/>
      <c r="F282" s="230"/>
      <c r="G282" s="230"/>
      <c r="H282" s="230"/>
      <c r="I282" s="230"/>
      <c r="J282" s="230"/>
      <c r="K282" s="230"/>
      <c r="L282" s="230"/>
      <c r="M282" s="230"/>
      <c r="N282" s="230"/>
      <c r="O282" s="230"/>
    </row>
    <row r="283" spans="3:15" s="231" customFormat="1" x14ac:dyDescent="0.25">
      <c r="C283" s="230"/>
      <c r="D283" s="230"/>
      <c r="E283" s="230"/>
      <c r="F283" s="230"/>
      <c r="G283" s="230"/>
      <c r="H283" s="230"/>
      <c r="I283" s="230"/>
      <c r="J283" s="230"/>
      <c r="K283" s="230"/>
      <c r="L283" s="230"/>
      <c r="M283" s="230"/>
      <c r="N283" s="230"/>
      <c r="O283" s="230"/>
    </row>
    <row r="284" spans="3:15" s="231" customFormat="1" x14ac:dyDescent="0.25">
      <c r="C284" s="230"/>
      <c r="D284" s="230"/>
      <c r="E284" s="230"/>
      <c r="F284" s="230"/>
      <c r="G284" s="230"/>
      <c r="H284" s="230"/>
      <c r="I284" s="230"/>
      <c r="J284" s="230"/>
      <c r="K284" s="230"/>
      <c r="L284" s="230"/>
      <c r="M284" s="230"/>
      <c r="N284" s="230"/>
      <c r="O284" s="230"/>
    </row>
    <row r="285" spans="3:15" s="231" customFormat="1" x14ac:dyDescent="0.25">
      <c r="C285" s="230"/>
      <c r="D285" s="230"/>
      <c r="E285" s="230"/>
      <c r="F285" s="230"/>
      <c r="G285" s="230"/>
      <c r="H285" s="230"/>
      <c r="I285" s="230"/>
      <c r="J285" s="230"/>
      <c r="K285" s="230"/>
      <c r="L285" s="230"/>
      <c r="M285" s="230"/>
      <c r="N285" s="230"/>
      <c r="O285" s="230"/>
    </row>
    <row r="286" spans="3:15" s="231" customFormat="1" x14ac:dyDescent="0.25">
      <c r="C286" s="230"/>
      <c r="D286" s="230"/>
      <c r="E286" s="230"/>
      <c r="F286" s="230"/>
      <c r="G286" s="230"/>
      <c r="H286" s="230"/>
      <c r="I286" s="230"/>
      <c r="J286" s="230"/>
      <c r="K286" s="230"/>
      <c r="L286" s="230"/>
      <c r="M286" s="230"/>
      <c r="N286" s="230"/>
      <c r="O286" s="230"/>
    </row>
    <row r="287" spans="3:15" s="231" customFormat="1" x14ac:dyDescent="0.25">
      <c r="C287" s="230"/>
      <c r="D287" s="230"/>
      <c r="E287" s="230"/>
      <c r="F287" s="230"/>
      <c r="G287" s="230"/>
      <c r="H287" s="230"/>
      <c r="I287" s="230"/>
      <c r="J287" s="230"/>
      <c r="K287" s="230"/>
      <c r="L287" s="230"/>
      <c r="M287" s="230"/>
      <c r="N287" s="230"/>
      <c r="O287" s="230"/>
    </row>
    <row r="288" spans="3:15" s="231" customFormat="1" x14ac:dyDescent="0.25">
      <c r="C288" s="230"/>
      <c r="D288" s="230"/>
      <c r="E288" s="230"/>
      <c r="F288" s="230"/>
      <c r="G288" s="230"/>
      <c r="H288" s="230"/>
      <c r="I288" s="230"/>
      <c r="J288" s="230"/>
      <c r="K288" s="230"/>
      <c r="L288" s="230"/>
      <c r="M288" s="230"/>
      <c r="N288" s="230"/>
      <c r="O288" s="230"/>
    </row>
    <row r="289" spans="3:15" s="231" customFormat="1" x14ac:dyDescent="0.25">
      <c r="C289" s="230"/>
      <c r="D289" s="230"/>
      <c r="E289" s="230"/>
      <c r="F289" s="230"/>
      <c r="G289" s="230"/>
      <c r="H289" s="230"/>
      <c r="I289" s="230"/>
      <c r="J289" s="230"/>
      <c r="K289" s="230"/>
      <c r="L289" s="230"/>
      <c r="M289" s="230"/>
      <c r="N289" s="230"/>
      <c r="O289" s="230"/>
    </row>
    <row r="290" spans="3:15" s="231" customFormat="1" x14ac:dyDescent="0.25">
      <c r="C290" s="230"/>
      <c r="D290" s="230"/>
      <c r="E290" s="230"/>
      <c r="F290" s="230"/>
      <c r="G290" s="230"/>
      <c r="H290" s="230"/>
      <c r="I290" s="230"/>
      <c r="J290" s="230"/>
      <c r="K290" s="230"/>
      <c r="L290" s="230"/>
      <c r="M290" s="230"/>
      <c r="N290" s="230"/>
      <c r="O290" s="230"/>
    </row>
    <row r="291" spans="3:15" s="231" customFormat="1" x14ac:dyDescent="0.25">
      <c r="C291" s="230"/>
      <c r="D291" s="230"/>
      <c r="E291" s="230"/>
      <c r="F291" s="230"/>
      <c r="G291" s="230"/>
      <c r="H291" s="230"/>
      <c r="I291" s="230"/>
      <c r="J291" s="230"/>
      <c r="K291" s="230"/>
      <c r="L291" s="230"/>
      <c r="M291" s="230"/>
      <c r="N291" s="230"/>
      <c r="O291" s="230"/>
    </row>
    <row r="292" spans="3:15" s="231" customFormat="1" x14ac:dyDescent="0.25">
      <c r="C292" s="230"/>
      <c r="D292" s="230"/>
      <c r="E292" s="230"/>
      <c r="F292" s="230"/>
      <c r="G292" s="230"/>
      <c r="H292" s="230"/>
      <c r="I292" s="230"/>
      <c r="J292" s="230"/>
      <c r="K292" s="230"/>
      <c r="L292" s="230"/>
      <c r="M292" s="230"/>
      <c r="N292" s="230"/>
      <c r="O292" s="230"/>
    </row>
    <row r="293" spans="3:15" s="231" customFormat="1" x14ac:dyDescent="0.25">
      <c r="C293" s="230"/>
      <c r="D293" s="230"/>
      <c r="E293" s="230"/>
      <c r="F293" s="230"/>
      <c r="G293" s="230"/>
      <c r="H293" s="230"/>
      <c r="I293" s="230"/>
      <c r="J293" s="230"/>
      <c r="K293" s="230"/>
      <c r="L293" s="230"/>
      <c r="M293" s="230"/>
      <c r="N293" s="230"/>
      <c r="O293" s="230"/>
    </row>
    <row r="294" spans="3:15" s="231" customFormat="1" x14ac:dyDescent="0.25">
      <c r="C294" s="230"/>
      <c r="D294" s="230"/>
      <c r="E294" s="230"/>
      <c r="F294" s="230"/>
      <c r="G294" s="230"/>
      <c r="H294" s="230"/>
      <c r="I294" s="230"/>
      <c r="J294" s="230"/>
      <c r="K294" s="230"/>
      <c r="L294" s="230"/>
      <c r="M294" s="230"/>
      <c r="N294" s="230"/>
      <c r="O294" s="230"/>
    </row>
    <row r="295" spans="3:15" s="231" customFormat="1" x14ac:dyDescent="0.25">
      <c r="C295" s="230"/>
      <c r="D295" s="230"/>
      <c r="E295" s="230"/>
      <c r="F295" s="230"/>
      <c r="G295" s="230"/>
      <c r="H295" s="230"/>
      <c r="I295" s="230"/>
      <c r="J295" s="230"/>
      <c r="K295" s="230"/>
      <c r="L295" s="230"/>
      <c r="M295" s="230"/>
      <c r="N295" s="230"/>
      <c r="O295" s="230"/>
    </row>
    <row r="296" spans="3:15" s="231" customFormat="1" x14ac:dyDescent="0.25">
      <c r="C296" s="230"/>
      <c r="D296" s="230"/>
      <c r="E296" s="230"/>
      <c r="F296" s="230"/>
      <c r="G296" s="230"/>
      <c r="H296" s="230"/>
      <c r="I296" s="230"/>
      <c r="J296" s="230"/>
      <c r="K296" s="230"/>
      <c r="L296" s="230"/>
      <c r="M296" s="230"/>
      <c r="N296" s="230"/>
      <c r="O296" s="230"/>
    </row>
    <row r="297" spans="3:15" s="231" customFormat="1" x14ac:dyDescent="0.25">
      <c r="C297" s="230"/>
      <c r="D297" s="230"/>
      <c r="E297" s="230"/>
      <c r="F297" s="230"/>
      <c r="G297" s="230"/>
      <c r="H297" s="230"/>
      <c r="I297" s="230"/>
      <c r="J297" s="230"/>
      <c r="K297" s="230"/>
      <c r="L297" s="230"/>
      <c r="M297" s="230"/>
      <c r="N297" s="230"/>
      <c r="O297" s="230"/>
    </row>
    <row r="298" spans="3:15" s="231" customFormat="1" x14ac:dyDescent="0.25">
      <c r="C298" s="230"/>
      <c r="D298" s="230"/>
      <c r="E298" s="230"/>
      <c r="F298" s="230"/>
      <c r="G298" s="230"/>
      <c r="H298" s="230"/>
      <c r="I298" s="230"/>
      <c r="J298" s="230"/>
      <c r="K298" s="230"/>
      <c r="L298" s="230"/>
      <c r="M298" s="230"/>
      <c r="N298" s="230"/>
      <c r="O298" s="230"/>
    </row>
    <row r="299" spans="3:15" s="231" customFormat="1" x14ac:dyDescent="0.25">
      <c r="C299" s="230"/>
      <c r="D299" s="230"/>
      <c r="E299" s="230"/>
      <c r="F299" s="230"/>
      <c r="G299" s="230"/>
      <c r="H299" s="230"/>
      <c r="I299" s="230"/>
      <c r="J299" s="230"/>
      <c r="K299" s="230"/>
      <c r="L299" s="230"/>
      <c r="M299" s="230"/>
      <c r="N299" s="230"/>
      <c r="O299" s="230"/>
    </row>
    <row r="300" spans="3:15" s="231" customFormat="1" x14ac:dyDescent="0.25">
      <c r="C300" s="230"/>
      <c r="D300" s="230"/>
      <c r="E300" s="230"/>
      <c r="F300" s="230"/>
      <c r="G300" s="230"/>
      <c r="H300" s="230"/>
      <c r="I300" s="230"/>
      <c r="J300" s="230"/>
      <c r="K300" s="230"/>
      <c r="L300" s="230"/>
      <c r="M300" s="230"/>
      <c r="N300" s="230"/>
      <c r="O300" s="230"/>
    </row>
    <row r="301" spans="3:15" s="231" customFormat="1" x14ac:dyDescent="0.25">
      <c r="C301" s="230"/>
      <c r="D301" s="230"/>
      <c r="E301" s="230"/>
      <c r="F301" s="230"/>
      <c r="G301" s="230"/>
      <c r="H301" s="230"/>
      <c r="I301" s="230"/>
      <c r="J301" s="230"/>
      <c r="K301" s="230"/>
      <c r="L301" s="230"/>
      <c r="M301" s="230"/>
      <c r="N301" s="230"/>
      <c r="O301" s="230"/>
    </row>
    <row r="302" spans="3:15" s="231" customFormat="1" x14ac:dyDescent="0.25">
      <c r="C302" s="230"/>
      <c r="D302" s="230"/>
      <c r="E302" s="230"/>
      <c r="F302" s="230"/>
      <c r="G302" s="230"/>
      <c r="H302" s="230"/>
      <c r="I302" s="230"/>
      <c r="J302" s="230"/>
      <c r="K302" s="230"/>
      <c r="L302" s="230"/>
      <c r="M302" s="230"/>
      <c r="N302" s="230"/>
      <c r="O302" s="230"/>
    </row>
    <row r="303" spans="3:15" s="231" customFormat="1" x14ac:dyDescent="0.25">
      <c r="C303" s="230"/>
      <c r="D303" s="230"/>
      <c r="E303" s="230"/>
      <c r="F303" s="230"/>
      <c r="G303" s="230"/>
      <c r="H303" s="230"/>
      <c r="I303" s="230"/>
      <c r="J303" s="230"/>
      <c r="K303" s="230"/>
      <c r="L303" s="230"/>
      <c r="M303" s="230"/>
      <c r="N303" s="230"/>
      <c r="O303" s="230"/>
    </row>
    <row r="304" spans="3:15" s="231" customFormat="1" x14ac:dyDescent="0.25">
      <c r="C304" s="230"/>
      <c r="D304" s="230"/>
      <c r="E304" s="230"/>
      <c r="F304" s="230"/>
      <c r="G304" s="230"/>
      <c r="H304" s="230"/>
      <c r="I304" s="230"/>
      <c r="J304" s="230"/>
      <c r="K304" s="230"/>
      <c r="L304" s="230"/>
      <c r="M304" s="230"/>
      <c r="N304" s="230"/>
      <c r="O304" s="230"/>
    </row>
    <row r="305" spans="3:15" s="231" customFormat="1" x14ac:dyDescent="0.25">
      <c r="C305" s="230"/>
      <c r="D305" s="230"/>
      <c r="E305" s="230"/>
      <c r="F305" s="230"/>
      <c r="G305" s="230"/>
      <c r="H305" s="230"/>
      <c r="I305" s="230"/>
      <c r="J305" s="230"/>
      <c r="K305" s="230"/>
      <c r="L305" s="230"/>
      <c r="M305" s="230"/>
      <c r="N305" s="230"/>
      <c r="O305" s="230"/>
    </row>
    <row r="306" spans="3:15" s="231" customFormat="1" x14ac:dyDescent="0.25">
      <c r="C306" s="230"/>
      <c r="D306" s="230"/>
      <c r="E306" s="230"/>
      <c r="F306" s="230"/>
      <c r="G306" s="230"/>
      <c r="H306" s="230"/>
      <c r="I306" s="230"/>
      <c r="J306" s="230"/>
      <c r="K306" s="230"/>
      <c r="L306" s="230"/>
      <c r="M306" s="230"/>
      <c r="N306" s="230"/>
      <c r="O306" s="230"/>
    </row>
    <row r="307" spans="3:15" s="231" customFormat="1" x14ac:dyDescent="0.25">
      <c r="C307" s="230"/>
      <c r="D307" s="230"/>
      <c r="E307" s="230"/>
      <c r="F307" s="230"/>
      <c r="G307" s="230"/>
      <c r="H307" s="230"/>
      <c r="I307" s="230"/>
      <c r="J307" s="230"/>
      <c r="K307" s="230"/>
      <c r="L307" s="230"/>
      <c r="M307" s="230"/>
      <c r="N307" s="230"/>
      <c r="O307" s="230"/>
    </row>
    <row r="308" spans="3:15" s="231" customFormat="1" x14ac:dyDescent="0.25">
      <c r="C308" s="230"/>
      <c r="D308" s="230"/>
      <c r="E308" s="230"/>
      <c r="F308" s="230"/>
      <c r="G308" s="230"/>
      <c r="H308" s="230"/>
      <c r="I308" s="230"/>
      <c r="J308" s="230"/>
      <c r="K308" s="230"/>
      <c r="L308" s="230"/>
      <c r="M308" s="230"/>
      <c r="N308" s="230"/>
      <c r="O308" s="230"/>
    </row>
    <row r="309" spans="3:15" s="231" customFormat="1" x14ac:dyDescent="0.25">
      <c r="C309" s="230"/>
      <c r="D309" s="230"/>
      <c r="E309" s="230"/>
      <c r="F309" s="230"/>
      <c r="G309" s="230"/>
      <c r="H309" s="230"/>
      <c r="I309" s="230"/>
      <c r="J309" s="230"/>
      <c r="K309" s="230"/>
      <c r="L309" s="230"/>
      <c r="M309" s="230"/>
      <c r="N309" s="230"/>
      <c r="O309" s="230"/>
    </row>
    <row r="310" spans="3:15" s="231" customFormat="1" x14ac:dyDescent="0.25">
      <c r="C310" s="230"/>
      <c r="D310" s="230"/>
      <c r="E310" s="230"/>
      <c r="F310" s="230"/>
      <c r="G310" s="230"/>
      <c r="H310" s="230"/>
      <c r="I310" s="230"/>
      <c r="J310" s="230"/>
      <c r="K310" s="230"/>
      <c r="L310" s="230"/>
      <c r="M310" s="230"/>
      <c r="N310" s="230"/>
      <c r="O310" s="230"/>
    </row>
    <row r="311" spans="3:15" s="231" customFormat="1" x14ac:dyDescent="0.25">
      <c r="C311" s="230"/>
      <c r="D311" s="230"/>
      <c r="E311" s="230"/>
      <c r="F311" s="230"/>
      <c r="G311" s="230"/>
      <c r="H311" s="230"/>
      <c r="I311" s="230"/>
      <c r="J311" s="230"/>
      <c r="K311" s="230"/>
      <c r="L311" s="230"/>
      <c r="M311" s="230"/>
      <c r="N311" s="230"/>
      <c r="O311" s="230"/>
    </row>
    <row r="312" spans="3:15" s="231" customFormat="1" x14ac:dyDescent="0.25">
      <c r="C312" s="230"/>
      <c r="D312" s="230"/>
      <c r="E312" s="230"/>
      <c r="F312" s="230"/>
      <c r="G312" s="230"/>
      <c r="H312" s="230"/>
      <c r="I312" s="230"/>
      <c r="J312" s="230"/>
      <c r="K312" s="230"/>
      <c r="L312" s="230"/>
      <c r="M312" s="230"/>
      <c r="N312" s="230"/>
      <c r="O312" s="230"/>
    </row>
    <row r="313" spans="3:15" s="231" customFormat="1" x14ac:dyDescent="0.25">
      <c r="C313" s="230"/>
      <c r="D313" s="230"/>
      <c r="E313" s="230"/>
      <c r="F313" s="230"/>
      <c r="G313" s="230"/>
      <c r="H313" s="230"/>
      <c r="I313" s="230"/>
      <c r="J313" s="230"/>
      <c r="K313" s="230"/>
      <c r="L313" s="230"/>
      <c r="M313" s="230"/>
      <c r="N313" s="230"/>
      <c r="O313" s="230"/>
    </row>
    <row r="314" spans="3:15" s="231" customFormat="1" x14ac:dyDescent="0.25">
      <c r="C314" s="230"/>
      <c r="D314" s="230"/>
      <c r="E314" s="230"/>
      <c r="F314" s="230"/>
      <c r="G314" s="230"/>
      <c r="H314" s="230"/>
      <c r="I314" s="230"/>
      <c r="J314" s="230"/>
      <c r="K314" s="230"/>
      <c r="L314" s="230"/>
      <c r="M314" s="230"/>
      <c r="N314" s="230"/>
      <c r="O314" s="230"/>
    </row>
    <row r="315" spans="3:15" s="231" customFormat="1" x14ac:dyDescent="0.25">
      <c r="C315" s="230"/>
      <c r="D315" s="230"/>
      <c r="E315" s="230"/>
      <c r="F315" s="230"/>
      <c r="G315" s="230"/>
      <c r="H315" s="230"/>
      <c r="I315" s="230"/>
      <c r="J315" s="230"/>
      <c r="K315" s="230"/>
      <c r="L315" s="230"/>
      <c r="M315" s="230"/>
      <c r="N315" s="230"/>
      <c r="O315" s="230"/>
    </row>
    <row r="316" spans="3:15" s="231" customFormat="1" x14ac:dyDescent="0.25">
      <c r="C316" s="230"/>
      <c r="D316" s="230"/>
      <c r="E316" s="230"/>
      <c r="F316" s="230"/>
      <c r="G316" s="230"/>
      <c r="H316" s="230"/>
      <c r="I316" s="230"/>
      <c r="J316" s="230"/>
      <c r="K316" s="230"/>
      <c r="L316" s="230"/>
      <c r="M316" s="230"/>
      <c r="N316" s="230"/>
      <c r="O316" s="230"/>
    </row>
    <row r="317" spans="3:15" s="231" customFormat="1" x14ac:dyDescent="0.25">
      <c r="C317" s="230"/>
      <c r="D317" s="230"/>
      <c r="E317" s="230"/>
      <c r="F317" s="230"/>
      <c r="G317" s="230"/>
      <c r="H317" s="230"/>
      <c r="I317" s="230"/>
      <c r="J317" s="230"/>
      <c r="K317" s="230"/>
      <c r="L317" s="230"/>
      <c r="M317" s="230"/>
      <c r="N317" s="230"/>
      <c r="O317" s="230"/>
    </row>
    <row r="318" spans="3:15" s="231" customFormat="1" x14ac:dyDescent="0.25">
      <c r="C318" s="230"/>
      <c r="D318" s="230"/>
      <c r="E318" s="230"/>
      <c r="F318" s="230"/>
      <c r="G318" s="230"/>
      <c r="H318" s="230"/>
      <c r="I318" s="230"/>
      <c r="J318" s="230"/>
      <c r="K318" s="230"/>
      <c r="L318" s="230"/>
      <c r="M318" s="230"/>
      <c r="N318" s="230"/>
      <c r="O318" s="230"/>
    </row>
    <row r="319" spans="3:15" s="231" customFormat="1" x14ac:dyDescent="0.25">
      <c r="C319" s="230"/>
      <c r="D319" s="230"/>
      <c r="E319" s="230"/>
      <c r="F319" s="230"/>
      <c r="G319" s="230"/>
      <c r="H319" s="230"/>
      <c r="I319" s="230"/>
      <c r="J319" s="230"/>
      <c r="K319" s="230"/>
      <c r="L319" s="230"/>
      <c r="M319" s="230"/>
      <c r="N319" s="230"/>
      <c r="O319" s="230"/>
    </row>
    <row r="320" spans="3:15" s="231" customFormat="1" x14ac:dyDescent="0.25">
      <c r="C320" s="230"/>
      <c r="D320" s="230"/>
      <c r="E320" s="230"/>
      <c r="F320" s="230"/>
      <c r="G320" s="230"/>
      <c r="H320" s="230"/>
      <c r="I320" s="230"/>
      <c r="J320" s="230"/>
      <c r="K320" s="230"/>
      <c r="L320" s="230"/>
      <c r="M320" s="230"/>
      <c r="N320" s="230"/>
      <c r="O320" s="230"/>
    </row>
    <row r="321" spans="3:15" s="231" customFormat="1" x14ac:dyDescent="0.25">
      <c r="C321" s="230"/>
      <c r="D321" s="230"/>
      <c r="E321" s="230"/>
      <c r="F321" s="230"/>
      <c r="G321" s="230"/>
      <c r="H321" s="230"/>
      <c r="I321" s="230"/>
      <c r="J321" s="230"/>
      <c r="K321" s="230"/>
      <c r="L321" s="230"/>
      <c r="M321" s="230"/>
      <c r="N321" s="230"/>
      <c r="O321" s="230"/>
    </row>
    <row r="322" spans="3:15" s="231" customFormat="1" x14ac:dyDescent="0.25">
      <c r="C322" s="230"/>
      <c r="D322" s="230"/>
      <c r="E322" s="230"/>
      <c r="F322" s="230"/>
      <c r="G322" s="230"/>
      <c r="H322" s="230"/>
      <c r="I322" s="230"/>
      <c r="J322" s="230"/>
      <c r="K322" s="230"/>
      <c r="L322" s="230"/>
      <c r="M322" s="230"/>
      <c r="N322" s="230"/>
      <c r="O322" s="230"/>
    </row>
    <row r="323" spans="3:15" s="231" customFormat="1" x14ac:dyDescent="0.25">
      <c r="C323" s="230"/>
      <c r="D323" s="230"/>
      <c r="E323" s="230"/>
      <c r="F323" s="230"/>
      <c r="G323" s="230"/>
      <c r="H323" s="230"/>
      <c r="I323" s="230"/>
      <c r="J323" s="230"/>
      <c r="K323" s="230"/>
      <c r="L323" s="230"/>
      <c r="M323" s="230"/>
      <c r="N323" s="230"/>
      <c r="O323" s="230"/>
    </row>
    <row r="324" spans="3:15" s="231" customFormat="1" x14ac:dyDescent="0.25">
      <c r="C324" s="230"/>
      <c r="D324" s="230"/>
      <c r="E324" s="230"/>
      <c r="F324" s="230"/>
      <c r="G324" s="230"/>
      <c r="H324" s="230"/>
      <c r="I324" s="230"/>
      <c r="J324" s="230"/>
      <c r="K324" s="230"/>
      <c r="L324" s="230"/>
      <c r="M324" s="230"/>
      <c r="N324" s="230"/>
      <c r="O324" s="230"/>
    </row>
    <row r="325" spans="3:15" s="231" customFormat="1" x14ac:dyDescent="0.25">
      <c r="C325" s="230"/>
      <c r="D325" s="230"/>
      <c r="E325" s="230"/>
      <c r="F325" s="230"/>
      <c r="G325" s="230"/>
      <c r="H325" s="230"/>
      <c r="I325" s="230"/>
      <c r="J325" s="230"/>
      <c r="K325" s="230"/>
      <c r="L325" s="230"/>
      <c r="M325" s="230"/>
      <c r="N325" s="230"/>
      <c r="O325" s="230"/>
    </row>
    <row r="326" spans="3:15" s="231" customFormat="1" x14ac:dyDescent="0.25">
      <c r="C326" s="230"/>
      <c r="D326" s="230"/>
      <c r="E326" s="230"/>
      <c r="F326" s="230"/>
      <c r="G326" s="230"/>
      <c r="H326" s="230"/>
      <c r="I326" s="230"/>
      <c r="J326" s="230"/>
      <c r="K326" s="230"/>
      <c r="L326" s="230"/>
      <c r="M326" s="230"/>
      <c r="N326" s="230"/>
      <c r="O326" s="230"/>
    </row>
    <row r="327" spans="3:15" s="231" customFormat="1" x14ac:dyDescent="0.25">
      <c r="C327" s="230"/>
      <c r="D327" s="230"/>
      <c r="E327" s="230"/>
      <c r="F327" s="230"/>
      <c r="G327" s="230"/>
      <c r="H327" s="230"/>
      <c r="I327" s="230"/>
      <c r="J327" s="230"/>
      <c r="K327" s="230"/>
      <c r="L327" s="230"/>
      <c r="M327" s="230"/>
      <c r="N327" s="230"/>
      <c r="O327" s="230"/>
    </row>
    <row r="328" spans="3:15" s="231" customFormat="1" x14ac:dyDescent="0.25">
      <c r="C328" s="230"/>
      <c r="D328" s="230"/>
      <c r="E328" s="230"/>
      <c r="F328" s="230"/>
      <c r="G328" s="230"/>
      <c r="H328" s="230"/>
      <c r="I328" s="230"/>
      <c r="J328" s="230"/>
      <c r="K328" s="230"/>
      <c r="L328" s="230"/>
      <c r="M328" s="230"/>
      <c r="N328" s="230"/>
      <c r="O328" s="230"/>
    </row>
    <row r="329" spans="3:15" s="231" customFormat="1" x14ac:dyDescent="0.25">
      <c r="C329" s="230"/>
      <c r="D329" s="230"/>
      <c r="E329" s="230"/>
      <c r="F329" s="230"/>
      <c r="G329" s="230"/>
      <c r="H329" s="230"/>
      <c r="I329" s="230"/>
      <c r="J329" s="230"/>
      <c r="K329" s="230"/>
      <c r="L329" s="230"/>
      <c r="M329" s="230"/>
      <c r="N329" s="230"/>
      <c r="O329" s="230"/>
    </row>
    <row r="330" spans="3:15" s="231" customFormat="1" x14ac:dyDescent="0.25">
      <c r="C330" s="230"/>
      <c r="D330" s="230"/>
      <c r="E330" s="230"/>
      <c r="F330" s="230"/>
      <c r="G330" s="230"/>
      <c r="H330" s="230"/>
      <c r="I330" s="230"/>
      <c r="J330" s="230"/>
      <c r="K330" s="230"/>
      <c r="L330" s="230"/>
      <c r="M330" s="230"/>
      <c r="N330" s="230"/>
      <c r="O330" s="230"/>
    </row>
    <row r="331" spans="3:15" s="231" customFormat="1" x14ac:dyDescent="0.25">
      <c r="C331" s="230"/>
      <c r="D331" s="230"/>
      <c r="E331" s="230"/>
      <c r="F331" s="230"/>
      <c r="G331" s="230"/>
      <c r="H331" s="230"/>
      <c r="I331" s="230"/>
      <c r="J331" s="230"/>
      <c r="K331" s="230"/>
      <c r="L331" s="230"/>
      <c r="M331" s="230"/>
      <c r="N331" s="230"/>
      <c r="O331" s="230"/>
    </row>
    <row r="332" spans="3:15" s="231" customFormat="1" x14ac:dyDescent="0.25">
      <c r="C332" s="230"/>
      <c r="D332" s="230"/>
      <c r="E332" s="230"/>
      <c r="F332" s="230"/>
      <c r="G332" s="230"/>
      <c r="H332" s="230"/>
      <c r="I332" s="230"/>
      <c r="J332" s="230"/>
      <c r="K332" s="230"/>
      <c r="L332" s="230"/>
      <c r="M332" s="230"/>
      <c r="N332" s="230"/>
      <c r="O332" s="230"/>
    </row>
    <row r="333" spans="3:15" s="231" customFormat="1" x14ac:dyDescent="0.25">
      <c r="C333" s="230"/>
      <c r="D333" s="230"/>
      <c r="E333" s="230"/>
      <c r="F333" s="230"/>
      <c r="G333" s="230"/>
      <c r="H333" s="230"/>
      <c r="I333" s="230"/>
      <c r="J333" s="230"/>
      <c r="K333" s="230"/>
      <c r="L333" s="230"/>
      <c r="M333" s="230"/>
      <c r="N333" s="230"/>
      <c r="O333" s="230"/>
    </row>
    <row r="334" spans="3:15" s="231" customFormat="1" x14ac:dyDescent="0.25">
      <c r="C334" s="230"/>
      <c r="D334" s="230"/>
      <c r="E334" s="230"/>
      <c r="F334" s="230"/>
      <c r="G334" s="230"/>
      <c r="H334" s="230"/>
      <c r="I334" s="230"/>
      <c r="J334" s="230"/>
      <c r="K334" s="230"/>
      <c r="L334" s="230"/>
      <c r="M334" s="230"/>
      <c r="N334" s="230"/>
      <c r="O334" s="230"/>
    </row>
    <row r="335" spans="3:15" s="231" customFormat="1" x14ac:dyDescent="0.25">
      <c r="C335" s="230"/>
      <c r="D335" s="230"/>
      <c r="E335" s="230"/>
      <c r="F335" s="230"/>
      <c r="G335" s="230"/>
      <c r="H335" s="230"/>
      <c r="I335" s="230"/>
      <c r="J335" s="230"/>
      <c r="K335" s="230"/>
      <c r="L335" s="230"/>
      <c r="M335" s="230"/>
      <c r="N335" s="230"/>
      <c r="O335" s="230"/>
    </row>
    <row r="336" spans="3:15" s="231" customFormat="1" x14ac:dyDescent="0.25">
      <c r="C336" s="230"/>
      <c r="D336" s="230"/>
      <c r="E336" s="230"/>
      <c r="F336" s="230"/>
      <c r="G336" s="230"/>
      <c r="H336" s="230"/>
      <c r="I336" s="230"/>
      <c r="J336" s="230"/>
      <c r="K336" s="230"/>
      <c r="L336" s="230"/>
      <c r="M336" s="230"/>
      <c r="N336" s="230"/>
      <c r="O336" s="230"/>
    </row>
    <row r="337" spans="3:15" s="231" customFormat="1" x14ac:dyDescent="0.25">
      <c r="C337" s="230"/>
      <c r="D337" s="230"/>
      <c r="E337" s="230"/>
      <c r="F337" s="230"/>
      <c r="G337" s="230"/>
      <c r="H337" s="230"/>
      <c r="I337" s="230"/>
      <c r="J337" s="230"/>
      <c r="K337" s="230"/>
      <c r="L337" s="230"/>
      <c r="M337" s="230"/>
      <c r="N337" s="230"/>
      <c r="O337" s="230"/>
    </row>
    <row r="338" spans="3:15" s="231" customFormat="1" x14ac:dyDescent="0.25">
      <c r="C338" s="230"/>
      <c r="D338" s="230"/>
      <c r="E338" s="230"/>
      <c r="F338" s="230"/>
      <c r="G338" s="230"/>
      <c r="H338" s="230"/>
      <c r="I338" s="230"/>
      <c r="J338" s="230"/>
      <c r="K338" s="230"/>
      <c r="L338" s="230"/>
      <c r="M338" s="230"/>
      <c r="N338" s="230"/>
      <c r="O338" s="230"/>
    </row>
    <row r="339" spans="3:15" s="231" customFormat="1" x14ac:dyDescent="0.25">
      <c r="C339" s="230"/>
      <c r="D339" s="230"/>
      <c r="E339" s="230"/>
      <c r="F339" s="230"/>
      <c r="G339" s="230"/>
      <c r="H339" s="230"/>
      <c r="I339" s="230"/>
      <c r="J339" s="230"/>
      <c r="K339" s="230"/>
      <c r="L339" s="230"/>
      <c r="M339" s="230"/>
      <c r="N339" s="230"/>
      <c r="O339" s="230"/>
    </row>
    <row r="340" spans="3:15" s="231" customFormat="1" x14ac:dyDescent="0.25">
      <c r="C340" s="230"/>
      <c r="D340" s="230"/>
      <c r="E340" s="230"/>
      <c r="F340" s="230"/>
      <c r="G340" s="230"/>
      <c r="H340" s="230"/>
      <c r="I340" s="230"/>
      <c r="J340" s="230"/>
      <c r="K340" s="230"/>
      <c r="L340" s="230"/>
      <c r="M340" s="230"/>
      <c r="N340" s="230"/>
      <c r="O340" s="230"/>
    </row>
    <row r="341" spans="3:15" s="231" customFormat="1" x14ac:dyDescent="0.25">
      <c r="C341" s="230"/>
      <c r="D341" s="230"/>
      <c r="E341" s="230"/>
      <c r="F341" s="230"/>
      <c r="G341" s="230"/>
      <c r="H341" s="230"/>
      <c r="I341" s="230"/>
      <c r="J341" s="230"/>
      <c r="K341" s="230"/>
      <c r="L341" s="230"/>
      <c r="M341" s="230"/>
      <c r="N341" s="230"/>
      <c r="O341" s="230"/>
    </row>
    <row r="342" spans="3:15" s="231" customFormat="1" x14ac:dyDescent="0.25">
      <c r="C342" s="230"/>
      <c r="D342" s="230"/>
      <c r="E342" s="230"/>
      <c r="F342" s="230"/>
      <c r="G342" s="230"/>
      <c r="H342" s="230"/>
      <c r="I342" s="230"/>
      <c r="J342" s="230"/>
      <c r="K342" s="230"/>
      <c r="L342" s="230"/>
      <c r="M342" s="230"/>
      <c r="N342" s="230"/>
      <c r="O342" s="230"/>
    </row>
    <row r="343" spans="3:15" s="231" customFormat="1" x14ac:dyDescent="0.25">
      <c r="C343" s="230"/>
      <c r="D343" s="230"/>
      <c r="E343" s="230"/>
      <c r="F343" s="230"/>
      <c r="G343" s="230"/>
      <c r="H343" s="230"/>
      <c r="I343" s="230"/>
      <c r="J343" s="230"/>
      <c r="K343" s="230"/>
      <c r="L343" s="230"/>
      <c r="M343" s="230"/>
      <c r="N343" s="230"/>
      <c r="O343" s="230"/>
    </row>
    <row r="344" spans="3:15" s="231" customFormat="1" x14ac:dyDescent="0.25">
      <c r="C344" s="230"/>
      <c r="D344" s="230"/>
      <c r="E344" s="230"/>
      <c r="F344" s="230"/>
      <c r="G344" s="230"/>
      <c r="H344" s="230"/>
      <c r="I344" s="230"/>
      <c r="J344" s="230"/>
      <c r="K344" s="230"/>
      <c r="L344" s="230"/>
      <c r="M344" s="230"/>
      <c r="N344" s="230"/>
      <c r="O344" s="230"/>
    </row>
    <row r="345" spans="3:15" s="231" customFormat="1" x14ac:dyDescent="0.25">
      <c r="C345" s="230"/>
      <c r="D345" s="230"/>
      <c r="E345" s="230"/>
      <c r="F345" s="230"/>
      <c r="G345" s="230"/>
      <c r="H345" s="230"/>
      <c r="I345" s="230"/>
      <c r="J345" s="230"/>
      <c r="K345" s="230"/>
      <c r="L345" s="230"/>
      <c r="M345" s="230"/>
      <c r="N345" s="230"/>
      <c r="O345" s="230"/>
    </row>
    <row r="346" spans="3:15" s="231" customFormat="1" x14ac:dyDescent="0.25">
      <c r="C346" s="230"/>
      <c r="D346" s="230"/>
      <c r="E346" s="230"/>
      <c r="F346" s="230"/>
      <c r="G346" s="230"/>
      <c r="H346" s="230"/>
      <c r="I346" s="230"/>
      <c r="J346" s="230"/>
      <c r="K346" s="230"/>
      <c r="L346" s="230"/>
      <c r="M346" s="230"/>
      <c r="N346" s="230"/>
      <c r="O346" s="230"/>
    </row>
    <row r="347" spans="3:15" s="231" customFormat="1" x14ac:dyDescent="0.25">
      <c r="C347" s="230"/>
      <c r="D347" s="230"/>
      <c r="E347" s="230"/>
      <c r="F347" s="230"/>
      <c r="G347" s="230"/>
      <c r="H347" s="230"/>
      <c r="I347" s="230"/>
      <c r="J347" s="230"/>
      <c r="K347" s="230"/>
      <c r="L347" s="230"/>
      <c r="M347" s="230"/>
      <c r="N347" s="230"/>
      <c r="O347" s="230"/>
    </row>
    <row r="348" spans="3:15" s="231" customFormat="1" x14ac:dyDescent="0.25">
      <c r="C348" s="230"/>
      <c r="D348" s="230"/>
      <c r="E348" s="230"/>
      <c r="F348" s="230"/>
      <c r="G348" s="230"/>
      <c r="H348" s="230"/>
      <c r="I348" s="230"/>
      <c r="J348" s="230"/>
      <c r="K348" s="230"/>
      <c r="L348" s="230"/>
      <c r="M348" s="230"/>
      <c r="N348" s="230"/>
      <c r="O348" s="230"/>
    </row>
    <row r="349" spans="3:15" s="231" customFormat="1" x14ac:dyDescent="0.25">
      <c r="C349" s="230"/>
      <c r="D349" s="230"/>
      <c r="E349" s="230"/>
      <c r="F349" s="230"/>
      <c r="G349" s="230"/>
      <c r="H349" s="230"/>
      <c r="I349" s="230"/>
      <c r="J349" s="230"/>
      <c r="K349" s="230"/>
      <c r="L349" s="230"/>
      <c r="M349" s="230"/>
      <c r="N349" s="230"/>
      <c r="O349" s="230"/>
    </row>
    <row r="350" spans="3:15" s="231" customFormat="1" x14ac:dyDescent="0.25">
      <c r="C350" s="230"/>
      <c r="D350" s="230"/>
      <c r="E350" s="230"/>
      <c r="F350" s="230"/>
      <c r="G350" s="230"/>
      <c r="H350" s="230"/>
      <c r="I350" s="230"/>
      <c r="J350" s="230"/>
      <c r="K350" s="230"/>
      <c r="L350" s="230"/>
      <c r="M350" s="230"/>
      <c r="N350" s="230"/>
      <c r="O350" s="230"/>
    </row>
    <row r="351" spans="3:15" s="231" customFormat="1" x14ac:dyDescent="0.25">
      <c r="C351" s="230"/>
      <c r="D351" s="230"/>
      <c r="E351" s="230"/>
      <c r="F351" s="230"/>
      <c r="G351" s="230"/>
      <c r="H351" s="230"/>
      <c r="I351" s="230"/>
      <c r="J351" s="230"/>
      <c r="K351" s="230"/>
      <c r="L351" s="230"/>
      <c r="M351" s="230"/>
      <c r="N351" s="230"/>
      <c r="O351" s="230"/>
    </row>
    <row r="352" spans="3:15" s="231" customFormat="1" x14ac:dyDescent="0.25">
      <c r="C352" s="230"/>
      <c r="D352" s="230"/>
      <c r="E352" s="230"/>
      <c r="F352" s="230"/>
      <c r="G352" s="230"/>
      <c r="H352" s="230"/>
      <c r="I352" s="230"/>
      <c r="J352" s="230"/>
      <c r="K352" s="230"/>
      <c r="L352" s="230"/>
      <c r="M352" s="230"/>
      <c r="N352" s="230"/>
      <c r="O352" s="230"/>
    </row>
    <row r="353" spans="3:15" s="231" customFormat="1" x14ac:dyDescent="0.25">
      <c r="C353" s="230"/>
      <c r="D353" s="230"/>
      <c r="E353" s="230"/>
      <c r="F353" s="230"/>
      <c r="G353" s="230"/>
      <c r="H353" s="230"/>
      <c r="I353" s="230"/>
      <c r="J353" s="230"/>
      <c r="K353" s="230"/>
      <c r="L353" s="230"/>
      <c r="M353" s="230"/>
      <c r="N353" s="230"/>
      <c r="O353" s="230"/>
    </row>
    <row r="354" spans="3:15" s="231" customFormat="1" x14ac:dyDescent="0.25">
      <c r="C354" s="230"/>
      <c r="D354" s="230"/>
      <c r="E354" s="230"/>
      <c r="F354" s="230"/>
      <c r="G354" s="230"/>
      <c r="H354" s="230"/>
      <c r="I354" s="230"/>
      <c r="J354" s="230"/>
      <c r="K354" s="230"/>
      <c r="L354" s="230"/>
      <c r="M354" s="230"/>
      <c r="N354" s="230"/>
      <c r="O354" s="230"/>
    </row>
    <row r="355" spans="3:15" s="231" customFormat="1" x14ac:dyDescent="0.25">
      <c r="C355" s="230"/>
      <c r="D355" s="230"/>
      <c r="E355" s="230"/>
      <c r="F355" s="230"/>
      <c r="G355" s="230"/>
      <c r="H355" s="230"/>
      <c r="I355" s="230"/>
      <c r="J355" s="230"/>
      <c r="K355" s="230"/>
      <c r="L355" s="230"/>
      <c r="M355" s="230"/>
      <c r="N355" s="230"/>
      <c r="O355" s="230"/>
    </row>
    <row r="356" spans="3:15" s="231" customFormat="1" x14ac:dyDescent="0.25">
      <c r="C356" s="230"/>
      <c r="D356" s="230"/>
      <c r="E356" s="230"/>
      <c r="F356" s="230"/>
      <c r="G356" s="230"/>
      <c r="H356" s="230"/>
      <c r="I356" s="230"/>
      <c r="J356" s="230"/>
      <c r="K356" s="230"/>
      <c r="L356" s="230"/>
      <c r="M356" s="230"/>
      <c r="N356" s="230"/>
      <c r="O356" s="230"/>
    </row>
    <row r="357" spans="3:15" s="231" customFormat="1" x14ac:dyDescent="0.25">
      <c r="C357" s="230"/>
      <c r="D357" s="230"/>
      <c r="E357" s="230"/>
      <c r="F357" s="230"/>
      <c r="G357" s="230"/>
      <c r="H357" s="230"/>
      <c r="I357" s="230"/>
      <c r="J357" s="230"/>
      <c r="K357" s="230"/>
      <c r="L357" s="230"/>
      <c r="M357" s="230"/>
      <c r="N357" s="230"/>
      <c r="O357" s="230"/>
    </row>
    <row r="358" spans="3:15" s="231" customFormat="1" x14ac:dyDescent="0.25">
      <c r="C358" s="230"/>
      <c r="D358" s="230"/>
      <c r="E358" s="230"/>
      <c r="F358" s="230"/>
      <c r="G358" s="230"/>
      <c r="H358" s="230"/>
      <c r="I358" s="230"/>
      <c r="J358" s="230"/>
      <c r="K358" s="230"/>
      <c r="L358" s="230"/>
      <c r="M358" s="230"/>
      <c r="N358" s="230"/>
      <c r="O358" s="230"/>
    </row>
    <row r="359" spans="3:15" s="231" customFormat="1" x14ac:dyDescent="0.25">
      <c r="C359" s="230"/>
      <c r="D359" s="230"/>
      <c r="E359" s="230"/>
      <c r="F359" s="230"/>
      <c r="G359" s="230"/>
      <c r="H359" s="230"/>
      <c r="I359" s="230"/>
      <c r="J359" s="230"/>
      <c r="K359" s="230"/>
      <c r="L359" s="230"/>
      <c r="M359" s="230"/>
      <c r="N359" s="230"/>
      <c r="O359" s="230"/>
    </row>
    <row r="360" spans="3:15" s="231" customFormat="1" x14ac:dyDescent="0.25">
      <c r="C360" s="230"/>
      <c r="D360" s="230"/>
      <c r="E360" s="230"/>
      <c r="F360" s="230"/>
      <c r="G360" s="230"/>
      <c r="H360" s="230"/>
      <c r="I360" s="230"/>
      <c r="J360" s="230"/>
      <c r="K360" s="230"/>
      <c r="L360" s="230"/>
      <c r="M360" s="230"/>
      <c r="N360" s="230"/>
      <c r="O360" s="230"/>
    </row>
    <row r="361" spans="3:15" s="231" customFormat="1" x14ac:dyDescent="0.25">
      <c r="C361" s="230"/>
      <c r="D361" s="230"/>
      <c r="E361" s="230"/>
      <c r="F361" s="230"/>
      <c r="G361" s="230"/>
      <c r="H361" s="230"/>
      <c r="I361" s="230"/>
      <c r="J361" s="230"/>
      <c r="K361" s="230"/>
      <c r="L361" s="230"/>
      <c r="M361" s="230"/>
      <c r="N361" s="230"/>
      <c r="O361" s="230"/>
    </row>
    <row r="362" spans="3:15" s="231" customFormat="1" x14ac:dyDescent="0.25">
      <c r="C362" s="230"/>
      <c r="D362" s="230"/>
      <c r="E362" s="230"/>
      <c r="F362" s="230"/>
      <c r="G362" s="230"/>
      <c r="H362" s="230"/>
      <c r="I362" s="230"/>
      <c r="J362" s="230"/>
      <c r="K362" s="230"/>
      <c r="L362" s="230"/>
      <c r="M362" s="230"/>
      <c r="N362" s="230"/>
      <c r="O362" s="230"/>
    </row>
    <row r="363" spans="3:15" s="231" customFormat="1" x14ac:dyDescent="0.25">
      <c r="C363" s="230"/>
      <c r="D363" s="230"/>
      <c r="E363" s="230"/>
      <c r="F363" s="230"/>
      <c r="G363" s="230"/>
      <c r="H363" s="230"/>
      <c r="I363" s="230"/>
      <c r="J363" s="230"/>
      <c r="K363" s="230"/>
      <c r="L363" s="230"/>
      <c r="M363" s="230"/>
      <c r="N363" s="230"/>
      <c r="O363" s="230"/>
    </row>
    <row r="364" spans="3:15" s="231" customFormat="1" x14ac:dyDescent="0.25">
      <c r="C364" s="230"/>
      <c r="D364" s="230"/>
      <c r="E364" s="230"/>
      <c r="F364" s="230"/>
      <c r="G364" s="230"/>
      <c r="H364" s="230"/>
      <c r="I364" s="230"/>
      <c r="J364" s="230"/>
      <c r="K364" s="230"/>
      <c r="L364" s="230"/>
      <c r="M364" s="230"/>
      <c r="N364" s="230"/>
      <c r="O364" s="230"/>
    </row>
    <row r="365" spans="3:15" s="231" customFormat="1" x14ac:dyDescent="0.25">
      <c r="C365" s="230"/>
      <c r="D365" s="230"/>
      <c r="E365" s="230"/>
      <c r="F365" s="230"/>
      <c r="G365" s="230"/>
      <c r="H365" s="230"/>
      <c r="I365" s="230"/>
      <c r="J365" s="230"/>
      <c r="K365" s="230"/>
      <c r="L365" s="230"/>
      <c r="M365" s="230"/>
      <c r="N365" s="230"/>
      <c r="O365" s="230"/>
    </row>
    <row r="366" spans="3:15" s="231" customFormat="1" x14ac:dyDescent="0.25">
      <c r="C366" s="230"/>
      <c r="D366" s="230"/>
      <c r="E366" s="230"/>
      <c r="F366" s="230"/>
      <c r="G366" s="230"/>
      <c r="H366" s="230"/>
      <c r="I366" s="230"/>
      <c r="J366" s="230"/>
      <c r="K366" s="230"/>
      <c r="L366" s="230"/>
      <c r="M366" s="230"/>
      <c r="N366" s="230"/>
      <c r="O366" s="230"/>
    </row>
    <row r="367" spans="3:15" s="231" customFormat="1" x14ac:dyDescent="0.25">
      <c r="C367" s="230"/>
      <c r="D367" s="230"/>
      <c r="E367" s="230"/>
      <c r="F367" s="230"/>
      <c r="G367" s="230"/>
      <c r="H367" s="230"/>
      <c r="I367" s="230"/>
      <c r="J367" s="230"/>
      <c r="K367" s="230"/>
      <c r="L367" s="230"/>
      <c r="M367" s="230"/>
      <c r="N367" s="230"/>
      <c r="O367" s="230"/>
    </row>
    <row r="368" spans="3:15" s="231" customFormat="1" x14ac:dyDescent="0.25">
      <c r="C368" s="230"/>
      <c r="D368" s="230"/>
      <c r="E368" s="230"/>
      <c r="F368" s="230"/>
      <c r="G368" s="230"/>
      <c r="H368" s="230"/>
      <c r="I368" s="230"/>
      <c r="J368" s="230"/>
      <c r="K368" s="230"/>
      <c r="L368" s="230"/>
      <c r="M368" s="230"/>
      <c r="N368" s="230"/>
      <c r="O368" s="230"/>
    </row>
    <row r="369" spans="3:15" s="231" customFormat="1" x14ac:dyDescent="0.25">
      <c r="C369" s="230"/>
      <c r="D369" s="230"/>
      <c r="E369" s="230"/>
      <c r="F369" s="230"/>
      <c r="G369" s="230"/>
      <c r="H369" s="230"/>
      <c r="I369" s="230"/>
      <c r="J369" s="230"/>
      <c r="K369" s="230"/>
      <c r="L369" s="230"/>
      <c r="M369" s="230"/>
      <c r="N369" s="230"/>
      <c r="O369" s="230"/>
    </row>
    <row r="370" spans="3:15" s="231" customFormat="1" x14ac:dyDescent="0.25">
      <c r="C370" s="230"/>
      <c r="D370" s="230"/>
      <c r="E370" s="230"/>
      <c r="F370" s="230"/>
      <c r="G370" s="230"/>
      <c r="H370" s="230"/>
      <c r="I370" s="230"/>
      <c r="J370" s="230"/>
      <c r="K370" s="230"/>
      <c r="L370" s="230"/>
      <c r="M370" s="230"/>
      <c r="N370" s="230"/>
      <c r="O370" s="230"/>
    </row>
    <row r="371" spans="3:15" s="231" customFormat="1" x14ac:dyDescent="0.25">
      <c r="C371" s="230"/>
      <c r="D371" s="230"/>
      <c r="E371" s="230"/>
      <c r="F371" s="230"/>
      <c r="G371" s="230"/>
      <c r="H371" s="230"/>
      <c r="I371" s="230"/>
      <c r="J371" s="230"/>
      <c r="K371" s="230"/>
      <c r="L371" s="230"/>
      <c r="M371" s="230"/>
      <c r="N371" s="230"/>
      <c r="O371" s="230"/>
    </row>
    <row r="372" spans="3:15" s="231" customFormat="1" x14ac:dyDescent="0.25">
      <c r="C372" s="230"/>
      <c r="D372" s="230"/>
      <c r="E372" s="230"/>
      <c r="F372" s="230"/>
      <c r="G372" s="230"/>
      <c r="H372" s="230"/>
      <c r="I372" s="230"/>
      <c r="J372" s="230"/>
      <c r="K372" s="230"/>
      <c r="L372" s="230"/>
      <c r="M372" s="230"/>
      <c r="N372" s="230"/>
      <c r="O372" s="230"/>
    </row>
    <row r="373" spans="3:15" s="231" customFormat="1" x14ac:dyDescent="0.25">
      <c r="C373" s="230"/>
      <c r="D373" s="230"/>
      <c r="E373" s="230"/>
      <c r="F373" s="230"/>
      <c r="G373" s="230"/>
      <c r="H373" s="230"/>
      <c r="I373" s="230"/>
      <c r="J373" s="230"/>
      <c r="K373" s="230"/>
      <c r="L373" s="230"/>
      <c r="M373" s="230"/>
      <c r="N373" s="230"/>
      <c r="O373" s="230"/>
    </row>
    <row r="374" spans="3:15" s="231" customFormat="1" x14ac:dyDescent="0.25">
      <c r="C374" s="230"/>
      <c r="D374" s="230"/>
      <c r="E374" s="230"/>
      <c r="F374" s="230"/>
      <c r="G374" s="230"/>
      <c r="H374" s="230"/>
      <c r="I374" s="230"/>
      <c r="J374" s="230"/>
      <c r="K374" s="230"/>
      <c r="L374" s="230"/>
      <c r="M374" s="230"/>
      <c r="N374" s="230"/>
      <c r="O374" s="230"/>
    </row>
    <row r="375" spans="3:15" s="231" customFormat="1" x14ac:dyDescent="0.25">
      <c r="C375" s="230"/>
      <c r="D375" s="230"/>
      <c r="E375" s="230"/>
      <c r="F375" s="230"/>
      <c r="G375" s="230"/>
      <c r="H375" s="230"/>
      <c r="I375" s="230"/>
      <c r="J375" s="230"/>
      <c r="K375" s="230"/>
      <c r="L375" s="230"/>
      <c r="M375" s="230"/>
      <c r="N375" s="230"/>
      <c r="O375" s="230"/>
    </row>
    <row r="376" spans="3:15" s="231" customFormat="1" x14ac:dyDescent="0.25">
      <c r="C376" s="230"/>
      <c r="D376" s="230"/>
      <c r="E376" s="230"/>
      <c r="F376" s="230"/>
      <c r="G376" s="230"/>
      <c r="H376" s="230"/>
      <c r="I376" s="230"/>
      <c r="J376" s="230"/>
      <c r="K376" s="230"/>
      <c r="L376" s="230"/>
      <c r="M376" s="230"/>
      <c r="N376" s="230"/>
      <c r="O376" s="230"/>
    </row>
    <row r="377" spans="3:15" s="231" customFormat="1" x14ac:dyDescent="0.25">
      <c r="C377" s="230"/>
      <c r="D377" s="230"/>
      <c r="E377" s="230"/>
      <c r="F377" s="230"/>
      <c r="G377" s="230"/>
      <c r="H377" s="230"/>
      <c r="I377" s="230"/>
      <c r="J377" s="230"/>
      <c r="K377" s="230"/>
      <c r="L377" s="230"/>
      <c r="M377" s="230"/>
      <c r="N377" s="230"/>
      <c r="O377" s="230"/>
    </row>
    <row r="378" spans="3:15" s="231" customFormat="1" x14ac:dyDescent="0.25">
      <c r="C378" s="230"/>
      <c r="D378" s="230"/>
      <c r="E378" s="230"/>
      <c r="F378" s="230"/>
      <c r="G378" s="230"/>
      <c r="H378" s="230"/>
      <c r="I378" s="230"/>
      <c r="J378" s="230"/>
      <c r="K378" s="230"/>
      <c r="L378" s="230"/>
      <c r="M378" s="230"/>
      <c r="N378" s="230"/>
      <c r="O378" s="230"/>
    </row>
    <row r="379" spans="3:15" s="231" customFormat="1" x14ac:dyDescent="0.25">
      <c r="C379" s="230"/>
      <c r="D379" s="230"/>
      <c r="E379" s="230"/>
      <c r="F379" s="230"/>
      <c r="G379" s="230"/>
      <c r="H379" s="230"/>
      <c r="I379" s="230"/>
      <c r="J379" s="230"/>
      <c r="K379" s="230"/>
      <c r="L379" s="230"/>
      <c r="M379" s="230"/>
      <c r="N379" s="230"/>
      <c r="O379" s="230"/>
    </row>
    <row r="380" spans="3:15" s="231" customFormat="1" x14ac:dyDescent="0.25">
      <c r="C380" s="230"/>
      <c r="D380" s="230"/>
      <c r="E380" s="230"/>
      <c r="F380" s="230"/>
      <c r="G380" s="230"/>
      <c r="H380" s="230"/>
      <c r="I380" s="230"/>
      <c r="J380" s="230"/>
      <c r="K380" s="230"/>
      <c r="L380" s="230"/>
      <c r="M380" s="230"/>
      <c r="N380" s="230"/>
      <c r="O380" s="230"/>
    </row>
    <row r="381" spans="3:15" s="231" customFormat="1" x14ac:dyDescent="0.25">
      <c r="C381" s="230"/>
      <c r="D381" s="230"/>
      <c r="E381" s="230"/>
      <c r="F381" s="230"/>
      <c r="G381" s="230"/>
      <c r="H381" s="230"/>
      <c r="I381" s="230"/>
      <c r="J381" s="230"/>
      <c r="K381" s="230"/>
      <c r="L381" s="230"/>
      <c r="M381" s="230"/>
      <c r="N381" s="230"/>
      <c r="O381" s="230"/>
    </row>
    <row r="382" spans="3:15" s="231" customFormat="1" x14ac:dyDescent="0.25">
      <c r="C382" s="230"/>
      <c r="D382" s="230"/>
      <c r="E382" s="230"/>
      <c r="F382" s="230"/>
      <c r="G382" s="230"/>
      <c r="H382" s="230"/>
      <c r="I382" s="230"/>
      <c r="J382" s="230"/>
      <c r="K382" s="230"/>
      <c r="L382" s="230"/>
      <c r="M382" s="230"/>
      <c r="N382" s="230"/>
      <c r="O382" s="230"/>
    </row>
    <row r="383" spans="3:15" s="231" customFormat="1" x14ac:dyDescent="0.25">
      <c r="C383" s="230"/>
      <c r="D383" s="230"/>
      <c r="E383" s="230"/>
      <c r="F383" s="230"/>
      <c r="G383" s="230"/>
      <c r="H383" s="230"/>
      <c r="I383" s="230"/>
      <c r="J383" s="230"/>
      <c r="K383" s="230"/>
      <c r="L383" s="230"/>
      <c r="M383" s="230"/>
      <c r="N383" s="230"/>
      <c r="O383" s="230"/>
    </row>
    <row r="384" spans="3:15" s="231" customFormat="1" x14ac:dyDescent="0.25">
      <c r="C384" s="230"/>
      <c r="D384" s="230"/>
      <c r="E384" s="230"/>
      <c r="F384" s="230"/>
      <c r="G384" s="230"/>
      <c r="H384" s="230"/>
      <c r="I384" s="230"/>
      <c r="J384" s="230"/>
      <c r="K384" s="230"/>
      <c r="L384" s="230"/>
      <c r="M384" s="230"/>
      <c r="N384" s="230"/>
      <c r="O384" s="230"/>
    </row>
    <row r="385" spans="3:15" s="231" customFormat="1" x14ac:dyDescent="0.25">
      <c r="C385" s="230"/>
      <c r="D385" s="230"/>
      <c r="E385" s="230"/>
      <c r="F385" s="230"/>
      <c r="G385" s="230"/>
      <c r="H385" s="230"/>
      <c r="I385" s="230"/>
      <c r="J385" s="230"/>
      <c r="K385" s="230"/>
      <c r="L385" s="230"/>
      <c r="M385" s="230"/>
      <c r="N385" s="230"/>
      <c r="O385" s="230"/>
    </row>
    <row r="386" spans="3:15" s="231" customFormat="1" x14ac:dyDescent="0.25">
      <c r="C386" s="230"/>
      <c r="D386" s="230"/>
      <c r="E386" s="230"/>
      <c r="F386" s="230"/>
      <c r="G386" s="230"/>
      <c r="H386" s="230"/>
      <c r="I386" s="230"/>
      <c r="J386" s="230"/>
      <c r="K386" s="230"/>
      <c r="L386" s="230"/>
      <c r="M386" s="230"/>
      <c r="N386" s="230"/>
      <c r="O386" s="230"/>
    </row>
    <row r="387" spans="3:15" s="231" customFormat="1" x14ac:dyDescent="0.25">
      <c r="C387" s="230"/>
      <c r="D387" s="230"/>
      <c r="E387" s="230"/>
      <c r="F387" s="230"/>
      <c r="G387" s="230"/>
      <c r="H387" s="230"/>
      <c r="I387" s="230"/>
      <c r="J387" s="230"/>
      <c r="K387" s="230"/>
      <c r="L387" s="230"/>
      <c r="M387" s="230"/>
      <c r="N387" s="230"/>
      <c r="O387" s="230"/>
    </row>
    <row r="388" spans="3:15" s="231" customFormat="1" x14ac:dyDescent="0.25">
      <c r="C388" s="230"/>
      <c r="D388" s="230"/>
      <c r="E388" s="230"/>
      <c r="F388" s="230"/>
      <c r="G388" s="230"/>
      <c r="H388" s="230"/>
      <c r="I388" s="230"/>
      <c r="J388" s="230"/>
      <c r="K388" s="230"/>
      <c r="L388" s="230"/>
      <c r="M388" s="230"/>
      <c r="N388" s="230"/>
      <c r="O388" s="230"/>
    </row>
    <row r="389" spans="3:15" s="231" customFormat="1" x14ac:dyDescent="0.25">
      <c r="C389" s="230"/>
      <c r="D389" s="230"/>
      <c r="E389" s="230"/>
      <c r="F389" s="230"/>
      <c r="G389" s="230"/>
      <c r="H389" s="230"/>
      <c r="I389" s="230"/>
      <c r="J389" s="230"/>
      <c r="K389" s="230"/>
      <c r="L389" s="230"/>
      <c r="M389" s="230"/>
      <c r="N389" s="230"/>
      <c r="O389" s="230"/>
    </row>
    <row r="390" spans="3:15" s="231" customFormat="1" x14ac:dyDescent="0.25">
      <c r="C390" s="230"/>
      <c r="D390" s="230"/>
      <c r="E390" s="230"/>
      <c r="F390" s="230"/>
      <c r="G390" s="230"/>
      <c r="H390" s="230"/>
      <c r="I390" s="230"/>
      <c r="J390" s="230"/>
      <c r="K390" s="230"/>
      <c r="L390" s="230"/>
      <c r="M390" s="230"/>
      <c r="N390" s="230"/>
      <c r="O390" s="230"/>
    </row>
    <row r="391" spans="3:15" s="231" customFormat="1" x14ac:dyDescent="0.25">
      <c r="C391" s="230"/>
      <c r="D391" s="230"/>
      <c r="E391" s="230"/>
      <c r="F391" s="230"/>
      <c r="G391" s="230"/>
      <c r="H391" s="230"/>
      <c r="I391" s="230"/>
      <c r="J391" s="230"/>
      <c r="K391" s="230"/>
      <c r="L391" s="230"/>
      <c r="M391" s="230"/>
      <c r="N391" s="230"/>
      <c r="O391" s="230"/>
    </row>
    <row r="392" spans="3:15" s="231" customFormat="1" x14ac:dyDescent="0.25">
      <c r="C392" s="230"/>
      <c r="D392" s="230"/>
      <c r="E392" s="230"/>
      <c r="F392" s="230"/>
      <c r="G392" s="230"/>
      <c r="H392" s="230"/>
      <c r="I392" s="230"/>
      <c r="J392" s="230"/>
      <c r="K392" s="230"/>
      <c r="L392" s="230"/>
      <c r="M392" s="230"/>
      <c r="N392" s="230"/>
      <c r="O392" s="230"/>
    </row>
    <row r="393" spans="3:15" s="231" customFormat="1" x14ac:dyDescent="0.25">
      <c r="C393" s="230"/>
      <c r="D393" s="230"/>
      <c r="E393" s="230"/>
      <c r="F393" s="230"/>
      <c r="G393" s="230"/>
      <c r="H393" s="230"/>
      <c r="I393" s="230"/>
      <c r="J393" s="230"/>
      <c r="K393" s="230"/>
      <c r="L393" s="230"/>
      <c r="M393" s="230"/>
      <c r="N393" s="230"/>
      <c r="O393" s="230"/>
    </row>
    <row r="394" spans="3:15" s="231" customFormat="1" x14ac:dyDescent="0.25">
      <c r="C394" s="230"/>
      <c r="D394" s="230"/>
      <c r="E394" s="230"/>
      <c r="F394" s="230"/>
      <c r="G394" s="230"/>
      <c r="H394" s="230"/>
      <c r="I394" s="230"/>
      <c r="J394" s="230"/>
      <c r="K394" s="230"/>
      <c r="L394" s="230"/>
      <c r="M394" s="230"/>
      <c r="N394" s="230"/>
      <c r="O394" s="230"/>
    </row>
    <row r="395" spans="3:15" s="231" customFormat="1" x14ac:dyDescent="0.25">
      <c r="C395" s="230"/>
      <c r="D395" s="230"/>
      <c r="E395" s="230"/>
      <c r="F395" s="230"/>
      <c r="G395" s="230"/>
      <c r="H395" s="230"/>
      <c r="I395" s="230"/>
      <c r="J395" s="230"/>
      <c r="K395" s="230"/>
      <c r="L395" s="230"/>
      <c r="M395" s="230"/>
      <c r="N395" s="230"/>
      <c r="O395" s="230"/>
    </row>
    <row r="396" spans="3:15" s="231" customFormat="1" x14ac:dyDescent="0.25">
      <c r="C396" s="230"/>
      <c r="D396" s="230"/>
      <c r="E396" s="230"/>
      <c r="F396" s="230"/>
      <c r="G396" s="230"/>
      <c r="H396" s="230"/>
      <c r="I396" s="230"/>
      <c r="J396" s="230"/>
      <c r="K396" s="230"/>
      <c r="L396" s="230"/>
      <c r="M396" s="230"/>
      <c r="N396" s="230"/>
      <c r="O396" s="230"/>
    </row>
    <row r="397" spans="3:15" s="231" customFormat="1" x14ac:dyDescent="0.25">
      <c r="C397" s="230"/>
      <c r="D397" s="230"/>
      <c r="E397" s="230"/>
      <c r="F397" s="230"/>
      <c r="G397" s="230"/>
      <c r="H397" s="230"/>
      <c r="I397" s="230"/>
      <c r="J397" s="230"/>
      <c r="K397" s="230"/>
      <c r="L397" s="230"/>
      <c r="M397" s="230"/>
      <c r="N397" s="230"/>
      <c r="O397" s="230"/>
    </row>
    <row r="398" spans="3:15" s="231" customFormat="1" x14ac:dyDescent="0.25">
      <c r="C398" s="230"/>
      <c r="D398" s="230"/>
      <c r="E398" s="230"/>
      <c r="F398" s="230"/>
      <c r="G398" s="230"/>
      <c r="H398" s="230"/>
      <c r="I398" s="230"/>
      <c r="J398" s="230"/>
      <c r="K398" s="230"/>
      <c r="L398" s="230"/>
      <c r="M398" s="230"/>
      <c r="N398" s="230"/>
      <c r="O398" s="230"/>
    </row>
    <row r="399" spans="3:15" s="231" customFormat="1" x14ac:dyDescent="0.25">
      <c r="C399" s="230"/>
      <c r="D399" s="230"/>
      <c r="E399" s="230"/>
      <c r="F399" s="230"/>
      <c r="G399" s="230"/>
      <c r="H399" s="230"/>
      <c r="I399" s="230"/>
      <c r="J399" s="230"/>
      <c r="K399" s="230"/>
      <c r="L399" s="230"/>
      <c r="M399" s="230"/>
      <c r="N399" s="230"/>
      <c r="O399" s="230"/>
    </row>
    <row r="400" spans="3:15" s="231" customFormat="1" x14ac:dyDescent="0.25">
      <c r="C400" s="230"/>
      <c r="D400" s="230"/>
      <c r="E400" s="230"/>
      <c r="F400" s="230"/>
      <c r="G400" s="230"/>
      <c r="H400" s="230"/>
      <c r="I400" s="230"/>
      <c r="J400" s="230"/>
      <c r="K400" s="230"/>
      <c r="L400" s="230"/>
      <c r="M400" s="230"/>
      <c r="N400" s="230"/>
      <c r="O400" s="230"/>
    </row>
    <row r="401" spans="3:15" s="231" customFormat="1" x14ac:dyDescent="0.25">
      <c r="C401" s="230"/>
      <c r="D401" s="230"/>
      <c r="E401" s="230"/>
      <c r="F401" s="230"/>
      <c r="G401" s="230"/>
      <c r="H401" s="230"/>
      <c r="I401" s="230"/>
      <c r="J401" s="230"/>
      <c r="K401" s="230"/>
      <c r="L401" s="230"/>
      <c r="M401" s="230"/>
      <c r="N401" s="230"/>
      <c r="O401" s="230"/>
    </row>
    <row r="402" spans="3:15" s="231" customFormat="1" x14ac:dyDescent="0.25">
      <c r="C402" s="230"/>
      <c r="D402" s="230"/>
      <c r="E402" s="230"/>
      <c r="F402" s="230"/>
      <c r="G402" s="230"/>
      <c r="H402" s="230"/>
      <c r="I402" s="230"/>
      <c r="J402" s="230"/>
      <c r="K402" s="230"/>
      <c r="L402" s="230"/>
      <c r="M402" s="230"/>
      <c r="N402" s="230"/>
      <c r="O402" s="230"/>
    </row>
    <row r="403" spans="3:15" s="231" customFormat="1" x14ac:dyDescent="0.25">
      <c r="C403" s="230"/>
      <c r="D403" s="230"/>
      <c r="E403" s="230"/>
      <c r="F403" s="230"/>
      <c r="G403" s="230"/>
      <c r="H403" s="230"/>
      <c r="I403" s="230"/>
      <c r="J403" s="230"/>
      <c r="K403" s="230"/>
      <c r="L403" s="230"/>
      <c r="M403" s="230"/>
      <c r="N403" s="230"/>
      <c r="O403" s="230"/>
    </row>
    <row r="404" spans="3:15" s="231" customFormat="1" x14ac:dyDescent="0.25">
      <c r="C404" s="230"/>
      <c r="D404" s="230"/>
      <c r="E404" s="230"/>
      <c r="F404" s="230"/>
      <c r="G404" s="230"/>
      <c r="H404" s="230"/>
      <c r="I404" s="230"/>
      <c r="J404" s="230"/>
      <c r="K404" s="230"/>
      <c r="L404" s="230"/>
      <c r="M404" s="230"/>
      <c r="N404" s="230"/>
      <c r="O404" s="230"/>
    </row>
    <row r="405" spans="3:15" s="231" customFormat="1" x14ac:dyDescent="0.25">
      <c r="C405" s="230"/>
      <c r="D405" s="230"/>
      <c r="E405" s="230"/>
      <c r="F405" s="230"/>
      <c r="G405" s="230"/>
      <c r="H405" s="230"/>
      <c r="I405" s="230"/>
      <c r="J405" s="230"/>
      <c r="K405" s="230"/>
      <c r="L405" s="230"/>
      <c r="M405" s="230"/>
      <c r="N405" s="230"/>
      <c r="O405" s="230"/>
    </row>
    <row r="406" spans="3:15" s="231" customFormat="1" x14ac:dyDescent="0.25">
      <c r="C406" s="230"/>
      <c r="D406" s="230"/>
      <c r="E406" s="230"/>
      <c r="F406" s="230"/>
      <c r="G406" s="230"/>
      <c r="H406" s="230"/>
      <c r="I406" s="230"/>
      <c r="J406" s="230"/>
      <c r="K406" s="230"/>
      <c r="L406" s="230"/>
      <c r="M406" s="230"/>
      <c r="N406" s="230"/>
      <c r="O406" s="230"/>
    </row>
    <row r="407" spans="3:15" s="231" customFormat="1" x14ac:dyDescent="0.25">
      <c r="C407" s="230"/>
      <c r="D407" s="230"/>
      <c r="E407" s="230"/>
      <c r="F407" s="230"/>
      <c r="G407" s="230"/>
      <c r="H407" s="230"/>
      <c r="I407" s="230"/>
      <c r="J407" s="230"/>
      <c r="K407" s="230"/>
      <c r="L407" s="230"/>
      <c r="M407" s="230"/>
      <c r="N407" s="230"/>
      <c r="O407" s="230"/>
    </row>
    <row r="408" spans="3:15" s="231" customFormat="1" x14ac:dyDescent="0.25">
      <c r="C408" s="230"/>
      <c r="D408" s="230"/>
      <c r="E408" s="230"/>
      <c r="F408" s="230"/>
      <c r="G408" s="230"/>
      <c r="H408" s="230"/>
      <c r="I408" s="230"/>
      <c r="J408" s="230"/>
      <c r="K408" s="230"/>
      <c r="L408" s="230"/>
      <c r="M408" s="230"/>
      <c r="N408" s="230"/>
      <c r="O408" s="230"/>
    </row>
    <row r="409" spans="3:15" s="231" customFormat="1" x14ac:dyDescent="0.25">
      <c r="C409" s="230"/>
      <c r="D409" s="230"/>
      <c r="E409" s="230"/>
      <c r="F409" s="230"/>
      <c r="G409" s="230"/>
      <c r="H409" s="230"/>
      <c r="I409" s="230"/>
      <c r="J409" s="230"/>
      <c r="K409" s="230"/>
      <c r="L409" s="230"/>
      <c r="M409" s="230"/>
      <c r="N409" s="230"/>
      <c r="O409" s="230"/>
    </row>
    <row r="410" spans="3:15" s="231" customFormat="1" x14ac:dyDescent="0.25">
      <c r="C410" s="230"/>
      <c r="D410" s="230"/>
      <c r="E410" s="230"/>
      <c r="F410" s="230"/>
      <c r="G410" s="230"/>
      <c r="H410" s="230"/>
      <c r="I410" s="230"/>
      <c r="J410" s="230"/>
      <c r="K410" s="230"/>
      <c r="L410" s="230"/>
      <c r="M410" s="230"/>
      <c r="N410" s="230"/>
      <c r="O410" s="230"/>
    </row>
    <row r="411" spans="3:15" s="231" customFormat="1" x14ac:dyDescent="0.25">
      <c r="C411" s="230"/>
      <c r="D411" s="230"/>
      <c r="E411" s="230"/>
      <c r="F411" s="230"/>
      <c r="G411" s="230"/>
      <c r="H411" s="230"/>
      <c r="I411" s="230"/>
      <c r="J411" s="230"/>
      <c r="K411" s="230"/>
      <c r="L411" s="230"/>
      <c r="M411" s="230"/>
      <c r="N411" s="230"/>
      <c r="O411" s="230"/>
    </row>
    <row r="412" spans="3:15" s="231" customFormat="1" x14ac:dyDescent="0.25">
      <c r="C412" s="230"/>
      <c r="D412" s="230"/>
      <c r="E412" s="230"/>
      <c r="F412" s="230"/>
      <c r="G412" s="230"/>
      <c r="H412" s="230"/>
      <c r="I412" s="230"/>
      <c r="J412" s="230"/>
      <c r="K412" s="230"/>
      <c r="L412" s="230"/>
      <c r="M412" s="230"/>
      <c r="N412" s="230"/>
      <c r="O412" s="230"/>
    </row>
    <row r="413" spans="3:15" s="231" customFormat="1" x14ac:dyDescent="0.25">
      <c r="C413" s="230"/>
      <c r="D413" s="230"/>
      <c r="E413" s="230"/>
      <c r="F413" s="230"/>
      <c r="G413" s="230"/>
      <c r="H413" s="230"/>
      <c r="I413" s="230"/>
      <c r="J413" s="230"/>
      <c r="K413" s="230"/>
      <c r="L413" s="230"/>
      <c r="M413" s="230"/>
      <c r="N413" s="230"/>
      <c r="O413" s="230"/>
    </row>
    <row r="414" spans="3:15" s="231" customFormat="1" x14ac:dyDescent="0.25">
      <c r="C414" s="230"/>
      <c r="D414" s="230"/>
      <c r="E414" s="230"/>
      <c r="F414" s="230"/>
      <c r="G414" s="230"/>
      <c r="H414" s="230"/>
      <c r="I414" s="230"/>
      <c r="J414" s="230"/>
      <c r="K414" s="230"/>
      <c r="L414" s="230"/>
      <c r="M414" s="230"/>
      <c r="N414" s="230"/>
      <c r="O414" s="230"/>
    </row>
    <row r="415" spans="3:15" s="231" customFormat="1" x14ac:dyDescent="0.25">
      <c r="C415" s="230"/>
      <c r="D415" s="230"/>
      <c r="E415" s="230"/>
      <c r="F415" s="230"/>
      <c r="G415" s="230"/>
      <c r="H415" s="230"/>
      <c r="I415" s="230"/>
      <c r="J415" s="230"/>
      <c r="K415" s="230"/>
      <c r="L415" s="230"/>
      <c r="M415" s="230"/>
      <c r="N415" s="230"/>
      <c r="O415" s="230"/>
    </row>
    <row r="416" spans="3:15" s="231" customFormat="1" x14ac:dyDescent="0.25">
      <c r="C416" s="230"/>
      <c r="D416" s="230"/>
      <c r="E416" s="230"/>
      <c r="F416" s="230"/>
      <c r="G416" s="230"/>
      <c r="H416" s="230"/>
      <c r="I416" s="230"/>
      <c r="J416" s="230"/>
      <c r="K416" s="230"/>
      <c r="L416" s="230"/>
      <c r="M416" s="230"/>
      <c r="N416" s="230"/>
      <c r="O416" s="230"/>
    </row>
    <row r="417" spans="3:15" s="231" customFormat="1" x14ac:dyDescent="0.25">
      <c r="C417" s="230"/>
      <c r="D417" s="230"/>
      <c r="E417" s="230"/>
      <c r="F417" s="230"/>
      <c r="G417" s="230"/>
      <c r="H417" s="230"/>
      <c r="I417" s="230"/>
      <c r="J417" s="230"/>
      <c r="K417" s="230"/>
      <c r="L417" s="230"/>
      <c r="M417" s="230"/>
      <c r="N417" s="230"/>
      <c r="O417" s="230"/>
    </row>
    <row r="418" spans="3:15" s="231" customFormat="1" x14ac:dyDescent="0.25">
      <c r="C418" s="230"/>
      <c r="D418" s="230"/>
      <c r="E418" s="230"/>
      <c r="F418" s="230"/>
      <c r="G418" s="230"/>
      <c r="H418" s="230"/>
      <c r="I418" s="230"/>
      <c r="J418" s="230"/>
      <c r="K418" s="230"/>
      <c r="L418" s="230"/>
      <c r="M418" s="230"/>
      <c r="N418" s="230"/>
      <c r="O418" s="230"/>
    </row>
    <row r="419" spans="3:15" s="231" customFormat="1" x14ac:dyDescent="0.25">
      <c r="C419" s="230"/>
      <c r="D419" s="230"/>
      <c r="E419" s="230"/>
      <c r="F419" s="230"/>
      <c r="G419" s="230"/>
      <c r="H419" s="230"/>
      <c r="I419" s="230"/>
      <c r="J419" s="230"/>
      <c r="K419" s="230"/>
      <c r="L419" s="230"/>
      <c r="M419" s="230"/>
      <c r="N419" s="230"/>
      <c r="O419" s="230"/>
    </row>
    <row r="420" spans="3:15" s="231" customFormat="1" x14ac:dyDescent="0.25">
      <c r="C420" s="230"/>
      <c r="D420" s="230"/>
      <c r="E420" s="230"/>
      <c r="F420" s="230"/>
      <c r="G420" s="230"/>
      <c r="H420" s="230"/>
      <c r="I420" s="230"/>
      <c r="J420" s="230"/>
      <c r="K420" s="230"/>
      <c r="L420" s="230"/>
      <c r="M420" s="230"/>
      <c r="N420" s="230"/>
      <c r="O420" s="230"/>
    </row>
    <row r="421" spans="3:15" s="231" customFormat="1" x14ac:dyDescent="0.25">
      <c r="C421" s="230"/>
      <c r="D421" s="230"/>
      <c r="E421" s="230"/>
      <c r="F421" s="230"/>
      <c r="G421" s="230"/>
      <c r="H421" s="230"/>
      <c r="I421" s="230"/>
      <c r="J421" s="230"/>
      <c r="K421" s="230"/>
      <c r="L421" s="230"/>
      <c r="M421" s="230"/>
      <c r="N421" s="230"/>
      <c r="O421" s="230"/>
    </row>
    <row r="422" spans="3:15" s="231" customFormat="1" x14ac:dyDescent="0.25">
      <c r="C422" s="230"/>
      <c r="D422" s="230"/>
      <c r="E422" s="230"/>
      <c r="F422" s="230"/>
      <c r="G422" s="230"/>
      <c r="H422" s="230"/>
      <c r="I422" s="230"/>
      <c r="J422" s="230"/>
      <c r="K422" s="230"/>
      <c r="L422" s="230"/>
      <c r="M422" s="230"/>
      <c r="N422" s="230"/>
      <c r="O422" s="230"/>
    </row>
    <row r="423" spans="3:15" s="231" customFormat="1" x14ac:dyDescent="0.25">
      <c r="C423" s="230"/>
      <c r="D423" s="230"/>
      <c r="E423" s="230"/>
      <c r="F423" s="230"/>
      <c r="G423" s="230"/>
      <c r="H423" s="230"/>
      <c r="I423" s="230"/>
      <c r="J423" s="230"/>
      <c r="K423" s="230"/>
      <c r="L423" s="230"/>
      <c r="M423" s="230"/>
      <c r="N423" s="230"/>
      <c r="O423" s="230"/>
    </row>
    <row r="424" spans="3:15" s="231" customFormat="1" x14ac:dyDescent="0.25">
      <c r="C424" s="230"/>
      <c r="D424" s="230"/>
      <c r="E424" s="230"/>
      <c r="F424" s="230"/>
      <c r="G424" s="230"/>
      <c r="H424" s="230"/>
      <c r="I424" s="230"/>
      <c r="J424" s="230"/>
      <c r="K424" s="230"/>
      <c r="L424" s="230"/>
      <c r="M424" s="230"/>
      <c r="N424" s="230"/>
      <c r="O424" s="230"/>
    </row>
    <row r="425" spans="3:15" s="231" customFormat="1" x14ac:dyDescent="0.25">
      <c r="C425" s="230"/>
      <c r="D425" s="230"/>
      <c r="E425" s="230"/>
      <c r="F425" s="230"/>
      <c r="G425" s="230"/>
      <c r="H425" s="230"/>
      <c r="I425" s="230"/>
      <c r="J425" s="230"/>
      <c r="K425" s="230"/>
      <c r="L425" s="230"/>
      <c r="M425" s="230"/>
      <c r="N425" s="230"/>
      <c r="O425" s="230"/>
    </row>
    <row r="426" spans="3:15" s="231" customFormat="1" x14ac:dyDescent="0.25">
      <c r="C426" s="230"/>
      <c r="D426" s="230"/>
      <c r="E426" s="230"/>
      <c r="F426" s="230"/>
      <c r="G426" s="230"/>
      <c r="H426" s="230"/>
      <c r="I426" s="230"/>
      <c r="J426" s="230"/>
      <c r="K426" s="230"/>
      <c r="L426" s="230"/>
      <c r="M426" s="230"/>
      <c r="N426" s="230"/>
      <c r="O426" s="230"/>
    </row>
    <row r="427" spans="3:15" s="231" customFormat="1" x14ac:dyDescent="0.25">
      <c r="C427" s="230"/>
      <c r="D427" s="230"/>
      <c r="E427" s="230"/>
      <c r="F427" s="230"/>
      <c r="G427" s="230"/>
      <c r="H427" s="230"/>
      <c r="I427" s="230"/>
      <c r="J427" s="230"/>
      <c r="K427" s="230"/>
      <c r="L427" s="230"/>
      <c r="M427" s="230"/>
      <c r="N427" s="230"/>
      <c r="O427" s="230"/>
    </row>
    <row r="428" spans="3:15" s="231" customFormat="1" x14ac:dyDescent="0.25">
      <c r="C428" s="230"/>
      <c r="D428" s="230"/>
      <c r="E428" s="230"/>
      <c r="F428" s="230"/>
      <c r="G428" s="230"/>
      <c r="H428" s="230"/>
      <c r="I428" s="230"/>
      <c r="J428" s="230"/>
      <c r="K428" s="230"/>
      <c r="L428" s="230"/>
      <c r="M428" s="230"/>
      <c r="N428" s="230"/>
      <c r="O428" s="230"/>
    </row>
    <row r="429" spans="3:15" s="231" customFormat="1" x14ac:dyDescent="0.25">
      <c r="C429" s="230"/>
      <c r="D429" s="230"/>
      <c r="E429" s="230"/>
      <c r="F429" s="230"/>
      <c r="G429" s="230"/>
      <c r="H429" s="230"/>
      <c r="I429" s="230"/>
      <c r="J429" s="230"/>
      <c r="K429" s="230"/>
      <c r="L429" s="230"/>
      <c r="M429" s="230"/>
      <c r="N429" s="230"/>
      <c r="O429" s="230"/>
    </row>
    <row r="430" spans="3:15" s="231" customFormat="1" x14ac:dyDescent="0.25">
      <c r="C430" s="230"/>
      <c r="D430" s="230"/>
      <c r="E430" s="230"/>
      <c r="F430" s="230"/>
      <c r="G430" s="230"/>
      <c r="H430" s="230"/>
      <c r="I430" s="230"/>
      <c r="J430" s="230"/>
      <c r="K430" s="230"/>
      <c r="L430" s="230"/>
      <c r="M430" s="230"/>
      <c r="N430" s="230"/>
      <c r="O430" s="230"/>
    </row>
    <row r="431" spans="3:15" s="231" customFormat="1" x14ac:dyDescent="0.25">
      <c r="C431" s="230"/>
      <c r="D431" s="230"/>
      <c r="E431" s="230"/>
      <c r="F431" s="230"/>
      <c r="G431" s="230"/>
      <c r="H431" s="230"/>
      <c r="I431" s="230"/>
      <c r="J431" s="230"/>
      <c r="K431" s="230"/>
      <c r="L431" s="230"/>
      <c r="M431" s="230"/>
      <c r="N431" s="230"/>
      <c r="O431" s="230"/>
    </row>
    <row r="432" spans="3:15" s="231" customFormat="1" x14ac:dyDescent="0.25">
      <c r="C432" s="230"/>
      <c r="D432" s="230"/>
      <c r="E432" s="230"/>
      <c r="F432" s="230"/>
      <c r="G432" s="230"/>
      <c r="H432" s="230"/>
      <c r="I432" s="230"/>
      <c r="J432" s="230"/>
      <c r="K432" s="230"/>
      <c r="L432" s="230"/>
      <c r="M432" s="230"/>
      <c r="N432" s="230"/>
      <c r="O432" s="230"/>
    </row>
    <row r="433" spans="3:15" s="231" customFormat="1" x14ac:dyDescent="0.25">
      <c r="C433" s="230"/>
      <c r="D433" s="230"/>
      <c r="E433" s="230"/>
      <c r="F433" s="230"/>
      <c r="G433" s="230"/>
      <c r="H433" s="230"/>
      <c r="I433" s="230"/>
      <c r="J433" s="230"/>
      <c r="K433" s="230"/>
      <c r="L433" s="230"/>
      <c r="M433" s="230"/>
      <c r="N433" s="230"/>
      <c r="O433" s="230"/>
    </row>
    <row r="434" spans="3:15" s="231" customFormat="1" x14ac:dyDescent="0.25">
      <c r="C434" s="230"/>
      <c r="D434" s="230"/>
      <c r="E434" s="230"/>
      <c r="F434" s="230"/>
      <c r="G434" s="230"/>
      <c r="H434" s="230"/>
      <c r="I434" s="230"/>
      <c r="J434" s="230"/>
      <c r="K434" s="230"/>
      <c r="L434" s="230"/>
      <c r="M434" s="230"/>
      <c r="N434" s="230"/>
      <c r="O434" s="230"/>
    </row>
    <row r="435" spans="3:15" s="231" customFormat="1" x14ac:dyDescent="0.25">
      <c r="C435" s="230"/>
      <c r="D435" s="230"/>
      <c r="E435" s="230"/>
      <c r="F435" s="230"/>
      <c r="G435" s="230"/>
      <c r="H435" s="230"/>
      <c r="I435" s="230"/>
      <c r="J435" s="230"/>
      <c r="K435" s="230"/>
      <c r="L435" s="230"/>
      <c r="M435" s="230"/>
      <c r="N435" s="230"/>
      <c r="O435" s="230"/>
    </row>
    <row r="436" spans="3:15" s="231" customFormat="1" x14ac:dyDescent="0.25">
      <c r="C436" s="230"/>
      <c r="D436" s="230"/>
      <c r="E436" s="230"/>
      <c r="F436" s="230"/>
      <c r="G436" s="230"/>
      <c r="H436" s="230"/>
      <c r="I436" s="230"/>
      <c r="J436" s="230"/>
      <c r="K436" s="230"/>
      <c r="L436" s="230"/>
      <c r="M436" s="230"/>
      <c r="N436" s="230"/>
      <c r="O436" s="230"/>
    </row>
    <row r="437" spans="3:15" s="231" customFormat="1" x14ac:dyDescent="0.25">
      <c r="C437" s="230"/>
      <c r="D437" s="230"/>
      <c r="E437" s="230"/>
      <c r="F437" s="230"/>
      <c r="G437" s="230"/>
      <c r="H437" s="230"/>
      <c r="I437" s="230"/>
      <c r="J437" s="230"/>
      <c r="K437" s="230"/>
      <c r="L437" s="230"/>
      <c r="M437" s="230"/>
      <c r="N437" s="230"/>
      <c r="O437" s="230"/>
    </row>
    <row r="438" spans="3:15" s="231" customFormat="1" x14ac:dyDescent="0.25">
      <c r="C438" s="230"/>
      <c r="D438" s="230"/>
      <c r="E438" s="230"/>
      <c r="F438" s="230"/>
      <c r="G438" s="230"/>
      <c r="H438" s="230"/>
      <c r="I438" s="230"/>
      <c r="J438" s="230"/>
      <c r="K438" s="230"/>
      <c r="L438" s="230"/>
      <c r="M438" s="230"/>
      <c r="N438" s="230"/>
      <c r="O438" s="230"/>
    </row>
    <row r="439" spans="3:15" s="231" customFormat="1" x14ac:dyDescent="0.25">
      <c r="C439" s="230"/>
      <c r="D439" s="230"/>
      <c r="E439" s="230"/>
      <c r="F439" s="230"/>
      <c r="G439" s="230"/>
      <c r="H439" s="230"/>
      <c r="I439" s="230"/>
      <c r="J439" s="230"/>
      <c r="K439" s="230"/>
      <c r="L439" s="230"/>
      <c r="M439" s="230"/>
      <c r="N439" s="230"/>
      <c r="O439" s="230"/>
    </row>
    <row r="440" spans="3:15" s="231" customFormat="1" x14ac:dyDescent="0.25">
      <c r="C440" s="230"/>
      <c r="D440" s="230"/>
      <c r="E440" s="230"/>
      <c r="F440" s="230"/>
      <c r="G440" s="230"/>
      <c r="H440" s="230"/>
      <c r="I440" s="230"/>
      <c r="J440" s="230"/>
      <c r="K440" s="230"/>
      <c r="L440" s="230"/>
      <c r="M440" s="230"/>
      <c r="N440" s="230"/>
      <c r="O440" s="230"/>
    </row>
    <row r="441" spans="3:15" s="231" customFormat="1" x14ac:dyDescent="0.25">
      <c r="C441" s="230"/>
      <c r="D441" s="230"/>
      <c r="E441" s="230"/>
      <c r="F441" s="230"/>
      <c r="G441" s="230"/>
      <c r="H441" s="230"/>
      <c r="I441" s="230"/>
      <c r="J441" s="230"/>
      <c r="K441" s="230"/>
      <c r="L441" s="230"/>
      <c r="M441" s="230"/>
      <c r="N441" s="230"/>
      <c r="O441" s="230"/>
    </row>
    <row r="442" spans="3:15" s="231" customFormat="1" x14ac:dyDescent="0.25">
      <c r="C442" s="230"/>
      <c r="D442" s="230"/>
      <c r="E442" s="230"/>
      <c r="F442" s="230"/>
      <c r="G442" s="230"/>
      <c r="H442" s="230"/>
      <c r="I442" s="230"/>
      <c r="J442" s="230"/>
      <c r="K442" s="230"/>
      <c r="L442" s="230"/>
      <c r="M442" s="230"/>
      <c r="N442" s="230"/>
      <c r="O442" s="230"/>
    </row>
    <row r="443" spans="3:15" s="231" customFormat="1" x14ac:dyDescent="0.25">
      <c r="C443" s="230"/>
      <c r="D443" s="230"/>
      <c r="E443" s="230"/>
      <c r="F443" s="230"/>
      <c r="G443" s="230"/>
      <c r="H443" s="230"/>
      <c r="I443" s="230"/>
      <c r="J443" s="230"/>
      <c r="K443" s="230"/>
      <c r="L443" s="230"/>
      <c r="M443" s="230"/>
      <c r="N443" s="230"/>
      <c r="O443" s="230"/>
    </row>
    <row r="444" spans="3:15" s="231" customFormat="1" x14ac:dyDescent="0.25">
      <c r="C444" s="230"/>
      <c r="D444" s="230"/>
      <c r="E444" s="230"/>
      <c r="F444" s="230"/>
      <c r="G444" s="230"/>
      <c r="H444" s="230"/>
      <c r="I444" s="230"/>
      <c r="J444" s="230"/>
      <c r="K444" s="230"/>
      <c r="L444" s="230"/>
      <c r="M444" s="230"/>
      <c r="N444" s="230"/>
      <c r="O444" s="230"/>
    </row>
    <row r="445" spans="3:15" s="231" customFormat="1" x14ac:dyDescent="0.25">
      <c r="C445" s="230"/>
      <c r="D445" s="230"/>
      <c r="E445" s="230"/>
      <c r="F445" s="230"/>
      <c r="G445" s="230"/>
      <c r="H445" s="230"/>
      <c r="I445" s="230"/>
      <c r="J445" s="230"/>
      <c r="K445" s="230"/>
      <c r="L445" s="230"/>
      <c r="M445" s="230"/>
      <c r="N445" s="230"/>
      <c r="O445" s="230"/>
    </row>
    <row r="446" spans="3:15" s="231" customFormat="1" x14ac:dyDescent="0.25">
      <c r="C446" s="230"/>
      <c r="D446" s="230"/>
      <c r="E446" s="230"/>
      <c r="F446" s="230"/>
      <c r="G446" s="230"/>
      <c r="H446" s="230"/>
      <c r="I446" s="230"/>
      <c r="J446" s="230"/>
      <c r="K446" s="230"/>
      <c r="L446" s="230"/>
      <c r="M446" s="230"/>
      <c r="N446" s="230"/>
      <c r="O446" s="230"/>
    </row>
    <row r="447" spans="3:15" s="231" customFormat="1" x14ac:dyDescent="0.25">
      <c r="C447" s="230"/>
      <c r="D447" s="230"/>
      <c r="E447" s="230"/>
      <c r="F447" s="230"/>
      <c r="G447" s="230"/>
      <c r="H447" s="230"/>
      <c r="I447" s="230"/>
      <c r="J447" s="230"/>
      <c r="K447" s="230"/>
      <c r="L447" s="230"/>
      <c r="M447" s="230"/>
      <c r="N447" s="230"/>
      <c r="O447" s="230"/>
    </row>
    <row r="448" spans="3:15" s="231" customFormat="1" x14ac:dyDescent="0.25">
      <c r="C448" s="230"/>
      <c r="D448" s="230"/>
      <c r="E448" s="230"/>
      <c r="F448" s="230"/>
      <c r="G448" s="230"/>
      <c r="H448" s="230"/>
      <c r="I448" s="230"/>
      <c r="J448" s="230"/>
      <c r="K448" s="230"/>
      <c r="L448" s="230"/>
      <c r="M448" s="230"/>
      <c r="N448" s="230"/>
      <c r="O448" s="230"/>
    </row>
    <row r="449" spans="3:15" s="231" customFormat="1" x14ac:dyDescent="0.25">
      <c r="C449" s="230"/>
      <c r="D449" s="230"/>
      <c r="E449" s="230"/>
      <c r="F449" s="230"/>
      <c r="G449" s="230"/>
      <c r="H449" s="230"/>
      <c r="I449" s="230"/>
      <c r="J449" s="230"/>
      <c r="K449" s="230"/>
      <c r="L449" s="230"/>
      <c r="M449" s="230"/>
      <c r="N449" s="230"/>
      <c r="O449" s="230"/>
    </row>
    <row r="450" spans="3:15" s="231" customFormat="1" x14ac:dyDescent="0.25">
      <c r="C450" s="230"/>
      <c r="D450" s="230"/>
      <c r="E450" s="230"/>
      <c r="F450" s="230"/>
      <c r="G450" s="230"/>
      <c r="H450" s="230"/>
      <c r="I450" s="230"/>
      <c r="J450" s="230"/>
      <c r="K450" s="230"/>
      <c r="L450" s="230"/>
      <c r="M450" s="230"/>
      <c r="N450" s="230"/>
      <c r="O450" s="230"/>
    </row>
    <row r="451" spans="3:15" s="231" customFormat="1" x14ac:dyDescent="0.25">
      <c r="C451" s="230"/>
      <c r="D451" s="230"/>
      <c r="E451" s="230"/>
      <c r="F451" s="230"/>
      <c r="G451" s="230"/>
      <c r="H451" s="230"/>
      <c r="I451" s="230"/>
      <c r="J451" s="230"/>
      <c r="K451" s="230"/>
      <c r="L451" s="230"/>
      <c r="M451" s="230"/>
      <c r="N451" s="230"/>
      <c r="O451" s="230"/>
    </row>
    <row r="452" spans="3:15" s="231" customFormat="1" x14ac:dyDescent="0.25">
      <c r="C452" s="230"/>
      <c r="D452" s="230"/>
      <c r="E452" s="230"/>
      <c r="F452" s="230"/>
      <c r="G452" s="230"/>
      <c r="H452" s="230"/>
      <c r="I452" s="230"/>
      <c r="J452" s="230"/>
      <c r="K452" s="230"/>
      <c r="L452" s="230"/>
      <c r="M452" s="230"/>
      <c r="N452" s="230"/>
      <c r="O452" s="230"/>
    </row>
    <row r="453" spans="3:15" s="231" customFormat="1" x14ac:dyDescent="0.25">
      <c r="C453" s="230"/>
      <c r="D453" s="230"/>
      <c r="E453" s="230"/>
      <c r="F453" s="230"/>
      <c r="G453" s="230"/>
      <c r="H453" s="230"/>
      <c r="I453" s="230"/>
      <c r="J453" s="230"/>
      <c r="K453" s="230"/>
      <c r="L453" s="230"/>
      <c r="M453" s="230"/>
      <c r="N453" s="230"/>
      <c r="O453" s="230"/>
    </row>
    <row r="454" spans="3:15" s="231" customFormat="1" x14ac:dyDescent="0.25">
      <c r="C454" s="230"/>
      <c r="D454" s="230"/>
      <c r="E454" s="230"/>
      <c r="F454" s="230"/>
      <c r="G454" s="230"/>
      <c r="H454" s="230"/>
      <c r="I454" s="230"/>
      <c r="J454" s="230"/>
      <c r="K454" s="230"/>
      <c r="L454" s="230"/>
      <c r="M454" s="230"/>
      <c r="N454" s="230"/>
      <c r="O454" s="230"/>
    </row>
    <row r="455" spans="3:15" s="231" customFormat="1" x14ac:dyDescent="0.25">
      <c r="C455" s="230"/>
      <c r="D455" s="230"/>
      <c r="E455" s="230"/>
      <c r="F455" s="230"/>
      <c r="G455" s="230"/>
      <c r="H455" s="230"/>
      <c r="I455" s="230"/>
      <c r="J455" s="230"/>
      <c r="K455" s="230"/>
      <c r="L455" s="230"/>
      <c r="M455" s="230"/>
      <c r="N455" s="230"/>
      <c r="O455" s="230"/>
    </row>
    <row r="456" spans="3:15" s="231" customFormat="1" x14ac:dyDescent="0.25">
      <c r="C456" s="230"/>
      <c r="D456" s="230"/>
      <c r="E456" s="230"/>
      <c r="F456" s="230"/>
      <c r="G456" s="230"/>
      <c r="H456" s="230"/>
      <c r="I456" s="230"/>
      <c r="J456" s="230"/>
      <c r="K456" s="230"/>
      <c r="L456" s="230"/>
      <c r="M456" s="230"/>
      <c r="N456" s="230"/>
      <c r="O456" s="230"/>
    </row>
    <row r="457" spans="3:15" s="231" customFormat="1" x14ac:dyDescent="0.25">
      <c r="C457" s="230"/>
      <c r="D457" s="230"/>
      <c r="E457" s="230"/>
      <c r="F457" s="230"/>
      <c r="G457" s="230"/>
      <c r="H457" s="230"/>
      <c r="I457" s="230"/>
      <c r="J457" s="230"/>
      <c r="K457" s="230"/>
      <c r="L457" s="230"/>
      <c r="M457" s="230"/>
      <c r="N457" s="230"/>
      <c r="O457" s="230"/>
    </row>
    <row r="458" spans="3:15" s="231" customFormat="1" x14ac:dyDescent="0.25">
      <c r="C458" s="230"/>
      <c r="D458" s="230"/>
      <c r="E458" s="230"/>
      <c r="F458" s="230"/>
      <c r="G458" s="230"/>
      <c r="H458" s="230"/>
      <c r="I458" s="230"/>
      <c r="J458" s="230"/>
      <c r="K458" s="230"/>
      <c r="L458" s="230"/>
      <c r="M458" s="230"/>
      <c r="N458" s="230"/>
      <c r="O458" s="230"/>
    </row>
    <row r="459" spans="3:15" s="231" customFormat="1" x14ac:dyDescent="0.25">
      <c r="C459" s="230"/>
      <c r="D459" s="230"/>
      <c r="E459" s="230"/>
      <c r="F459" s="230"/>
      <c r="G459" s="230"/>
      <c r="H459" s="230"/>
      <c r="I459" s="230"/>
      <c r="J459" s="230"/>
      <c r="K459" s="230"/>
      <c r="L459" s="230"/>
      <c r="M459" s="230"/>
      <c r="N459" s="230"/>
      <c r="O459" s="230"/>
    </row>
    <row r="460" spans="3:15" s="231" customFormat="1" x14ac:dyDescent="0.25">
      <c r="C460" s="230"/>
      <c r="D460" s="230"/>
      <c r="E460" s="230"/>
      <c r="F460" s="230"/>
      <c r="G460" s="230"/>
      <c r="H460" s="230"/>
      <c r="I460" s="230"/>
      <c r="J460" s="230"/>
      <c r="K460" s="230"/>
      <c r="L460" s="230"/>
      <c r="M460" s="230"/>
      <c r="N460" s="230"/>
      <c r="O460" s="230"/>
    </row>
    <row r="461" spans="3:15" s="231" customFormat="1" x14ac:dyDescent="0.25">
      <c r="C461" s="230"/>
      <c r="D461" s="230"/>
      <c r="E461" s="230"/>
      <c r="F461" s="230"/>
      <c r="G461" s="230"/>
      <c r="H461" s="230"/>
      <c r="I461" s="230"/>
      <c r="J461" s="230"/>
      <c r="K461" s="230"/>
      <c r="L461" s="230"/>
      <c r="M461" s="230"/>
      <c r="N461" s="230"/>
      <c r="O461" s="230"/>
    </row>
    <row r="462" spans="3:15" s="231" customFormat="1" x14ac:dyDescent="0.25">
      <c r="C462" s="230"/>
      <c r="D462" s="230"/>
      <c r="E462" s="230"/>
      <c r="F462" s="230"/>
      <c r="G462" s="230"/>
      <c r="H462" s="230"/>
      <c r="I462" s="230"/>
      <c r="J462" s="230"/>
      <c r="K462" s="230"/>
      <c r="L462" s="230"/>
      <c r="M462" s="230"/>
      <c r="N462" s="230"/>
      <c r="O462" s="230"/>
    </row>
    <row r="463" spans="3:15" s="231" customFormat="1" x14ac:dyDescent="0.25">
      <c r="C463" s="230"/>
      <c r="D463" s="230"/>
      <c r="E463" s="230"/>
      <c r="F463" s="230"/>
      <c r="G463" s="230"/>
      <c r="H463" s="230"/>
      <c r="I463" s="230"/>
      <c r="J463" s="230"/>
      <c r="K463" s="230"/>
      <c r="L463" s="230"/>
      <c r="M463" s="230"/>
      <c r="N463" s="230"/>
      <c r="O463" s="230"/>
    </row>
    <row r="464" spans="3:15" s="231" customFormat="1" x14ac:dyDescent="0.25">
      <c r="C464" s="230"/>
      <c r="D464" s="230"/>
      <c r="E464" s="230"/>
      <c r="F464" s="230"/>
      <c r="G464" s="230"/>
      <c r="H464" s="230"/>
      <c r="I464" s="230"/>
      <c r="J464" s="230"/>
      <c r="K464" s="230"/>
      <c r="L464" s="230"/>
      <c r="M464" s="230"/>
      <c r="N464" s="230"/>
      <c r="O464" s="230"/>
    </row>
    <row r="465" spans="3:15" s="231" customFormat="1" x14ac:dyDescent="0.25">
      <c r="C465" s="230"/>
      <c r="D465" s="230"/>
      <c r="E465" s="230"/>
      <c r="F465" s="230"/>
      <c r="G465" s="230"/>
      <c r="H465" s="230"/>
      <c r="I465" s="230"/>
      <c r="J465" s="230"/>
      <c r="K465" s="230"/>
      <c r="L465" s="230"/>
      <c r="M465" s="230"/>
      <c r="N465" s="230"/>
      <c r="O465" s="230"/>
    </row>
    <row r="466" spans="3:15" s="231" customFormat="1" x14ac:dyDescent="0.25">
      <c r="C466" s="230"/>
      <c r="D466" s="230"/>
      <c r="E466" s="230"/>
      <c r="F466" s="230"/>
      <c r="G466" s="230"/>
      <c r="H466" s="230"/>
      <c r="I466" s="230"/>
      <c r="J466" s="230"/>
      <c r="K466" s="230"/>
      <c r="L466" s="230"/>
      <c r="M466" s="230"/>
      <c r="N466" s="230"/>
      <c r="O466" s="230"/>
    </row>
    <row r="467" spans="3:15" s="231" customFormat="1" x14ac:dyDescent="0.25">
      <c r="C467" s="230"/>
      <c r="D467" s="230"/>
      <c r="E467" s="230"/>
      <c r="F467" s="230"/>
      <c r="G467" s="230"/>
      <c r="H467" s="230"/>
      <c r="I467" s="230"/>
      <c r="J467" s="230"/>
      <c r="K467" s="230"/>
      <c r="L467" s="230"/>
      <c r="M467" s="230"/>
      <c r="N467" s="230"/>
      <c r="O467" s="230"/>
    </row>
    <row r="468" spans="3:15" s="231" customFormat="1" x14ac:dyDescent="0.25">
      <c r="C468" s="230"/>
      <c r="D468" s="230"/>
      <c r="E468" s="230"/>
      <c r="F468" s="230"/>
      <c r="G468" s="230"/>
      <c r="H468" s="230"/>
      <c r="I468" s="230"/>
      <c r="J468" s="230"/>
      <c r="K468" s="230"/>
      <c r="L468" s="230"/>
      <c r="M468" s="230"/>
      <c r="N468" s="230"/>
      <c r="O468" s="230"/>
    </row>
    <row r="469" spans="3:15" s="231" customFormat="1" x14ac:dyDescent="0.25">
      <c r="C469" s="230"/>
      <c r="D469" s="230"/>
      <c r="E469" s="230"/>
      <c r="F469" s="230"/>
      <c r="G469" s="230"/>
      <c r="H469" s="230"/>
      <c r="I469" s="230"/>
      <c r="J469" s="230"/>
      <c r="K469" s="230"/>
      <c r="L469" s="230"/>
      <c r="M469" s="230"/>
      <c r="N469" s="230"/>
      <c r="O469" s="230"/>
    </row>
    <row r="470" spans="3:15" s="231" customFormat="1" x14ac:dyDescent="0.25">
      <c r="C470" s="230"/>
      <c r="D470" s="230"/>
      <c r="E470" s="230"/>
      <c r="F470" s="230"/>
      <c r="G470" s="230"/>
      <c r="H470" s="230"/>
      <c r="I470" s="230"/>
      <c r="J470" s="230"/>
      <c r="K470" s="230"/>
      <c r="L470" s="230"/>
      <c r="M470" s="230"/>
      <c r="N470" s="230"/>
      <c r="O470" s="230"/>
    </row>
    <row r="471" spans="3:15" s="231" customFormat="1" x14ac:dyDescent="0.25">
      <c r="C471" s="230"/>
      <c r="D471" s="230"/>
      <c r="E471" s="230"/>
      <c r="F471" s="230"/>
      <c r="G471" s="230"/>
      <c r="H471" s="230"/>
      <c r="I471" s="230"/>
      <c r="J471" s="230"/>
      <c r="K471" s="230"/>
      <c r="L471" s="230"/>
      <c r="M471" s="230"/>
      <c r="N471" s="230"/>
      <c r="O471" s="230"/>
    </row>
    <row r="472" spans="3:15" s="231" customFormat="1" x14ac:dyDescent="0.25">
      <c r="C472" s="230"/>
      <c r="D472" s="230"/>
      <c r="E472" s="230"/>
      <c r="F472" s="230"/>
      <c r="G472" s="230"/>
      <c r="H472" s="230"/>
      <c r="I472" s="230"/>
      <c r="J472" s="230"/>
      <c r="K472" s="230"/>
      <c r="L472" s="230"/>
      <c r="M472" s="230"/>
      <c r="N472" s="230"/>
      <c r="O472" s="230"/>
    </row>
    <row r="473" spans="3:15" s="231" customFormat="1" x14ac:dyDescent="0.25">
      <c r="C473" s="230"/>
      <c r="D473" s="230"/>
      <c r="E473" s="230"/>
      <c r="F473" s="230"/>
      <c r="G473" s="230"/>
      <c r="H473" s="230"/>
      <c r="I473" s="230"/>
      <c r="J473" s="230"/>
      <c r="K473" s="230"/>
      <c r="L473" s="230"/>
      <c r="M473" s="230"/>
      <c r="N473" s="230"/>
      <c r="O473" s="230"/>
    </row>
    <row r="474" spans="3:15" s="231" customFormat="1" x14ac:dyDescent="0.25">
      <c r="C474" s="230"/>
      <c r="D474" s="230"/>
      <c r="E474" s="230"/>
      <c r="F474" s="230"/>
      <c r="G474" s="230"/>
      <c r="H474" s="230"/>
      <c r="I474" s="230"/>
      <c r="J474" s="230"/>
      <c r="K474" s="230"/>
      <c r="L474" s="230"/>
      <c r="M474" s="230"/>
      <c r="N474" s="230"/>
      <c r="O474" s="230"/>
    </row>
    <row r="475" spans="3:15" s="231" customFormat="1" x14ac:dyDescent="0.25">
      <c r="C475" s="230"/>
      <c r="D475" s="230"/>
      <c r="E475" s="230"/>
      <c r="F475" s="230"/>
      <c r="G475" s="230"/>
      <c r="H475" s="230"/>
      <c r="I475" s="230"/>
      <c r="J475" s="230"/>
      <c r="K475" s="230"/>
      <c r="L475" s="230"/>
      <c r="M475" s="230"/>
      <c r="N475" s="230"/>
      <c r="O475" s="230"/>
    </row>
    <row r="476" spans="3:15" s="231" customFormat="1" x14ac:dyDescent="0.25">
      <c r="C476" s="230"/>
      <c r="D476" s="230"/>
      <c r="E476" s="230"/>
      <c r="F476" s="230"/>
      <c r="G476" s="230"/>
      <c r="H476" s="230"/>
      <c r="I476" s="230"/>
      <c r="J476" s="230"/>
      <c r="K476" s="230"/>
      <c r="L476" s="230"/>
      <c r="M476" s="230"/>
      <c r="N476" s="230"/>
      <c r="O476" s="230"/>
    </row>
    <row r="477" spans="3:15" s="231" customFormat="1" x14ac:dyDescent="0.25">
      <c r="C477" s="230"/>
      <c r="D477" s="230"/>
      <c r="E477" s="230"/>
      <c r="F477" s="230"/>
      <c r="G477" s="230"/>
      <c r="H477" s="230"/>
      <c r="I477" s="230"/>
      <c r="J477" s="230"/>
      <c r="K477" s="230"/>
      <c r="L477" s="230"/>
      <c r="M477" s="230"/>
      <c r="N477" s="230"/>
      <c r="O477" s="230"/>
    </row>
    <row r="478" spans="3:15" s="231" customFormat="1" x14ac:dyDescent="0.25">
      <c r="C478" s="230"/>
      <c r="D478" s="230"/>
      <c r="E478" s="230"/>
      <c r="F478" s="230"/>
      <c r="G478" s="230"/>
      <c r="H478" s="230"/>
      <c r="I478" s="230"/>
      <c r="J478" s="230"/>
      <c r="K478" s="230"/>
      <c r="L478" s="230"/>
      <c r="M478" s="230"/>
      <c r="N478" s="230"/>
      <c r="O478" s="230"/>
    </row>
    <row r="479" spans="3:15" s="231" customFormat="1" x14ac:dyDescent="0.25">
      <c r="C479" s="230"/>
      <c r="D479" s="230"/>
      <c r="E479" s="230"/>
      <c r="F479" s="230"/>
      <c r="G479" s="230"/>
      <c r="H479" s="230"/>
      <c r="I479" s="230"/>
      <c r="J479" s="230"/>
      <c r="K479" s="230"/>
      <c r="L479" s="230"/>
      <c r="M479" s="230"/>
      <c r="N479" s="230"/>
      <c r="O479" s="230"/>
    </row>
    <row r="480" spans="3:15" s="231" customFormat="1" x14ac:dyDescent="0.25">
      <c r="C480" s="230"/>
      <c r="D480" s="230"/>
      <c r="E480" s="230"/>
      <c r="F480" s="230"/>
      <c r="G480" s="230"/>
      <c r="H480" s="230"/>
      <c r="I480" s="230"/>
      <c r="J480" s="230"/>
      <c r="K480" s="230"/>
      <c r="L480" s="230"/>
      <c r="M480" s="230"/>
      <c r="N480" s="230"/>
      <c r="O480" s="230"/>
    </row>
    <row r="481" spans="3:15" s="231" customFormat="1" x14ac:dyDescent="0.25">
      <c r="C481" s="230"/>
      <c r="D481" s="230"/>
      <c r="E481" s="230"/>
      <c r="F481" s="230"/>
      <c r="G481" s="230"/>
      <c r="H481" s="230"/>
      <c r="I481" s="230"/>
      <c r="J481" s="230"/>
      <c r="K481" s="230"/>
      <c r="L481" s="230"/>
      <c r="M481" s="230"/>
      <c r="N481" s="230"/>
      <c r="O481" s="230"/>
    </row>
    <row r="482" spans="3:15" s="231" customFormat="1" x14ac:dyDescent="0.25">
      <c r="C482" s="230"/>
      <c r="D482" s="230"/>
      <c r="E482" s="230"/>
      <c r="F482" s="230"/>
      <c r="G482" s="230"/>
      <c r="H482" s="230"/>
      <c r="I482" s="230"/>
      <c r="J482" s="230"/>
      <c r="K482" s="230"/>
      <c r="L482" s="230"/>
      <c r="M482" s="230"/>
      <c r="N482" s="230"/>
      <c r="O482" s="230"/>
    </row>
    <row r="483" spans="3:15" s="231" customFormat="1" x14ac:dyDescent="0.25">
      <c r="C483" s="230"/>
      <c r="D483" s="230"/>
      <c r="E483" s="230"/>
      <c r="F483" s="230"/>
      <c r="G483" s="230"/>
      <c r="H483" s="230"/>
      <c r="I483" s="230"/>
      <c r="J483" s="230"/>
      <c r="K483" s="230"/>
      <c r="L483" s="230"/>
      <c r="M483" s="230"/>
      <c r="N483" s="230"/>
      <c r="O483" s="230"/>
    </row>
    <row r="484" spans="3:15" s="231" customFormat="1" x14ac:dyDescent="0.25">
      <c r="C484" s="230"/>
      <c r="D484" s="230"/>
      <c r="E484" s="230"/>
      <c r="F484" s="230"/>
      <c r="G484" s="230"/>
      <c r="H484" s="230"/>
      <c r="I484" s="230"/>
      <c r="J484" s="230"/>
      <c r="K484" s="230"/>
      <c r="L484" s="230"/>
      <c r="M484" s="230"/>
      <c r="N484" s="230"/>
      <c r="O484" s="230"/>
    </row>
    <row r="485" spans="3:15" s="231" customFormat="1" x14ac:dyDescent="0.25">
      <c r="C485" s="230"/>
      <c r="D485" s="230"/>
      <c r="E485" s="230"/>
      <c r="F485" s="230"/>
      <c r="G485" s="230"/>
      <c r="H485" s="230"/>
      <c r="I485" s="230"/>
      <c r="J485" s="230"/>
      <c r="K485" s="230"/>
      <c r="L485" s="230"/>
      <c r="M485" s="230"/>
      <c r="N485" s="230"/>
      <c r="O485" s="230"/>
    </row>
    <row r="486" spans="3:15" s="231" customFormat="1" x14ac:dyDescent="0.25">
      <c r="C486" s="230"/>
      <c r="D486" s="230"/>
      <c r="E486" s="230"/>
      <c r="F486" s="230"/>
      <c r="G486" s="230"/>
      <c r="H486" s="230"/>
      <c r="I486" s="230"/>
      <c r="J486" s="230"/>
      <c r="K486" s="230"/>
      <c r="L486" s="230"/>
      <c r="M486" s="230"/>
      <c r="N486" s="230"/>
      <c r="O486" s="230"/>
    </row>
    <row r="487" spans="3:15" s="231" customFormat="1" x14ac:dyDescent="0.25">
      <c r="C487" s="230"/>
      <c r="D487" s="230"/>
      <c r="E487" s="230"/>
      <c r="F487" s="230"/>
      <c r="G487" s="230"/>
      <c r="H487" s="230"/>
      <c r="I487" s="230"/>
      <c r="J487" s="230"/>
      <c r="K487" s="230"/>
      <c r="L487" s="230"/>
      <c r="M487" s="230"/>
      <c r="N487" s="230"/>
      <c r="O487" s="230"/>
    </row>
    <row r="488" spans="3:15" s="231" customFormat="1" x14ac:dyDescent="0.25">
      <c r="C488" s="230"/>
      <c r="D488" s="230"/>
      <c r="E488" s="230"/>
      <c r="F488" s="230"/>
      <c r="G488" s="230"/>
      <c r="H488" s="230"/>
      <c r="I488" s="230"/>
      <c r="J488" s="230"/>
      <c r="K488" s="230"/>
      <c r="L488" s="230"/>
      <c r="M488" s="230"/>
      <c r="N488" s="230"/>
      <c r="O488" s="230"/>
    </row>
    <row r="489" spans="3:15" s="231" customFormat="1" x14ac:dyDescent="0.25">
      <c r="C489" s="230"/>
      <c r="D489" s="230"/>
      <c r="E489" s="230"/>
      <c r="F489" s="230"/>
      <c r="G489" s="230"/>
      <c r="H489" s="230"/>
      <c r="I489" s="230"/>
      <c r="J489" s="230"/>
      <c r="K489" s="230"/>
      <c r="L489" s="230"/>
      <c r="M489" s="230"/>
      <c r="N489" s="230"/>
      <c r="O489" s="230"/>
    </row>
    <row r="490" spans="3:15" s="231" customFormat="1" x14ac:dyDescent="0.25">
      <c r="C490" s="230"/>
      <c r="D490" s="230"/>
      <c r="E490" s="230"/>
      <c r="F490" s="230"/>
      <c r="G490" s="230"/>
      <c r="H490" s="230"/>
      <c r="I490" s="230"/>
      <c r="J490" s="230"/>
      <c r="K490" s="230"/>
      <c r="L490" s="230"/>
      <c r="M490" s="230"/>
      <c r="N490" s="230"/>
      <c r="O490" s="230"/>
    </row>
    <row r="491" spans="3:15" s="231" customFormat="1" x14ac:dyDescent="0.25">
      <c r="C491" s="230"/>
      <c r="D491" s="230"/>
      <c r="E491" s="230"/>
      <c r="F491" s="230"/>
      <c r="G491" s="230"/>
      <c r="H491" s="230"/>
      <c r="I491" s="230"/>
      <c r="J491" s="230"/>
      <c r="K491" s="230"/>
      <c r="L491" s="230"/>
      <c r="M491" s="230"/>
      <c r="N491" s="230"/>
      <c r="O491" s="230"/>
    </row>
    <row r="492" spans="3:15" s="231" customFormat="1" x14ac:dyDescent="0.25">
      <c r="C492" s="230"/>
      <c r="D492" s="230"/>
      <c r="E492" s="230"/>
      <c r="F492" s="230"/>
      <c r="G492" s="230"/>
      <c r="H492" s="230"/>
      <c r="I492" s="230"/>
      <c r="J492" s="230"/>
      <c r="K492" s="230"/>
      <c r="L492" s="230"/>
      <c r="M492" s="230"/>
      <c r="N492" s="230"/>
      <c r="O492" s="230"/>
    </row>
    <row r="493" spans="3:15" s="231" customFormat="1" x14ac:dyDescent="0.25">
      <c r="C493" s="230"/>
      <c r="D493" s="230"/>
      <c r="E493" s="230"/>
      <c r="F493" s="230"/>
      <c r="G493" s="230"/>
      <c r="H493" s="230"/>
      <c r="I493" s="230"/>
      <c r="J493" s="230"/>
      <c r="K493" s="230"/>
      <c r="L493" s="230"/>
      <c r="M493" s="230"/>
      <c r="N493" s="230"/>
      <c r="O493" s="230"/>
    </row>
    <row r="494" spans="3:15" s="231" customFormat="1" x14ac:dyDescent="0.25">
      <c r="C494" s="230"/>
      <c r="D494" s="230"/>
      <c r="E494" s="230"/>
      <c r="F494" s="230"/>
      <c r="G494" s="230"/>
      <c r="H494" s="230"/>
      <c r="I494" s="230"/>
      <c r="J494" s="230"/>
      <c r="K494" s="230"/>
      <c r="L494" s="230"/>
      <c r="M494" s="230"/>
      <c r="N494" s="230"/>
      <c r="O494" s="230"/>
    </row>
    <row r="495" spans="3:15" s="231" customFormat="1" x14ac:dyDescent="0.25">
      <c r="C495" s="230"/>
      <c r="D495" s="230"/>
      <c r="E495" s="230"/>
      <c r="F495" s="230"/>
      <c r="G495" s="230"/>
      <c r="H495" s="230"/>
      <c r="I495" s="230"/>
      <c r="J495" s="230"/>
      <c r="K495" s="230"/>
      <c r="L495" s="230"/>
      <c r="M495" s="230"/>
      <c r="N495" s="230"/>
      <c r="O495" s="230"/>
    </row>
    <row r="496" spans="3:15" s="231" customFormat="1" x14ac:dyDescent="0.25">
      <c r="C496" s="230"/>
      <c r="D496" s="230"/>
      <c r="E496" s="230"/>
      <c r="F496" s="230"/>
      <c r="G496" s="230"/>
      <c r="H496" s="230"/>
      <c r="I496" s="230"/>
      <c r="J496" s="230"/>
      <c r="K496" s="230"/>
      <c r="L496" s="230"/>
      <c r="M496" s="230"/>
      <c r="N496" s="230"/>
      <c r="O496" s="230"/>
    </row>
    <row r="497" spans="3:15" s="231" customFormat="1" x14ac:dyDescent="0.25">
      <c r="C497" s="230"/>
      <c r="D497" s="230"/>
      <c r="E497" s="230"/>
      <c r="F497" s="230"/>
      <c r="G497" s="230"/>
      <c r="H497" s="230"/>
      <c r="I497" s="230"/>
      <c r="J497" s="230"/>
      <c r="K497" s="230"/>
      <c r="L497" s="230"/>
      <c r="M497" s="230"/>
      <c r="N497" s="230"/>
      <c r="O497" s="230"/>
    </row>
    <row r="498" spans="3:15" s="231" customFormat="1" x14ac:dyDescent="0.25">
      <c r="C498" s="230"/>
      <c r="D498" s="230"/>
      <c r="E498" s="230"/>
      <c r="F498" s="230"/>
      <c r="G498" s="230"/>
      <c r="H498" s="230"/>
      <c r="I498" s="230"/>
      <c r="J498" s="230"/>
      <c r="K498" s="230"/>
      <c r="L498" s="230"/>
      <c r="M498" s="230"/>
      <c r="N498" s="230"/>
      <c r="O498" s="230"/>
    </row>
    <row r="499" spans="3:15" s="231" customFormat="1" x14ac:dyDescent="0.25">
      <c r="C499" s="230"/>
      <c r="D499" s="230"/>
      <c r="E499" s="230"/>
      <c r="F499" s="230"/>
      <c r="G499" s="230"/>
      <c r="H499" s="230"/>
      <c r="I499" s="230"/>
      <c r="J499" s="230"/>
      <c r="K499" s="230"/>
      <c r="L499" s="230"/>
      <c r="M499" s="230"/>
      <c r="N499" s="230"/>
      <c r="O499" s="230"/>
    </row>
    <row r="500" spans="3:15" s="231" customFormat="1" x14ac:dyDescent="0.25">
      <c r="C500" s="230"/>
      <c r="D500" s="230"/>
      <c r="E500" s="230"/>
      <c r="F500" s="230"/>
      <c r="G500" s="230"/>
      <c r="H500" s="230"/>
      <c r="I500" s="230"/>
      <c r="J500" s="230"/>
      <c r="K500" s="230"/>
      <c r="L500" s="230"/>
      <c r="M500" s="230"/>
      <c r="N500" s="230"/>
      <c r="O500" s="230"/>
    </row>
    <row r="501" spans="3:15" s="231" customFormat="1" x14ac:dyDescent="0.25">
      <c r="C501" s="230"/>
      <c r="D501" s="230"/>
      <c r="E501" s="230"/>
      <c r="F501" s="230"/>
      <c r="G501" s="230"/>
      <c r="H501" s="230"/>
      <c r="I501" s="230"/>
      <c r="J501" s="230"/>
      <c r="K501" s="230"/>
      <c r="L501" s="230"/>
      <c r="M501" s="230"/>
      <c r="N501" s="230"/>
      <c r="O501" s="230"/>
    </row>
    <row r="502" spans="3:15" s="231" customFormat="1" x14ac:dyDescent="0.25">
      <c r="C502" s="230"/>
      <c r="D502" s="230"/>
      <c r="E502" s="230"/>
      <c r="F502" s="230"/>
      <c r="G502" s="230"/>
      <c r="H502" s="230"/>
      <c r="I502" s="230"/>
      <c r="J502" s="230"/>
      <c r="K502" s="230"/>
      <c r="L502" s="230"/>
      <c r="M502" s="230"/>
      <c r="N502" s="230"/>
      <c r="O502" s="230"/>
    </row>
    <row r="503" spans="3:15" s="231" customFormat="1" x14ac:dyDescent="0.25">
      <c r="C503" s="230"/>
      <c r="D503" s="230"/>
      <c r="E503" s="230"/>
      <c r="F503" s="230"/>
      <c r="G503" s="230"/>
      <c r="H503" s="230"/>
      <c r="I503" s="230"/>
      <c r="J503" s="230"/>
      <c r="K503" s="230"/>
      <c r="L503" s="230"/>
      <c r="M503" s="230"/>
      <c r="N503" s="230"/>
      <c r="O503" s="230"/>
    </row>
    <row r="504" spans="3:15" s="231" customFormat="1" x14ac:dyDescent="0.25">
      <c r="C504" s="230"/>
      <c r="D504" s="230"/>
      <c r="E504" s="230"/>
      <c r="F504" s="230"/>
      <c r="G504" s="230"/>
      <c r="H504" s="230"/>
      <c r="I504" s="230"/>
      <c r="J504" s="230"/>
      <c r="K504" s="230"/>
      <c r="L504" s="230"/>
      <c r="M504" s="230"/>
      <c r="N504" s="230"/>
      <c r="O504" s="230"/>
    </row>
    <row r="505" spans="3:15" s="231" customFormat="1" x14ac:dyDescent="0.25">
      <c r="C505" s="230"/>
      <c r="D505" s="230"/>
      <c r="E505" s="230"/>
      <c r="F505" s="230"/>
      <c r="G505" s="230"/>
      <c r="H505" s="230"/>
      <c r="I505" s="230"/>
      <c r="J505" s="230"/>
      <c r="K505" s="230"/>
      <c r="L505" s="230"/>
      <c r="M505" s="230"/>
      <c r="N505" s="230"/>
      <c r="O505" s="230"/>
    </row>
    <row r="506" spans="3:15" s="231" customFormat="1" x14ac:dyDescent="0.25">
      <c r="C506" s="230"/>
      <c r="D506" s="230"/>
      <c r="E506" s="230"/>
      <c r="F506" s="230"/>
      <c r="G506" s="230"/>
      <c r="H506" s="230"/>
      <c r="I506" s="230"/>
      <c r="J506" s="230"/>
      <c r="K506" s="230"/>
      <c r="L506" s="230"/>
      <c r="M506" s="230"/>
      <c r="N506" s="230"/>
      <c r="O506" s="230"/>
    </row>
    <row r="507" spans="3:15" s="231" customFormat="1" x14ac:dyDescent="0.25">
      <c r="C507" s="230"/>
      <c r="D507" s="230"/>
      <c r="E507" s="230"/>
      <c r="F507" s="230"/>
      <c r="G507" s="230"/>
      <c r="H507" s="230"/>
      <c r="I507" s="230"/>
      <c r="J507" s="230"/>
      <c r="K507" s="230"/>
      <c r="L507" s="230"/>
      <c r="M507" s="230"/>
      <c r="N507" s="230"/>
      <c r="O507" s="230"/>
    </row>
    <row r="508" spans="3:15" s="231" customFormat="1" x14ac:dyDescent="0.25">
      <c r="C508" s="230"/>
      <c r="D508" s="230"/>
      <c r="E508" s="230"/>
      <c r="F508" s="230"/>
      <c r="G508" s="230"/>
      <c r="H508" s="230"/>
      <c r="I508" s="230"/>
      <c r="J508" s="230"/>
      <c r="K508" s="230"/>
      <c r="L508" s="230"/>
      <c r="M508" s="230"/>
      <c r="N508" s="230"/>
      <c r="O508" s="230"/>
    </row>
    <row r="509" spans="3:15" s="231" customFormat="1" x14ac:dyDescent="0.25">
      <c r="C509" s="230"/>
      <c r="D509" s="230"/>
      <c r="E509" s="230"/>
      <c r="F509" s="230"/>
      <c r="G509" s="230"/>
      <c r="H509" s="230"/>
      <c r="I509" s="230"/>
      <c r="J509" s="230"/>
      <c r="K509" s="230"/>
      <c r="L509" s="230"/>
      <c r="M509" s="230"/>
      <c r="N509" s="230"/>
      <c r="O509" s="230"/>
    </row>
    <row r="510" spans="3:15" s="231" customFormat="1" x14ac:dyDescent="0.25">
      <c r="C510" s="230"/>
      <c r="D510" s="230"/>
      <c r="E510" s="230"/>
      <c r="F510" s="230"/>
      <c r="G510" s="230"/>
      <c r="H510" s="230"/>
      <c r="I510" s="230"/>
      <c r="J510" s="230"/>
      <c r="K510" s="230"/>
      <c r="L510" s="230"/>
      <c r="M510" s="230"/>
      <c r="N510" s="230"/>
      <c r="O510" s="230"/>
    </row>
    <row r="511" spans="3:15" s="231" customFormat="1" x14ac:dyDescent="0.25">
      <c r="C511" s="230"/>
      <c r="D511" s="230"/>
      <c r="E511" s="230"/>
      <c r="F511" s="230"/>
      <c r="G511" s="230"/>
      <c r="H511" s="230"/>
      <c r="I511" s="230"/>
      <c r="J511" s="230"/>
      <c r="K511" s="230"/>
      <c r="L511" s="230"/>
      <c r="M511" s="230"/>
      <c r="N511" s="230"/>
      <c r="O511" s="230"/>
    </row>
    <row r="512" spans="3:15" s="231" customFormat="1" x14ac:dyDescent="0.25">
      <c r="C512" s="230"/>
      <c r="D512" s="230"/>
      <c r="E512" s="230"/>
      <c r="F512" s="230"/>
      <c r="G512" s="230"/>
      <c r="H512" s="230"/>
      <c r="I512" s="230"/>
      <c r="J512" s="230"/>
      <c r="K512" s="230"/>
      <c r="L512" s="230"/>
      <c r="M512" s="230"/>
      <c r="N512" s="230"/>
      <c r="O512" s="230"/>
    </row>
    <row r="513" spans="3:15" s="231" customFormat="1" x14ac:dyDescent="0.25">
      <c r="C513" s="230"/>
      <c r="D513" s="230"/>
      <c r="E513" s="230"/>
      <c r="F513" s="230"/>
      <c r="G513" s="230"/>
      <c r="H513" s="230"/>
      <c r="I513" s="230"/>
      <c r="J513" s="230"/>
      <c r="K513" s="230"/>
      <c r="L513" s="230"/>
      <c r="M513" s="230"/>
      <c r="N513" s="230"/>
      <c r="O513" s="230"/>
    </row>
    <row r="514" spans="3:15" s="231" customFormat="1" x14ac:dyDescent="0.25">
      <c r="C514" s="230"/>
      <c r="D514" s="230"/>
      <c r="E514" s="230"/>
      <c r="F514" s="230"/>
      <c r="G514" s="230"/>
      <c r="H514" s="230"/>
      <c r="I514" s="230"/>
      <c r="J514" s="230"/>
      <c r="K514" s="230"/>
      <c r="L514" s="230"/>
      <c r="M514" s="230"/>
      <c r="N514" s="230"/>
      <c r="O514" s="230"/>
    </row>
    <row r="515" spans="3:15" s="231" customFormat="1" x14ac:dyDescent="0.25">
      <c r="C515" s="230"/>
      <c r="D515" s="230"/>
      <c r="E515" s="230"/>
      <c r="F515" s="230"/>
      <c r="G515" s="230"/>
      <c r="H515" s="230"/>
      <c r="I515" s="230"/>
      <c r="J515" s="230"/>
      <c r="K515" s="230"/>
      <c r="L515" s="230"/>
      <c r="M515" s="230"/>
      <c r="N515" s="230"/>
      <c r="O515" s="230"/>
    </row>
    <row r="516" spans="3:15" s="231" customFormat="1" x14ac:dyDescent="0.25">
      <c r="C516" s="230"/>
      <c r="D516" s="230"/>
      <c r="E516" s="230"/>
      <c r="F516" s="230"/>
      <c r="G516" s="230"/>
      <c r="H516" s="230"/>
      <c r="I516" s="230"/>
      <c r="J516" s="230"/>
      <c r="K516" s="230"/>
      <c r="L516" s="230"/>
      <c r="M516" s="230"/>
      <c r="N516" s="230"/>
      <c r="O516" s="230"/>
    </row>
    <row r="517" spans="3:15" s="231" customFormat="1" x14ac:dyDescent="0.25">
      <c r="C517" s="230"/>
      <c r="D517" s="230"/>
      <c r="E517" s="230"/>
      <c r="F517" s="230"/>
      <c r="G517" s="230"/>
      <c r="H517" s="230"/>
      <c r="I517" s="230"/>
      <c r="J517" s="230"/>
      <c r="K517" s="230"/>
      <c r="L517" s="230"/>
      <c r="M517" s="230"/>
      <c r="N517" s="230"/>
      <c r="O517" s="230"/>
    </row>
    <row r="518" spans="3:15" s="231" customFormat="1" x14ac:dyDescent="0.25">
      <c r="C518" s="230"/>
      <c r="D518" s="230"/>
      <c r="E518" s="230"/>
      <c r="F518" s="230"/>
      <c r="G518" s="230"/>
      <c r="H518" s="230"/>
      <c r="I518" s="230"/>
      <c r="J518" s="230"/>
      <c r="K518" s="230"/>
      <c r="L518" s="230"/>
      <c r="M518" s="230"/>
      <c r="N518" s="230"/>
      <c r="O518" s="230"/>
    </row>
    <row r="519" spans="3:15" s="231" customFormat="1" x14ac:dyDescent="0.25">
      <c r="C519" s="230"/>
      <c r="D519" s="230"/>
      <c r="E519" s="230"/>
      <c r="F519" s="230"/>
      <c r="G519" s="230"/>
      <c r="H519" s="230"/>
      <c r="I519" s="230"/>
      <c r="J519" s="230"/>
      <c r="K519" s="230"/>
      <c r="L519" s="230"/>
      <c r="M519" s="230"/>
      <c r="N519" s="230"/>
      <c r="O519" s="230"/>
    </row>
    <row r="520" spans="3:15" s="231" customFormat="1" x14ac:dyDescent="0.25">
      <c r="C520" s="230"/>
      <c r="D520" s="230"/>
      <c r="E520" s="230"/>
      <c r="F520" s="230"/>
      <c r="G520" s="230"/>
      <c r="H520" s="230"/>
      <c r="I520" s="230"/>
      <c r="J520" s="230"/>
      <c r="K520" s="230"/>
      <c r="L520" s="230"/>
      <c r="M520" s="230"/>
      <c r="N520" s="230"/>
      <c r="O520" s="230"/>
    </row>
    <row r="521" spans="3:15" s="231" customFormat="1" x14ac:dyDescent="0.25">
      <c r="C521" s="230"/>
      <c r="D521" s="230"/>
      <c r="E521" s="230"/>
      <c r="F521" s="230"/>
      <c r="G521" s="230"/>
      <c r="H521" s="230"/>
      <c r="I521" s="230"/>
      <c r="J521" s="230"/>
      <c r="K521" s="230"/>
      <c r="L521" s="230"/>
      <c r="M521" s="230"/>
      <c r="N521" s="230"/>
      <c r="O521" s="230"/>
    </row>
    <row r="522" spans="3:15" s="231" customFormat="1" x14ac:dyDescent="0.25">
      <c r="C522" s="230"/>
      <c r="D522" s="230"/>
      <c r="E522" s="230"/>
      <c r="F522" s="230"/>
      <c r="G522" s="230"/>
      <c r="H522" s="230"/>
      <c r="I522" s="230"/>
      <c r="J522" s="230"/>
      <c r="K522" s="230"/>
      <c r="L522" s="230"/>
      <c r="M522" s="230"/>
      <c r="N522" s="230"/>
      <c r="O522" s="230"/>
    </row>
    <row r="523" spans="3:15" s="231" customFormat="1" x14ac:dyDescent="0.25">
      <c r="C523" s="230"/>
      <c r="D523" s="230"/>
      <c r="E523" s="230"/>
      <c r="F523" s="230"/>
      <c r="G523" s="230"/>
      <c r="H523" s="230"/>
      <c r="I523" s="230"/>
      <c r="J523" s="230"/>
      <c r="K523" s="230"/>
      <c r="L523" s="230"/>
      <c r="M523" s="230"/>
      <c r="N523" s="230"/>
      <c r="O523" s="230"/>
    </row>
    <row r="524" spans="3:15" s="231" customFormat="1" x14ac:dyDescent="0.25">
      <c r="C524" s="230"/>
      <c r="D524" s="230"/>
      <c r="E524" s="230"/>
      <c r="F524" s="230"/>
      <c r="G524" s="230"/>
      <c r="H524" s="230"/>
      <c r="I524" s="230"/>
      <c r="J524" s="230"/>
      <c r="K524" s="230"/>
      <c r="L524" s="230"/>
      <c r="M524" s="230"/>
      <c r="N524" s="230"/>
      <c r="O524" s="230"/>
    </row>
    <row r="525" spans="3:15" s="231" customFormat="1" x14ac:dyDescent="0.25">
      <c r="C525" s="230"/>
      <c r="D525" s="230"/>
      <c r="E525" s="230"/>
      <c r="F525" s="230"/>
      <c r="G525" s="230"/>
      <c r="H525" s="230"/>
      <c r="I525" s="230"/>
      <c r="J525" s="230"/>
      <c r="K525" s="230"/>
      <c r="L525" s="230"/>
      <c r="M525" s="230"/>
      <c r="N525" s="230"/>
      <c r="O525" s="230"/>
    </row>
    <row r="526" spans="3:15" s="231" customFormat="1" x14ac:dyDescent="0.25">
      <c r="C526" s="230"/>
      <c r="D526" s="230"/>
      <c r="E526" s="230"/>
      <c r="F526" s="230"/>
      <c r="G526" s="230"/>
      <c r="H526" s="230"/>
      <c r="I526" s="230"/>
      <c r="J526" s="230"/>
      <c r="K526" s="230"/>
      <c r="L526" s="230"/>
      <c r="M526" s="230"/>
      <c r="N526" s="230"/>
      <c r="O526" s="230"/>
    </row>
    <row r="527" spans="3:15" s="231" customFormat="1" x14ac:dyDescent="0.25">
      <c r="C527" s="230"/>
      <c r="D527" s="230"/>
      <c r="E527" s="230"/>
      <c r="F527" s="230"/>
      <c r="G527" s="230"/>
      <c r="H527" s="230"/>
      <c r="I527" s="230"/>
      <c r="J527" s="230"/>
      <c r="K527" s="230"/>
      <c r="L527" s="230"/>
      <c r="M527" s="230"/>
      <c r="N527" s="230"/>
      <c r="O527" s="230"/>
    </row>
    <row r="528" spans="3:15" s="231" customFormat="1" x14ac:dyDescent="0.25">
      <c r="C528" s="230"/>
      <c r="D528" s="230"/>
      <c r="E528" s="230"/>
      <c r="F528" s="230"/>
      <c r="G528" s="230"/>
      <c r="H528" s="230"/>
      <c r="I528" s="230"/>
      <c r="J528" s="230"/>
      <c r="K528" s="230"/>
      <c r="L528" s="230"/>
      <c r="M528" s="230"/>
      <c r="N528" s="230"/>
      <c r="O528" s="230"/>
    </row>
    <row r="529" spans="3:15" s="231" customFormat="1" x14ac:dyDescent="0.25">
      <c r="C529" s="230"/>
      <c r="D529" s="230"/>
      <c r="E529" s="230"/>
      <c r="F529" s="230"/>
      <c r="G529" s="230"/>
      <c r="H529" s="230"/>
      <c r="I529" s="230"/>
      <c r="J529" s="230"/>
      <c r="K529" s="230"/>
      <c r="L529" s="230"/>
      <c r="M529" s="230"/>
      <c r="N529" s="230"/>
      <c r="O529" s="230"/>
    </row>
    <row r="530" spans="3:15" s="231" customFormat="1" x14ac:dyDescent="0.25">
      <c r="C530" s="230"/>
      <c r="D530" s="230"/>
      <c r="E530" s="230"/>
      <c r="F530" s="230"/>
      <c r="G530" s="230"/>
      <c r="H530" s="230"/>
      <c r="I530" s="230"/>
      <c r="J530" s="230"/>
      <c r="K530" s="230"/>
      <c r="L530" s="230"/>
      <c r="M530" s="230"/>
      <c r="N530" s="230"/>
      <c r="O530" s="230"/>
    </row>
    <row r="531" spans="3:15" s="231" customFormat="1" x14ac:dyDescent="0.25">
      <c r="C531" s="230"/>
      <c r="D531" s="230"/>
      <c r="E531" s="230"/>
      <c r="F531" s="230"/>
      <c r="G531" s="230"/>
      <c r="H531" s="230"/>
      <c r="I531" s="230"/>
      <c r="J531" s="230"/>
      <c r="K531" s="230"/>
      <c r="L531" s="230"/>
      <c r="M531" s="230"/>
      <c r="N531" s="230"/>
      <c r="O531" s="230"/>
    </row>
    <row r="532" spans="3:15" s="231" customFormat="1" x14ac:dyDescent="0.25">
      <c r="C532" s="230"/>
      <c r="D532" s="230"/>
      <c r="E532" s="230"/>
      <c r="F532" s="230"/>
      <c r="G532" s="230"/>
      <c r="H532" s="230"/>
      <c r="I532" s="230"/>
      <c r="J532" s="230"/>
      <c r="K532" s="230"/>
      <c r="L532" s="230"/>
      <c r="M532" s="230"/>
      <c r="N532" s="230"/>
      <c r="O532" s="230"/>
    </row>
    <row r="533" spans="3:15" s="231" customFormat="1" x14ac:dyDescent="0.25">
      <c r="C533" s="230"/>
      <c r="D533" s="230"/>
      <c r="E533" s="230"/>
      <c r="F533" s="230"/>
      <c r="G533" s="230"/>
      <c r="H533" s="230"/>
      <c r="I533" s="230"/>
      <c r="J533" s="230"/>
      <c r="K533" s="230"/>
      <c r="L533" s="230"/>
      <c r="M533" s="230"/>
      <c r="N533" s="230"/>
      <c r="O533" s="230"/>
    </row>
    <row r="534" spans="3:15" s="231" customFormat="1" x14ac:dyDescent="0.25">
      <c r="C534" s="230"/>
      <c r="D534" s="230"/>
      <c r="E534" s="230"/>
      <c r="F534" s="230"/>
      <c r="G534" s="230"/>
      <c r="H534" s="230"/>
      <c r="I534" s="230"/>
      <c r="J534" s="230"/>
      <c r="K534" s="230"/>
      <c r="L534" s="230"/>
      <c r="M534" s="230"/>
      <c r="N534" s="230"/>
      <c r="O534" s="230"/>
    </row>
    <row r="535" spans="3:15" s="231" customFormat="1" x14ac:dyDescent="0.25">
      <c r="C535" s="230"/>
      <c r="D535" s="230"/>
      <c r="E535" s="230"/>
      <c r="F535" s="230"/>
      <c r="G535" s="230"/>
      <c r="H535" s="230"/>
      <c r="I535" s="230"/>
      <c r="J535" s="230"/>
      <c r="K535" s="230"/>
      <c r="L535" s="230"/>
      <c r="M535" s="230"/>
      <c r="N535" s="230"/>
      <c r="O535" s="230"/>
    </row>
    <row r="536" spans="3:15" s="231" customFormat="1" x14ac:dyDescent="0.25">
      <c r="C536" s="230"/>
      <c r="D536" s="230"/>
      <c r="E536" s="230"/>
      <c r="F536" s="230"/>
      <c r="G536" s="230"/>
      <c r="H536" s="230"/>
      <c r="I536" s="230"/>
      <c r="J536" s="230"/>
      <c r="K536" s="230"/>
      <c r="L536" s="230"/>
      <c r="M536" s="230"/>
      <c r="N536" s="230"/>
      <c r="O536" s="230"/>
    </row>
    <row r="537" spans="3:15" s="231" customFormat="1" x14ac:dyDescent="0.25">
      <c r="C537" s="230"/>
      <c r="D537" s="230"/>
      <c r="E537" s="230"/>
      <c r="F537" s="230"/>
      <c r="G537" s="230"/>
      <c r="H537" s="230"/>
      <c r="I537" s="230"/>
      <c r="J537" s="230"/>
      <c r="K537" s="230"/>
      <c r="L537" s="230"/>
      <c r="M537" s="230"/>
      <c r="N537" s="230"/>
      <c r="O537" s="230"/>
    </row>
    <row r="538" spans="3:15" s="231" customFormat="1" x14ac:dyDescent="0.25">
      <c r="C538" s="230"/>
      <c r="D538" s="230"/>
      <c r="E538" s="230"/>
      <c r="F538" s="230"/>
      <c r="G538" s="230"/>
      <c r="H538" s="230"/>
      <c r="I538" s="230"/>
      <c r="J538" s="230"/>
      <c r="K538" s="230"/>
      <c r="L538" s="230"/>
      <c r="M538" s="230"/>
      <c r="N538" s="230"/>
      <c r="O538" s="230"/>
    </row>
    <row r="539" spans="3:15" s="231" customFormat="1" x14ac:dyDescent="0.25">
      <c r="C539" s="230"/>
      <c r="D539" s="230"/>
      <c r="E539" s="230"/>
      <c r="F539" s="230"/>
      <c r="G539" s="230"/>
      <c r="H539" s="230"/>
      <c r="I539" s="230"/>
      <c r="J539" s="230"/>
      <c r="K539" s="230"/>
      <c r="L539" s="230"/>
      <c r="M539" s="230"/>
      <c r="N539" s="230"/>
      <c r="O539" s="230"/>
    </row>
    <row r="540" spans="3:15" s="231" customFormat="1" x14ac:dyDescent="0.25">
      <c r="C540" s="230"/>
      <c r="D540" s="230"/>
      <c r="E540" s="230"/>
      <c r="F540" s="230"/>
      <c r="G540" s="230"/>
      <c r="H540" s="230"/>
      <c r="I540" s="230"/>
      <c r="J540" s="230"/>
      <c r="K540" s="230"/>
      <c r="L540" s="230"/>
      <c r="M540" s="230"/>
      <c r="N540" s="230"/>
      <c r="O540" s="230"/>
    </row>
    <row r="541" spans="3:15" s="231" customFormat="1" x14ac:dyDescent="0.25">
      <c r="C541" s="230"/>
      <c r="D541" s="230"/>
      <c r="E541" s="230"/>
      <c r="F541" s="230"/>
      <c r="G541" s="230"/>
      <c r="H541" s="230"/>
      <c r="I541" s="230"/>
      <c r="J541" s="230"/>
      <c r="K541" s="230"/>
      <c r="L541" s="230"/>
      <c r="M541" s="230"/>
      <c r="N541" s="230"/>
      <c r="O541" s="230"/>
    </row>
    <row r="542" spans="3:15" s="231" customFormat="1" x14ac:dyDescent="0.25">
      <c r="C542" s="230"/>
      <c r="D542" s="230"/>
      <c r="E542" s="230"/>
      <c r="F542" s="230"/>
      <c r="G542" s="230"/>
      <c r="H542" s="230"/>
      <c r="I542" s="230"/>
      <c r="J542" s="230"/>
      <c r="K542" s="230"/>
      <c r="L542" s="230"/>
      <c r="M542" s="230"/>
      <c r="N542" s="230"/>
      <c r="O542" s="230"/>
    </row>
    <row r="543" spans="3:15" s="231" customFormat="1" x14ac:dyDescent="0.25">
      <c r="C543" s="230"/>
      <c r="D543" s="230"/>
      <c r="E543" s="230"/>
      <c r="F543" s="230"/>
      <c r="G543" s="230"/>
      <c r="H543" s="230"/>
      <c r="I543" s="230"/>
      <c r="J543" s="230"/>
      <c r="K543" s="230"/>
      <c r="L543" s="230"/>
      <c r="M543" s="230"/>
      <c r="N543" s="230"/>
      <c r="O543" s="230"/>
    </row>
    <row r="544" spans="3:15" s="231" customFormat="1" x14ac:dyDescent="0.25">
      <c r="C544" s="230"/>
      <c r="D544" s="230"/>
      <c r="E544" s="230"/>
      <c r="F544" s="230"/>
      <c r="G544" s="230"/>
      <c r="H544" s="230"/>
      <c r="I544" s="230"/>
      <c r="J544" s="230"/>
      <c r="K544" s="230"/>
      <c r="L544" s="230"/>
      <c r="M544" s="230"/>
      <c r="N544" s="230"/>
      <c r="O544" s="230"/>
    </row>
    <row r="545" spans="3:15" s="231" customFormat="1" x14ac:dyDescent="0.25">
      <c r="C545" s="230"/>
      <c r="D545" s="230"/>
      <c r="E545" s="230"/>
      <c r="F545" s="230"/>
      <c r="G545" s="230"/>
      <c r="H545" s="230"/>
      <c r="I545" s="230"/>
      <c r="J545" s="230"/>
      <c r="K545" s="230"/>
      <c r="L545" s="230"/>
      <c r="M545" s="230"/>
      <c r="N545" s="230"/>
      <c r="O545" s="230"/>
    </row>
    <row r="546" spans="3:15" s="231" customFormat="1" x14ac:dyDescent="0.25">
      <c r="C546" s="230"/>
      <c r="D546" s="230"/>
      <c r="E546" s="230"/>
      <c r="F546" s="230"/>
      <c r="G546" s="230"/>
      <c r="H546" s="230"/>
      <c r="I546" s="230"/>
      <c r="J546" s="230"/>
      <c r="K546" s="230"/>
      <c r="L546" s="230"/>
      <c r="M546" s="230"/>
      <c r="N546" s="230"/>
      <c r="O546" s="230"/>
    </row>
    <row r="547" spans="3:15" s="231" customFormat="1" x14ac:dyDescent="0.25">
      <c r="C547" s="230"/>
      <c r="D547" s="230"/>
      <c r="E547" s="230"/>
      <c r="F547" s="230"/>
      <c r="G547" s="230"/>
      <c r="H547" s="230"/>
      <c r="I547" s="230"/>
      <c r="J547" s="230"/>
      <c r="K547" s="230"/>
      <c r="L547" s="230"/>
      <c r="M547" s="230"/>
      <c r="N547" s="230"/>
      <c r="O547" s="230"/>
    </row>
    <row r="548" spans="3:15" s="231" customFormat="1" x14ac:dyDescent="0.25">
      <c r="C548" s="230"/>
      <c r="D548" s="230"/>
      <c r="E548" s="230"/>
      <c r="F548" s="230"/>
      <c r="G548" s="230"/>
      <c r="H548" s="230"/>
      <c r="I548" s="230"/>
      <c r="J548" s="230"/>
      <c r="K548" s="230"/>
      <c r="L548" s="230"/>
      <c r="M548" s="230"/>
      <c r="N548" s="230"/>
      <c r="O548" s="230"/>
    </row>
    <row r="549" spans="3:15" s="231" customFormat="1" x14ac:dyDescent="0.25">
      <c r="C549" s="230"/>
      <c r="D549" s="230"/>
      <c r="E549" s="230"/>
      <c r="F549" s="230"/>
      <c r="G549" s="230"/>
      <c r="H549" s="230"/>
      <c r="I549" s="230"/>
      <c r="J549" s="230"/>
      <c r="K549" s="230"/>
      <c r="L549" s="230"/>
      <c r="M549" s="230"/>
      <c r="N549" s="230"/>
      <c r="O549" s="230"/>
    </row>
    <row r="550" spans="3:15" s="231" customFormat="1" x14ac:dyDescent="0.25">
      <c r="C550" s="230"/>
      <c r="D550" s="230"/>
      <c r="E550" s="230"/>
      <c r="F550" s="230"/>
      <c r="G550" s="230"/>
      <c r="H550" s="230"/>
      <c r="I550" s="230"/>
      <c r="J550" s="230"/>
      <c r="K550" s="230"/>
      <c r="L550" s="230"/>
      <c r="M550" s="230"/>
      <c r="N550" s="230"/>
      <c r="O550" s="230"/>
    </row>
    <row r="551" spans="3:15" s="231" customFormat="1" x14ac:dyDescent="0.25">
      <c r="C551" s="230"/>
      <c r="D551" s="230"/>
      <c r="E551" s="230"/>
      <c r="F551" s="230"/>
      <c r="G551" s="230"/>
      <c r="H551" s="230"/>
      <c r="I551" s="230"/>
      <c r="J551" s="230"/>
      <c r="K551" s="230"/>
      <c r="L551" s="230"/>
      <c r="M551" s="230"/>
      <c r="N551" s="230"/>
      <c r="O551" s="230"/>
    </row>
    <row r="552" spans="3:15" s="231" customFormat="1" x14ac:dyDescent="0.25">
      <c r="C552" s="230"/>
      <c r="D552" s="230"/>
      <c r="E552" s="230"/>
      <c r="F552" s="230"/>
      <c r="G552" s="230"/>
      <c r="H552" s="230"/>
      <c r="I552" s="230"/>
      <c r="J552" s="230"/>
      <c r="K552" s="230"/>
      <c r="L552" s="230"/>
      <c r="M552" s="230"/>
      <c r="N552" s="230"/>
      <c r="O552" s="230"/>
    </row>
    <row r="553" spans="3:15" s="231" customFormat="1" x14ac:dyDescent="0.25">
      <c r="C553" s="230"/>
      <c r="D553" s="230"/>
      <c r="E553" s="230"/>
      <c r="F553" s="230"/>
      <c r="G553" s="230"/>
      <c r="H553" s="230"/>
      <c r="I553" s="230"/>
      <c r="J553" s="230"/>
      <c r="K553" s="230"/>
      <c r="L553" s="230"/>
      <c r="M553" s="230"/>
      <c r="N553" s="230"/>
      <c r="O553" s="230"/>
    </row>
    <row r="554" spans="3:15" s="231" customFormat="1" x14ac:dyDescent="0.25">
      <c r="C554" s="230"/>
      <c r="D554" s="230"/>
      <c r="E554" s="230"/>
      <c r="F554" s="230"/>
      <c r="G554" s="230"/>
      <c r="H554" s="230"/>
      <c r="I554" s="230"/>
      <c r="J554" s="230"/>
      <c r="K554" s="230"/>
      <c r="L554" s="230"/>
      <c r="M554" s="230"/>
      <c r="N554" s="230"/>
      <c r="O554" s="230"/>
    </row>
    <row r="555" spans="3:15" s="231" customFormat="1" x14ac:dyDescent="0.25">
      <c r="C555" s="230"/>
      <c r="D555" s="230"/>
      <c r="E555" s="230"/>
      <c r="F555" s="230"/>
      <c r="G555" s="230"/>
      <c r="H555" s="230"/>
      <c r="I555" s="230"/>
      <c r="J555" s="230"/>
      <c r="K555" s="230"/>
      <c r="L555" s="230"/>
      <c r="M555" s="230"/>
      <c r="N555" s="230"/>
      <c r="O555" s="230"/>
    </row>
    <row r="556" spans="3:15" s="231" customFormat="1" x14ac:dyDescent="0.25">
      <c r="C556" s="230"/>
      <c r="D556" s="230"/>
      <c r="E556" s="230"/>
      <c r="F556" s="230"/>
      <c r="G556" s="230"/>
      <c r="H556" s="230"/>
      <c r="I556" s="230"/>
      <c r="J556" s="230"/>
      <c r="K556" s="230"/>
      <c r="L556" s="230"/>
      <c r="M556" s="230"/>
      <c r="N556" s="230"/>
      <c r="O556" s="230"/>
    </row>
    <row r="557" spans="3:15" s="231" customFormat="1" x14ac:dyDescent="0.25">
      <c r="C557" s="230"/>
      <c r="D557" s="230"/>
      <c r="E557" s="230"/>
      <c r="F557" s="230"/>
      <c r="G557" s="230"/>
      <c r="H557" s="230"/>
      <c r="I557" s="230"/>
      <c r="J557" s="230"/>
      <c r="K557" s="230"/>
      <c r="L557" s="230"/>
      <c r="M557" s="230"/>
      <c r="N557" s="230"/>
      <c r="O557" s="230"/>
    </row>
    <row r="558" spans="3:15" s="231" customFormat="1" x14ac:dyDescent="0.25">
      <c r="C558" s="230"/>
      <c r="D558" s="230"/>
      <c r="E558" s="230"/>
      <c r="F558" s="230"/>
      <c r="G558" s="230"/>
      <c r="H558" s="230"/>
      <c r="I558" s="230"/>
      <c r="J558" s="230"/>
      <c r="K558" s="230"/>
      <c r="L558" s="230"/>
      <c r="M558" s="230"/>
      <c r="N558" s="230"/>
      <c r="O558" s="230"/>
    </row>
    <row r="559" spans="3:15" s="231" customFormat="1" x14ac:dyDescent="0.25">
      <c r="C559" s="230"/>
      <c r="D559" s="230"/>
      <c r="E559" s="230"/>
      <c r="F559" s="230"/>
      <c r="G559" s="230"/>
      <c r="H559" s="230"/>
      <c r="I559" s="230"/>
      <c r="J559" s="230"/>
      <c r="K559" s="230"/>
      <c r="L559" s="230"/>
      <c r="M559" s="230"/>
      <c r="N559" s="230"/>
      <c r="O559" s="230"/>
    </row>
    <row r="560" spans="3:15" s="231" customFormat="1" x14ac:dyDescent="0.25">
      <c r="C560" s="230"/>
      <c r="D560" s="230"/>
      <c r="E560" s="230"/>
      <c r="F560" s="230"/>
      <c r="G560" s="230"/>
      <c r="H560" s="230"/>
      <c r="I560" s="230"/>
      <c r="J560" s="230"/>
      <c r="K560" s="230"/>
      <c r="L560" s="230"/>
      <c r="M560" s="230"/>
      <c r="N560" s="230"/>
      <c r="O560" s="230"/>
    </row>
    <row r="561" spans="3:15" s="231" customFormat="1" x14ac:dyDescent="0.25">
      <c r="C561" s="230"/>
      <c r="D561" s="230"/>
      <c r="E561" s="230"/>
      <c r="F561" s="230"/>
      <c r="G561" s="230"/>
      <c r="H561" s="230"/>
      <c r="I561" s="230"/>
      <c r="J561" s="230"/>
      <c r="K561" s="230"/>
      <c r="L561" s="230"/>
      <c r="M561" s="230"/>
      <c r="N561" s="230"/>
      <c r="O561" s="230"/>
    </row>
    <row r="562" spans="3:15" s="231" customFormat="1" x14ac:dyDescent="0.25">
      <c r="C562" s="230"/>
      <c r="D562" s="230"/>
      <c r="E562" s="230"/>
      <c r="F562" s="230"/>
      <c r="G562" s="230"/>
      <c r="H562" s="230"/>
      <c r="I562" s="230"/>
      <c r="J562" s="230"/>
      <c r="K562" s="230"/>
      <c r="L562" s="230"/>
      <c r="M562" s="230"/>
      <c r="N562" s="230"/>
      <c r="O562" s="230"/>
    </row>
  </sheetData>
  <mergeCells count="19">
    <mergeCell ref="E5:E6"/>
    <mergeCell ref="F5:F6"/>
    <mergeCell ref="R5:R6"/>
    <mergeCell ref="A3:T3"/>
    <mergeCell ref="S4:T4"/>
    <mergeCell ref="G5:H5"/>
    <mergeCell ref="I5:I6"/>
    <mergeCell ref="L5:L6"/>
    <mergeCell ref="J5:J6"/>
    <mergeCell ref="K5:K6"/>
    <mergeCell ref="M5:N5"/>
    <mergeCell ref="P5:P6"/>
    <mergeCell ref="Q5:Q6"/>
    <mergeCell ref="S5:T5"/>
    <mergeCell ref="O5:O6"/>
    <mergeCell ref="A5:A6"/>
    <mergeCell ref="B5:B6"/>
    <mergeCell ref="C5:C6"/>
    <mergeCell ref="D5:D6"/>
  </mergeCells>
  <pageMargins left="0.39370078740157483" right="0.39370078740157483" top="0.74803149606299213" bottom="0.59055118110236227" header="0.31496062992125984" footer="0.31496062992125984"/>
  <pageSetup paperSize="9" scale="72" fitToHeight="0" orientation="landscape" r:id="rId1"/>
  <headerFooter>
    <oddFooter>&amp;C&amp;P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86"/>
  <sheetViews>
    <sheetView topLeftCell="A4" zoomScale="85" zoomScaleNormal="85" workbookViewId="0">
      <pane xSplit="3" ySplit="2" topLeftCell="G81" activePane="bottomRight" state="frozen"/>
      <selection activeCell="A4" sqref="A4"/>
      <selection pane="topRight" activeCell="D4" sqref="D4"/>
      <selection pane="bottomLeft" activeCell="A6" sqref="A6"/>
      <selection pane="bottomRight" activeCell="I82" sqref="I82"/>
    </sheetView>
  </sheetViews>
  <sheetFormatPr defaultColWidth="41.26953125" defaultRowHeight="14" x14ac:dyDescent="0.3"/>
  <cols>
    <col min="1" max="1" width="3.1796875" style="357" bestFit="1" customWidth="1"/>
    <col min="2" max="2" width="31" style="358" customWidth="1"/>
    <col min="3" max="3" width="24.1796875" style="358" customWidth="1"/>
    <col min="4" max="4" width="17.26953125" style="359" customWidth="1"/>
    <col min="5" max="5" width="17" style="359" customWidth="1"/>
    <col min="6" max="8" width="17.26953125" style="359" customWidth="1"/>
    <col min="9" max="9" width="16.81640625" style="359" customWidth="1"/>
    <col min="10" max="10" width="17.7265625" style="359" customWidth="1"/>
    <col min="11" max="12" width="17.81640625" style="360" customWidth="1"/>
    <col min="13" max="13" width="42.54296875" style="360" customWidth="1"/>
    <col min="14" max="16384" width="41.26953125" style="360"/>
  </cols>
  <sheetData>
    <row r="1" spans="1:13" ht="15.5" x14ac:dyDescent="0.35">
      <c r="M1" s="410" t="s">
        <v>672</v>
      </c>
    </row>
    <row r="2" spans="1:13" ht="30" customHeight="1" x14ac:dyDescent="0.3">
      <c r="B2" s="506" t="s">
        <v>675</v>
      </c>
      <c r="C2" s="507"/>
      <c r="D2" s="507"/>
      <c r="E2" s="507"/>
      <c r="F2" s="507"/>
      <c r="G2" s="507"/>
      <c r="H2" s="507"/>
      <c r="I2" s="507"/>
      <c r="J2" s="507"/>
      <c r="K2" s="507"/>
      <c r="L2" s="507"/>
      <c r="M2" s="507"/>
    </row>
    <row r="3" spans="1:13" ht="23.25" customHeight="1" x14ac:dyDescent="0.35">
      <c r="A3" s="361"/>
      <c r="B3" s="362"/>
      <c r="C3" s="362"/>
      <c r="D3" s="363"/>
      <c r="E3" s="363"/>
      <c r="F3" s="363"/>
      <c r="G3" s="363"/>
      <c r="H3" s="363"/>
      <c r="I3" s="363"/>
      <c r="J3" s="363"/>
      <c r="K3" s="364"/>
      <c r="L3" s="364"/>
    </row>
    <row r="4" spans="1:13" ht="33.5" customHeight="1" x14ac:dyDescent="0.3">
      <c r="A4" s="508" t="s">
        <v>565</v>
      </c>
      <c r="B4" s="508" t="s">
        <v>566</v>
      </c>
      <c r="C4" s="509" t="s">
        <v>567</v>
      </c>
      <c r="D4" s="508" t="s">
        <v>568</v>
      </c>
      <c r="E4" s="511" t="s">
        <v>569</v>
      </c>
      <c r="F4" s="512"/>
      <c r="G4" s="513"/>
      <c r="H4" s="511" t="s">
        <v>570</v>
      </c>
      <c r="I4" s="512"/>
      <c r="J4" s="513"/>
      <c r="K4" s="514" t="s">
        <v>571</v>
      </c>
      <c r="L4" s="514" t="s">
        <v>572</v>
      </c>
      <c r="M4" s="514" t="s">
        <v>573</v>
      </c>
    </row>
    <row r="5" spans="1:13" s="366" customFormat="1" ht="45" x14ac:dyDescent="0.35">
      <c r="A5" s="508"/>
      <c r="B5" s="508"/>
      <c r="C5" s="510"/>
      <c r="D5" s="508"/>
      <c r="E5" s="365" t="s">
        <v>574</v>
      </c>
      <c r="F5" s="365" t="s">
        <v>575</v>
      </c>
      <c r="G5" s="365" t="s">
        <v>24</v>
      </c>
      <c r="H5" s="365" t="s">
        <v>574</v>
      </c>
      <c r="I5" s="365" t="s">
        <v>575</v>
      </c>
      <c r="J5" s="365" t="s">
        <v>24</v>
      </c>
      <c r="K5" s="515"/>
      <c r="L5" s="515"/>
      <c r="M5" s="515"/>
    </row>
    <row r="6" spans="1:13" s="366" customFormat="1" ht="13.5" customHeight="1" x14ac:dyDescent="0.35">
      <c r="A6" s="365">
        <v>1</v>
      </c>
      <c r="B6" s="365">
        <v>2</v>
      </c>
      <c r="C6" s="365">
        <v>3</v>
      </c>
      <c r="D6" s="365">
        <v>4</v>
      </c>
      <c r="E6" s="365">
        <v>5</v>
      </c>
      <c r="F6" s="365">
        <v>6</v>
      </c>
      <c r="G6" s="365">
        <v>7</v>
      </c>
      <c r="H6" s="365">
        <v>8</v>
      </c>
      <c r="I6" s="365">
        <v>9</v>
      </c>
      <c r="J6" s="365">
        <v>10</v>
      </c>
      <c r="K6" s="367">
        <v>11</v>
      </c>
      <c r="L6" s="367">
        <v>12</v>
      </c>
      <c r="M6" s="368"/>
    </row>
    <row r="7" spans="1:13" ht="30" x14ac:dyDescent="0.3">
      <c r="A7" s="369"/>
      <c r="B7" s="370" t="s">
        <v>673</v>
      </c>
      <c r="C7" s="370"/>
      <c r="D7" s="371">
        <f>D19+D28+D37+D42+D48+D57+D70+D77+D83+D86</f>
        <v>11795273.1</v>
      </c>
      <c r="E7" s="371">
        <f t="shared" ref="E7:L7" si="0">E19+E28+E37+E42+E48+E57+E70+E77+E83+E86</f>
        <v>10215928.500000002</v>
      </c>
      <c r="F7" s="371">
        <f t="shared" si="0"/>
        <v>3954842.8200000003</v>
      </c>
      <c r="G7" s="371">
        <f t="shared" si="0"/>
        <v>14170771.92</v>
      </c>
      <c r="H7" s="371">
        <f t="shared" si="0"/>
        <v>8147766.2999999998</v>
      </c>
      <c r="I7" s="371">
        <f t="shared" si="0"/>
        <v>4669562.3000000007</v>
      </c>
      <c r="J7" s="371">
        <f t="shared" si="0"/>
        <v>12817328.599999996</v>
      </c>
      <c r="K7" s="371">
        <f t="shared" si="0"/>
        <v>1352367.9000000001</v>
      </c>
      <c r="L7" s="371">
        <f t="shared" si="0"/>
        <v>2375498.1999999997</v>
      </c>
      <c r="M7" s="372"/>
    </row>
    <row r="8" spans="1:13" s="366" customFormat="1" ht="15" customHeight="1" x14ac:dyDescent="0.35">
      <c r="A8" s="509" t="s">
        <v>576</v>
      </c>
      <c r="B8" s="509"/>
      <c r="C8" s="509"/>
      <c r="D8" s="509"/>
      <c r="E8" s="509"/>
      <c r="F8" s="509"/>
      <c r="G8" s="509"/>
      <c r="H8" s="509"/>
      <c r="I8" s="509"/>
      <c r="J8" s="509"/>
      <c r="K8" s="509"/>
      <c r="L8" s="509"/>
      <c r="M8" s="368"/>
    </row>
    <row r="9" spans="1:13" ht="108.5" x14ac:dyDescent="0.3">
      <c r="A9" s="373">
        <v>1</v>
      </c>
      <c r="B9" s="383" t="s">
        <v>577</v>
      </c>
      <c r="C9" s="375" t="s">
        <v>578</v>
      </c>
      <c r="D9" s="376">
        <v>1458130</v>
      </c>
      <c r="E9" s="376">
        <v>1658104.5</v>
      </c>
      <c r="F9" s="376">
        <v>617293.4</v>
      </c>
      <c r="G9" s="376">
        <f>E9+F9</f>
        <v>2275397.9</v>
      </c>
      <c r="H9" s="376">
        <v>1658104.5</v>
      </c>
      <c r="I9" s="376">
        <v>617293.4</v>
      </c>
      <c r="J9" s="376">
        <f>H9+I9</f>
        <v>2275397.9</v>
      </c>
      <c r="K9" s="377">
        <f>G9-J9</f>
        <v>0</v>
      </c>
      <c r="L9" s="377">
        <f>G9-D9</f>
        <v>817267.89999999991</v>
      </c>
      <c r="M9" s="378"/>
    </row>
    <row r="10" spans="1:13" ht="15.5" x14ac:dyDescent="0.3">
      <c r="A10" s="516">
        <v>2</v>
      </c>
      <c r="B10" s="519" t="s">
        <v>579</v>
      </c>
      <c r="C10" s="375" t="s">
        <v>580</v>
      </c>
      <c r="D10" s="376">
        <f>D11+D12</f>
        <v>567797.19999999995</v>
      </c>
      <c r="E10" s="376">
        <f t="shared" ref="E10:L10" si="1">E11+E12</f>
        <v>555970.19999999995</v>
      </c>
      <c r="F10" s="376">
        <f t="shared" si="1"/>
        <v>11830</v>
      </c>
      <c r="G10" s="376">
        <f t="shared" si="1"/>
        <v>567800.19999999995</v>
      </c>
      <c r="H10" s="376">
        <f t="shared" si="1"/>
        <v>555970.19999999995</v>
      </c>
      <c r="I10" s="376">
        <f t="shared" si="1"/>
        <v>297560.59999999998</v>
      </c>
      <c r="J10" s="376">
        <f t="shared" si="1"/>
        <v>853530.79999999993</v>
      </c>
      <c r="K10" s="376">
        <f t="shared" si="1"/>
        <v>-285730.59999999998</v>
      </c>
      <c r="L10" s="376">
        <f t="shared" si="1"/>
        <v>3</v>
      </c>
      <c r="M10" s="378"/>
    </row>
    <row r="11" spans="1:13" ht="124" x14ac:dyDescent="0.3">
      <c r="A11" s="517"/>
      <c r="B11" s="520"/>
      <c r="C11" s="375" t="s">
        <v>581</v>
      </c>
      <c r="D11" s="376">
        <v>15770</v>
      </c>
      <c r="E11" s="376">
        <v>14983</v>
      </c>
      <c r="F11" s="376">
        <v>790</v>
      </c>
      <c r="G11" s="376">
        <f>F11+E11</f>
        <v>15773</v>
      </c>
      <c r="H11" s="376">
        <v>14983</v>
      </c>
      <c r="I11" s="376">
        <v>790</v>
      </c>
      <c r="J11" s="376">
        <f>I11+H11</f>
        <v>15773</v>
      </c>
      <c r="K11" s="377">
        <f t="shared" ref="K11:K18" si="2">G11-J11</f>
        <v>0</v>
      </c>
      <c r="L11" s="377">
        <f t="shared" ref="L11:L18" si="3">G11-D11</f>
        <v>3</v>
      </c>
      <c r="M11" s="378"/>
    </row>
    <row r="12" spans="1:13" ht="238" x14ac:dyDescent="0.3">
      <c r="A12" s="518"/>
      <c r="B12" s="521"/>
      <c r="C12" s="375" t="s">
        <v>582</v>
      </c>
      <c r="D12" s="379">
        <v>552027.19999999995</v>
      </c>
      <c r="E12" s="379">
        <v>540987.19999999995</v>
      </c>
      <c r="F12" s="379">
        <v>11040</v>
      </c>
      <c r="G12" s="379">
        <f>E12+F12</f>
        <v>552027.19999999995</v>
      </c>
      <c r="H12" s="380">
        <v>540987.19999999995</v>
      </c>
      <c r="I12" s="379">
        <v>296770.59999999998</v>
      </c>
      <c r="J12" s="379">
        <f>H12+I12</f>
        <v>837757.79999999993</v>
      </c>
      <c r="K12" s="377">
        <f t="shared" si="2"/>
        <v>-285730.59999999998</v>
      </c>
      <c r="L12" s="377">
        <f t="shared" si="3"/>
        <v>0</v>
      </c>
      <c r="M12" s="381" t="s">
        <v>583</v>
      </c>
    </row>
    <row r="13" spans="1:13" ht="15.5" x14ac:dyDescent="0.3">
      <c r="A13" s="516">
        <v>3</v>
      </c>
      <c r="B13" s="519" t="s">
        <v>584</v>
      </c>
      <c r="C13" s="375" t="s">
        <v>580</v>
      </c>
      <c r="D13" s="376">
        <f>D14+D15+D16</f>
        <v>55770</v>
      </c>
      <c r="E13" s="376">
        <f t="shared" ref="E13:J13" si="4">E14+E15+E16</f>
        <v>31766.600000000002</v>
      </c>
      <c r="F13" s="376">
        <f t="shared" si="4"/>
        <v>20039</v>
      </c>
      <c r="G13" s="376">
        <f t="shared" si="4"/>
        <v>51805.599999999999</v>
      </c>
      <c r="H13" s="376">
        <f t="shared" si="4"/>
        <v>31766.600000000002</v>
      </c>
      <c r="I13" s="376">
        <f t="shared" si="4"/>
        <v>1657.7</v>
      </c>
      <c r="J13" s="376">
        <f t="shared" si="4"/>
        <v>33424.300000000003</v>
      </c>
      <c r="K13" s="377">
        <f t="shared" si="2"/>
        <v>18381.299999999996</v>
      </c>
      <c r="L13" s="377">
        <f t="shared" si="3"/>
        <v>-3964.4000000000015</v>
      </c>
      <c r="M13" s="378"/>
    </row>
    <row r="14" spans="1:13" ht="108.5" x14ac:dyDescent="0.3">
      <c r="A14" s="517"/>
      <c r="B14" s="520"/>
      <c r="C14" s="375" t="s">
        <v>578</v>
      </c>
      <c r="D14" s="376">
        <v>0</v>
      </c>
      <c r="E14" s="376">
        <v>0</v>
      </c>
      <c r="F14" s="376">
        <v>18381.3</v>
      </c>
      <c r="G14" s="376">
        <f>F14+E14</f>
        <v>18381.3</v>
      </c>
      <c r="H14" s="376">
        <v>0</v>
      </c>
      <c r="I14" s="376">
        <v>0</v>
      </c>
      <c r="J14" s="376">
        <f>I14+H14</f>
        <v>0</v>
      </c>
      <c r="K14" s="377">
        <f t="shared" si="2"/>
        <v>18381.3</v>
      </c>
      <c r="L14" s="377">
        <f t="shared" si="3"/>
        <v>18381.3</v>
      </c>
      <c r="M14" s="378"/>
    </row>
    <row r="15" spans="1:13" ht="124" x14ac:dyDescent="0.3">
      <c r="A15" s="517"/>
      <c r="B15" s="520"/>
      <c r="C15" s="375" t="s">
        <v>581</v>
      </c>
      <c r="D15" s="376">
        <v>33150</v>
      </c>
      <c r="E15" s="376">
        <v>31496.7</v>
      </c>
      <c r="F15" s="376">
        <v>1657.7</v>
      </c>
      <c r="G15" s="376">
        <f t="shared" ref="G15:G17" si="5">F15+E15</f>
        <v>33154.400000000001</v>
      </c>
      <c r="H15" s="376">
        <v>31496.7</v>
      </c>
      <c r="I15" s="376">
        <v>1657.7</v>
      </c>
      <c r="J15" s="376">
        <f t="shared" ref="J15:J17" si="6">I15+H15</f>
        <v>33154.400000000001</v>
      </c>
      <c r="K15" s="377">
        <f t="shared" si="2"/>
        <v>0</v>
      </c>
      <c r="L15" s="377">
        <f t="shared" si="3"/>
        <v>4.4000000000014552</v>
      </c>
      <c r="M15" s="378"/>
    </row>
    <row r="16" spans="1:13" ht="108.5" x14ac:dyDescent="0.3">
      <c r="A16" s="518"/>
      <c r="B16" s="521"/>
      <c r="C16" s="375" t="s">
        <v>585</v>
      </c>
      <c r="D16" s="382">
        <v>22620</v>
      </c>
      <c r="E16" s="382">
        <v>269.89999999999998</v>
      </c>
      <c r="F16" s="382">
        <v>0</v>
      </c>
      <c r="G16" s="382">
        <f t="shared" si="5"/>
        <v>269.89999999999998</v>
      </c>
      <c r="H16" s="382">
        <v>269.89999999999998</v>
      </c>
      <c r="I16" s="382">
        <v>0</v>
      </c>
      <c r="J16" s="376">
        <f t="shared" si="6"/>
        <v>269.89999999999998</v>
      </c>
      <c r="K16" s="377">
        <f t="shared" si="2"/>
        <v>0</v>
      </c>
      <c r="L16" s="377">
        <f t="shared" si="3"/>
        <v>-22350.1</v>
      </c>
      <c r="M16" s="378"/>
    </row>
    <row r="17" spans="1:13" ht="108.5" x14ac:dyDescent="0.3">
      <c r="A17" s="373">
        <v>4</v>
      </c>
      <c r="B17" s="383" t="s">
        <v>586</v>
      </c>
      <c r="C17" s="375" t="s">
        <v>585</v>
      </c>
      <c r="D17" s="382">
        <v>0</v>
      </c>
      <c r="E17" s="382">
        <v>0</v>
      </c>
      <c r="F17" s="382">
        <v>300</v>
      </c>
      <c r="G17" s="382">
        <f t="shared" si="5"/>
        <v>300</v>
      </c>
      <c r="H17" s="382">
        <v>0</v>
      </c>
      <c r="I17" s="382">
        <v>300</v>
      </c>
      <c r="J17" s="376">
        <f t="shared" si="6"/>
        <v>300</v>
      </c>
      <c r="K17" s="377">
        <f t="shared" si="2"/>
        <v>0</v>
      </c>
      <c r="L17" s="377">
        <f t="shared" si="3"/>
        <v>300</v>
      </c>
      <c r="M17" s="378"/>
    </row>
    <row r="18" spans="1:13" ht="201.5" x14ac:dyDescent="0.3">
      <c r="A18" s="373">
        <v>5</v>
      </c>
      <c r="B18" s="383" t="s">
        <v>587</v>
      </c>
      <c r="C18" s="375" t="s">
        <v>588</v>
      </c>
      <c r="D18" s="382">
        <v>350280</v>
      </c>
      <c r="E18" s="382">
        <v>253796.8</v>
      </c>
      <c r="F18" s="382">
        <v>59105.5</v>
      </c>
      <c r="G18" s="382">
        <f>F18+E18</f>
        <v>312902.3</v>
      </c>
      <c r="H18" s="382">
        <v>253796.8</v>
      </c>
      <c r="I18" s="382">
        <v>59105.5</v>
      </c>
      <c r="J18" s="376">
        <f>I18+H18</f>
        <v>312902.3</v>
      </c>
      <c r="K18" s="377">
        <f t="shared" si="2"/>
        <v>0</v>
      </c>
      <c r="L18" s="377">
        <f t="shared" si="3"/>
        <v>-37377.700000000012</v>
      </c>
      <c r="M18" s="378"/>
    </row>
    <row r="19" spans="1:13" ht="15" x14ac:dyDescent="0.3">
      <c r="A19" s="373"/>
      <c r="B19" s="504" t="s">
        <v>55</v>
      </c>
      <c r="C19" s="505"/>
      <c r="D19" s="384">
        <f>D18+D17+D13+D10+D9</f>
        <v>2431977.2000000002</v>
      </c>
      <c r="E19" s="384">
        <v>2499638.1</v>
      </c>
      <c r="F19" s="384">
        <v>708567.92</v>
      </c>
      <c r="G19" s="384">
        <v>3208206.62</v>
      </c>
      <c r="H19" s="384">
        <f t="shared" ref="H19:L19" si="7">H18+H17+H13+H10+H9</f>
        <v>2499638.0999999996</v>
      </c>
      <c r="I19" s="384">
        <f t="shared" si="7"/>
        <v>975917.2</v>
      </c>
      <c r="J19" s="384">
        <f t="shared" si="7"/>
        <v>3475555.3</v>
      </c>
      <c r="K19" s="384">
        <f t="shared" si="7"/>
        <v>-267349.3</v>
      </c>
      <c r="L19" s="384">
        <f t="shared" si="7"/>
        <v>776228.79999999993</v>
      </c>
      <c r="M19" s="378"/>
    </row>
    <row r="20" spans="1:13" ht="15" x14ac:dyDescent="0.3">
      <c r="A20" s="508" t="s">
        <v>51</v>
      </c>
      <c r="B20" s="508"/>
      <c r="C20" s="508"/>
      <c r="D20" s="508"/>
      <c r="E20" s="508"/>
      <c r="F20" s="508"/>
      <c r="G20" s="508"/>
      <c r="H20" s="508"/>
      <c r="I20" s="508"/>
      <c r="J20" s="508"/>
      <c r="K20" s="508"/>
      <c r="L20" s="508"/>
      <c r="M20" s="378"/>
    </row>
    <row r="21" spans="1:13" ht="39" x14ac:dyDescent="0.3">
      <c r="A21" s="369">
        <v>6</v>
      </c>
      <c r="B21" s="383" t="s">
        <v>589</v>
      </c>
      <c r="C21" s="385" t="s">
        <v>674</v>
      </c>
      <c r="D21" s="386">
        <v>360170</v>
      </c>
      <c r="E21" s="386">
        <v>141469.20000000001</v>
      </c>
      <c r="F21" s="386">
        <v>54439.8</v>
      </c>
      <c r="G21" s="386">
        <f>E21+F21</f>
        <v>195909</v>
      </c>
      <c r="H21" s="386">
        <v>141469.20000000001</v>
      </c>
      <c r="I21" s="386">
        <v>54439.8</v>
      </c>
      <c r="J21" s="386">
        <v>195909</v>
      </c>
      <c r="K21" s="386">
        <v>0</v>
      </c>
      <c r="L21" s="386">
        <f>G21-D21</f>
        <v>-164261</v>
      </c>
      <c r="M21" s="378"/>
    </row>
    <row r="22" spans="1:13" ht="39" x14ac:dyDescent="0.3">
      <c r="A22" s="369">
        <v>7</v>
      </c>
      <c r="B22" s="383" t="s">
        <v>590</v>
      </c>
      <c r="C22" s="385" t="s">
        <v>674</v>
      </c>
      <c r="D22" s="386">
        <v>151510</v>
      </c>
      <c r="E22" s="386">
        <v>162883.9</v>
      </c>
      <c r="F22" s="386">
        <v>0</v>
      </c>
      <c r="G22" s="386">
        <f>E22</f>
        <v>162883.9</v>
      </c>
      <c r="H22" s="386">
        <v>162883.9</v>
      </c>
      <c r="I22" s="386">
        <v>0</v>
      </c>
      <c r="J22" s="386">
        <f>H22</f>
        <v>162883.9</v>
      </c>
      <c r="K22" s="386">
        <v>0</v>
      </c>
      <c r="L22" s="386">
        <f>G22-D22</f>
        <v>11373.899999999994</v>
      </c>
      <c r="M22" s="378"/>
    </row>
    <row r="23" spans="1:13" ht="39" x14ac:dyDescent="0.3">
      <c r="A23" s="369">
        <v>8</v>
      </c>
      <c r="B23" s="383" t="s">
        <v>591</v>
      </c>
      <c r="C23" s="385" t="s">
        <v>674</v>
      </c>
      <c r="D23" s="386">
        <v>502300</v>
      </c>
      <c r="E23" s="386">
        <v>550778.9</v>
      </c>
      <c r="F23" s="386">
        <v>0</v>
      </c>
      <c r="G23" s="386">
        <f>E23</f>
        <v>550778.9</v>
      </c>
      <c r="H23" s="386">
        <v>550778.9</v>
      </c>
      <c r="I23" s="386">
        <v>0</v>
      </c>
      <c r="J23" s="386">
        <f>H23</f>
        <v>550778.9</v>
      </c>
      <c r="K23" s="386">
        <v>0</v>
      </c>
      <c r="L23" s="386">
        <f>G23-D23</f>
        <v>48478.900000000023</v>
      </c>
      <c r="M23" s="378"/>
    </row>
    <row r="24" spans="1:13" ht="39" x14ac:dyDescent="0.3">
      <c r="A24" s="369">
        <v>9</v>
      </c>
      <c r="B24" s="383" t="s">
        <v>592</v>
      </c>
      <c r="C24" s="385" t="s">
        <v>674</v>
      </c>
      <c r="D24" s="386">
        <v>1559070</v>
      </c>
      <c r="E24" s="386">
        <v>1103879.3999999999</v>
      </c>
      <c r="F24" s="386">
        <v>154417.4</v>
      </c>
      <c r="G24" s="386">
        <f>E24+F24</f>
        <v>1258296.7999999998</v>
      </c>
      <c r="H24" s="386">
        <v>1103879.3999999999</v>
      </c>
      <c r="I24" s="386">
        <v>154417.4</v>
      </c>
      <c r="J24" s="386">
        <f>H24+I24</f>
        <v>1258296.7999999998</v>
      </c>
      <c r="K24" s="386">
        <f>G24-J24</f>
        <v>0</v>
      </c>
      <c r="L24" s="386">
        <f>G24-D24</f>
        <v>-300773.20000000019</v>
      </c>
      <c r="M24" s="378"/>
    </row>
    <row r="25" spans="1:13" ht="52" x14ac:dyDescent="0.3">
      <c r="A25" s="369">
        <v>10</v>
      </c>
      <c r="B25" s="383" t="s">
        <v>593</v>
      </c>
      <c r="C25" s="385" t="s">
        <v>674</v>
      </c>
      <c r="D25" s="386">
        <v>0</v>
      </c>
      <c r="E25" s="386">
        <v>0</v>
      </c>
      <c r="F25" s="386">
        <v>0</v>
      </c>
      <c r="G25" s="386">
        <v>0</v>
      </c>
      <c r="H25" s="386">
        <v>0</v>
      </c>
      <c r="I25" s="386">
        <v>0</v>
      </c>
      <c r="J25" s="386">
        <v>0</v>
      </c>
      <c r="K25" s="386">
        <v>0</v>
      </c>
      <c r="L25" s="386">
        <v>0</v>
      </c>
      <c r="M25" s="378"/>
    </row>
    <row r="26" spans="1:13" ht="39" x14ac:dyDescent="0.3">
      <c r="A26" s="369">
        <v>11</v>
      </c>
      <c r="B26" s="383" t="s">
        <v>594</v>
      </c>
      <c r="C26" s="385" t="s">
        <v>674</v>
      </c>
      <c r="D26" s="386">
        <v>506360</v>
      </c>
      <c r="E26" s="386">
        <v>500626</v>
      </c>
      <c r="F26" s="386">
        <v>10217</v>
      </c>
      <c r="G26" s="386">
        <f>E26+F26</f>
        <v>510843</v>
      </c>
      <c r="H26" s="386">
        <v>500626</v>
      </c>
      <c r="I26" s="386">
        <v>10216.9</v>
      </c>
      <c r="J26" s="386">
        <f>H26+I26</f>
        <v>510842.9</v>
      </c>
      <c r="K26" s="386">
        <f>G26-J26</f>
        <v>9.9999999976716936E-2</v>
      </c>
      <c r="L26" s="386">
        <f>G26-D26</f>
        <v>4483</v>
      </c>
      <c r="M26" s="378"/>
    </row>
    <row r="27" spans="1:13" ht="39" x14ac:dyDescent="0.3">
      <c r="A27" s="369">
        <v>12</v>
      </c>
      <c r="B27" s="383" t="s">
        <v>595</v>
      </c>
      <c r="C27" s="385" t="s">
        <v>674</v>
      </c>
      <c r="D27" s="386">
        <v>0</v>
      </c>
      <c r="E27" s="386">
        <v>0</v>
      </c>
      <c r="F27" s="386">
        <v>0</v>
      </c>
      <c r="G27" s="386">
        <v>0</v>
      </c>
      <c r="H27" s="386">
        <v>0</v>
      </c>
      <c r="I27" s="386">
        <v>0</v>
      </c>
      <c r="J27" s="386">
        <v>0</v>
      </c>
      <c r="K27" s="386">
        <v>0</v>
      </c>
      <c r="L27" s="386">
        <v>0</v>
      </c>
      <c r="M27" s="378"/>
    </row>
    <row r="28" spans="1:13" ht="15.5" x14ac:dyDescent="0.3">
      <c r="A28" s="369"/>
      <c r="B28" s="504" t="s">
        <v>55</v>
      </c>
      <c r="C28" s="522"/>
      <c r="D28" s="387">
        <v>3079410</v>
      </c>
      <c r="E28" s="387">
        <f t="shared" ref="E28:J28" si="8">SUM(E21:E27)</f>
        <v>2459637.4</v>
      </c>
      <c r="F28" s="387">
        <f t="shared" si="8"/>
        <v>219074.2</v>
      </c>
      <c r="G28" s="387">
        <f t="shared" si="8"/>
        <v>2678711.5999999996</v>
      </c>
      <c r="H28" s="387">
        <f t="shared" si="8"/>
        <v>2459637.4</v>
      </c>
      <c r="I28" s="387">
        <f t="shared" si="8"/>
        <v>219074.1</v>
      </c>
      <c r="J28" s="387">
        <f t="shared" si="8"/>
        <v>2678711.4999999995</v>
      </c>
      <c r="K28" s="388">
        <v>0.1</v>
      </c>
      <c r="L28" s="388">
        <f>SUM(L21:L27)</f>
        <v>-400698.40000000014</v>
      </c>
      <c r="M28" s="378"/>
    </row>
    <row r="29" spans="1:13" ht="15" x14ac:dyDescent="0.3">
      <c r="A29" s="508" t="s">
        <v>47</v>
      </c>
      <c r="B29" s="508"/>
      <c r="C29" s="508"/>
      <c r="D29" s="508"/>
      <c r="E29" s="508"/>
      <c r="F29" s="508"/>
      <c r="G29" s="508"/>
      <c r="H29" s="508"/>
      <c r="I29" s="508"/>
      <c r="J29" s="508"/>
      <c r="K29" s="508"/>
      <c r="L29" s="508"/>
      <c r="M29" s="378"/>
    </row>
    <row r="30" spans="1:13" ht="266" x14ac:dyDescent="0.3">
      <c r="A30" s="369">
        <v>13</v>
      </c>
      <c r="B30" s="374" t="s">
        <v>596</v>
      </c>
      <c r="C30" s="375" t="s">
        <v>597</v>
      </c>
      <c r="D30" s="379">
        <v>518240</v>
      </c>
      <c r="E30" s="379">
        <v>527707.1</v>
      </c>
      <c r="F30" s="379">
        <v>10769.5</v>
      </c>
      <c r="G30" s="379">
        <f>E30+F30</f>
        <v>538476.6</v>
      </c>
      <c r="H30" s="379">
        <v>527707.1</v>
      </c>
      <c r="I30" s="379">
        <v>403151.8</v>
      </c>
      <c r="J30" s="379">
        <f>H30+I30</f>
        <v>930858.89999999991</v>
      </c>
      <c r="K30" s="376">
        <f>G30-J30</f>
        <v>-392382.29999999993</v>
      </c>
      <c r="L30" s="376">
        <f>G30-D30</f>
        <v>20236.599999999977</v>
      </c>
      <c r="M30" s="389" t="s">
        <v>598</v>
      </c>
    </row>
    <row r="31" spans="1:13" ht="62" x14ac:dyDescent="0.3">
      <c r="A31" s="369">
        <v>14</v>
      </c>
      <c r="B31" s="374" t="s">
        <v>599</v>
      </c>
      <c r="C31" s="375" t="s">
        <v>597</v>
      </c>
      <c r="D31" s="380">
        <v>2000</v>
      </c>
      <c r="E31" s="379">
        <v>55825.5</v>
      </c>
      <c r="F31" s="379">
        <v>14927.2</v>
      </c>
      <c r="G31" s="379">
        <f t="shared" ref="G31:G36" si="9">E31+F31</f>
        <v>70752.7</v>
      </c>
      <c r="H31" s="380">
        <v>55825.5</v>
      </c>
      <c r="I31" s="379">
        <v>14927.2</v>
      </c>
      <c r="J31" s="379">
        <f t="shared" ref="J31:J36" si="10">H31+I31</f>
        <v>70752.7</v>
      </c>
      <c r="K31" s="376">
        <f t="shared" ref="K31:K36" si="11">G31-J31</f>
        <v>0</v>
      </c>
      <c r="L31" s="376">
        <f>G31-D31</f>
        <v>68752.7</v>
      </c>
      <c r="M31" s="390"/>
    </row>
    <row r="32" spans="1:13" ht="126" x14ac:dyDescent="0.3">
      <c r="A32" s="369">
        <v>15</v>
      </c>
      <c r="B32" s="374" t="s">
        <v>600</v>
      </c>
      <c r="C32" s="375" t="s">
        <v>597</v>
      </c>
      <c r="D32" s="369">
        <v>0</v>
      </c>
      <c r="E32" s="369">
        <v>0</v>
      </c>
      <c r="F32" s="369">
        <v>214</v>
      </c>
      <c r="G32" s="379">
        <f t="shared" si="9"/>
        <v>214</v>
      </c>
      <c r="H32" s="369">
        <v>0</v>
      </c>
      <c r="I32" s="369">
        <v>214</v>
      </c>
      <c r="J32" s="379">
        <f t="shared" si="10"/>
        <v>214</v>
      </c>
      <c r="K32" s="376">
        <f t="shared" si="11"/>
        <v>0</v>
      </c>
      <c r="L32" s="376">
        <f t="shared" ref="L32:L36" si="12">G32-D32</f>
        <v>214</v>
      </c>
      <c r="M32" s="391" t="s">
        <v>601</v>
      </c>
    </row>
    <row r="33" spans="1:13" ht="98" x14ac:dyDescent="0.3">
      <c r="A33" s="369">
        <v>16</v>
      </c>
      <c r="B33" s="374" t="s">
        <v>602</v>
      </c>
      <c r="C33" s="375" t="s">
        <v>597</v>
      </c>
      <c r="D33" s="369">
        <v>0</v>
      </c>
      <c r="E33" s="380">
        <v>137267.29999999999</v>
      </c>
      <c r="F33" s="380">
        <v>2801.4</v>
      </c>
      <c r="G33" s="379">
        <f t="shared" si="9"/>
        <v>140068.69999999998</v>
      </c>
      <c r="H33" s="379">
        <v>137267.29999999999</v>
      </c>
      <c r="I33" s="379">
        <v>2801.4</v>
      </c>
      <c r="J33" s="379">
        <f t="shared" si="10"/>
        <v>140068.69999999998</v>
      </c>
      <c r="K33" s="376">
        <f t="shared" si="11"/>
        <v>0</v>
      </c>
      <c r="L33" s="376">
        <f t="shared" si="12"/>
        <v>140068.69999999998</v>
      </c>
      <c r="M33" s="391" t="s">
        <v>603</v>
      </c>
    </row>
    <row r="34" spans="1:13" ht="62" x14ac:dyDescent="0.3">
      <c r="A34" s="369">
        <v>17</v>
      </c>
      <c r="B34" s="374" t="s">
        <v>604</v>
      </c>
      <c r="C34" s="375" t="s">
        <v>597</v>
      </c>
      <c r="D34" s="369">
        <v>0</v>
      </c>
      <c r="E34" s="369">
        <v>0</v>
      </c>
      <c r="F34" s="369">
        <v>0</v>
      </c>
      <c r="G34" s="379">
        <f t="shared" si="9"/>
        <v>0</v>
      </c>
      <c r="H34" s="369">
        <v>0</v>
      </c>
      <c r="I34" s="369">
        <v>0</v>
      </c>
      <c r="J34" s="379">
        <f t="shared" si="10"/>
        <v>0</v>
      </c>
      <c r="K34" s="376">
        <f t="shared" si="11"/>
        <v>0</v>
      </c>
      <c r="L34" s="376">
        <f t="shared" si="12"/>
        <v>0</v>
      </c>
      <c r="M34" s="391"/>
    </row>
    <row r="35" spans="1:13" ht="140" x14ac:dyDescent="0.3">
      <c r="A35" s="369">
        <v>18</v>
      </c>
      <c r="B35" s="374" t="s">
        <v>605</v>
      </c>
      <c r="C35" s="375" t="s">
        <v>597</v>
      </c>
      <c r="D35" s="369">
        <v>0</v>
      </c>
      <c r="E35" s="369">
        <v>0</v>
      </c>
      <c r="F35" s="379">
        <v>5000</v>
      </c>
      <c r="G35" s="379">
        <f t="shared" si="9"/>
        <v>5000</v>
      </c>
      <c r="H35" s="369">
        <v>0</v>
      </c>
      <c r="I35" s="379">
        <v>5000</v>
      </c>
      <c r="J35" s="379">
        <f t="shared" si="10"/>
        <v>5000</v>
      </c>
      <c r="K35" s="376">
        <f t="shared" si="11"/>
        <v>0</v>
      </c>
      <c r="L35" s="376">
        <f t="shared" si="12"/>
        <v>5000</v>
      </c>
      <c r="M35" s="391" t="s">
        <v>606</v>
      </c>
    </row>
    <row r="36" spans="1:13" ht="263.5" x14ac:dyDescent="0.3">
      <c r="A36" s="369">
        <v>19</v>
      </c>
      <c r="B36" s="374" t="s">
        <v>607</v>
      </c>
      <c r="C36" s="375" t="s">
        <v>608</v>
      </c>
      <c r="D36" s="369">
        <v>0</v>
      </c>
      <c r="E36" s="380">
        <v>9050</v>
      </c>
      <c r="F36" s="369">
        <v>184.7</v>
      </c>
      <c r="G36" s="379">
        <f t="shared" si="9"/>
        <v>9234.7000000000007</v>
      </c>
      <c r="H36" s="379">
        <v>9050</v>
      </c>
      <c r="I36" s="369">
        <v>184.7</v>
      </c>
      <c r="J36" s="379">
        <f t="shared" si="10"/>
        <v>9234.7000000000007</v>
      </c>
      <c r="K36" s="376">
        <f t="shared" si="11"/>
        <v>0</v>
      </c>
      <c r="L36" s="376">
        <f t="shared" si="12"/>
        <v>9234.7000000000007</v>
      </c>
      <c r="M36" s="391" t="s">
        <v>609</v>
      </c>
    </row>
    <row r="37" spans="1:13" ht="15.5" x14ac:dyDescent="0.3">
      <c r="A37" s="369"/>
      <c r="B37" s="504" t="s">
        <v>55</v>
      </c>
      <c r="C37" s="505"/>
      <c r="D37" s="392">
        <f>SUM(D30:D36)</f>
        <v>520240</v>
      </c>
      <c r="E37" s="392">
        <f t="shared" ref="E37:L37" si="13">SUM(E30:E36)</f>
        <v>729849.89999999991</v>
      </c>
      <c r="F37" s="392">
        <f t="shared" si="13"/>
        <v>33896.800000000003</v>
      </c>
      <c r="G37" s="392">
        <f t="shared" si="13"/>
        <v>763746.69999999984</v>
      </c>
      <c r="H37" s="392">
        <f t="shared" si="13"/>
        <v>729849.89999999991</v>
      </c>
      <c r="I37" s="392">
        <f t="shared" si="13"/>
        <v>426279.10000000003</v>
      </c>
      <c r="J37" s="392">
        <f t="shared" si="13"/>
        <v>1156128.9999999998</v>
      </c>
      <c r="K37" s="392">
        <f t="shared" si="13"/>
        <v>-392382.29999999993</v>
      </c>
      <c r="L37" s="392">
        <f t="shared" si="13"/>
        <v>243506.69999999995</v>
      </c>
      <c r="M37" s="391"/>
    </row>
    <row r="38" spans="1:13" ht="15" x14ac:dyDescent="0.3">
      <c r="A38" s="508" t="s">
        <v>610</v>
      </c>
      <c r="B38" s="508"/>
      <c r="C38" s="508"/>
      <c r="D38" s="508"/>
      <c r="E38" s="508"/>
      <c r="F38" s="508"/>
      <c r="G38" s="508"/>
      <c r="H38" s="508"/>
      <c r="I38" s="508"/>
      <c r="J38" s="508"/>
      <c r="K38" s="508"/>
      <c r="L38" s="508"/>
      <c r="M38" s="391"/>
    </row>
    <row r="39" spans="1:13" ht="124" x14ac:dyDescent="0.3">
      <c r="A39" s="369">
        <v>20</v>
      </c>
      <c r="B39" s="374" t="s">
        <v>611</v>
      </c>
      <c r="C39" s="375" t="s">
        <v>612</v>
      </c>
      <c r="D39" s="393">
        <v>6405.2</v>
      </c>
      <c r="E39" s="393">
        <v>0</v>
      </c>
      <c r="F39" s="393">
        <v>6405.2</v>
      </c>
      <c r="G39" s="393">
        <v>6405.2</v>
      </c>
      <c r="H39" s="393">
        <v>0</v>
      </c>
      <c r="I39" s="393">
        <v>6405.2</v>
      </c>
      <c r="J39" s="393">
        <v>6405.2</v>
      </c>
      <c r="K39" s="393">
        <v>0</v>
      </c>
      <c r="L39" s="393">
        <v>0</v>
      </c>
      <c r="M39" s="391" t="s">
        <v>613</v>
      </c>
    </row>
    <row r="40" spans="1:13" ht="77.5" x14ac:dyDescent="0.3">
      <c r="A40" s="369">
        <v>21</v>
      </c>
      <c r="B40" s="383" t="s">
        <v>614</v>
      </c>
      <c r="C40" s="375" t="s">
        <v>615</v>
      </c>
      <c r="D40" s="393">
        <v>420270</v>
      </c>
      <c r="E40" s="393">
        <v>333082.5</v>
      </c>
      <c r="F40" s="393">
        <v>61797.599999999999</v>
      </c>
      <c r="G40" s="393">
        <v>394880.1</v>
      </c>
      <c r="H40" s="393">
        <v>333082.5</v>
      </c>
      <c r="I40" s="393">
        <v>61797.599999999999</v>
      </c>
      <c r="J40" s="393">
        <v>394880.1</v>
      </c>
      <c r="K40" s="393">
        <v>0</v>
      </c>
      <c r="L40" s="393">
        <v>-25389.900000000023</v>
      </c>
      <c r="M40" s="391"/>
    </row>
    <row r="41" spans="1:13" ht="93" x14ac:dyDescent="0.3">
      <c r="A41" s="369">
        <v>22</v>
      </c>
      <c r="B41" s="383" t="s">
        <v>616</v>
      </c>
      <c r="C41" s="375" t="s">
        <v>617</v>
      </c>
      <c r="D41" s="393">
        <v>52900</v>
      </c>
      <c r="E41" s="393">
        <v>2068162.2</v>
      </c>
      <c r="F41" s="393">
        <v>52900</v>
      </c>
      <c r="G41" s="393">
        <v>2121062.2000000002</v>
      </c>
      <c r="H41" s="393">
        <v>0</v>
      </c>
      <c r="I41" s="393">
        <v>106962.8</v>
      </c>
      <c r="J41" s="393">
        <v>106962.8</v>
      </c>
      <c r="K41" s="393">
        <f>G41-J41</f>
        <v>2014099.4000000001</v>
      </c>
      <c r="L41" s="393">
        <f>G41-D41</f>
        <v>2068162.2000000002</v>
      </c>
      <c r="M41" s="391" t="s">
        <v>618</v>
      </c>
    </row>
    <row r="42" spans="1:13" ht="15.5" x14ac:dyDescent="0.3">
      <c r="A42" s="369"/>
      <c r="B42" s="504" t="s">
        <v>55</v>
      </c>
      <c r="C42" s="505"/>
      <c r="D42" s="394">
        <f>SUM(D39:D41)</f>
        <v>479575.2</v>
      </c>
      <c r="E42" s="394">
        <f t="shared" ref="E42:L42" si="14">SUM(E39:E41)</f>
        <v>2401244.7000000002</v>
      </c>
      <c r="F42" s="394">
        <f t="shared" si="14"/>
        <v>121102.8</v>
      </c>
      <c r="G42" s="394">
        <f t="shared" si="14"/>
        <v>2522347.5</v>
      </c>
      <c r="H42" s="394">
        <f t="shared" si="14"/>
        <v>333082.5</v>
      </c>
      <c r="I42" s="394">
        <f t="shared" si="14"/>
        <v>175165.6</v>
      </c>
      <c r="J42" s="394">
        <f t="shared" si="14"/>
        <v>508248.1</v>
      </c>
      <c r="K42" s="394">
        <f t="shared" si="14"/>
        <v>2014099.4000000001</v>
      </c>
      <c r="L42" s="394">
        <f t="shared" si="14"/>
        <v>2042772.3000000003</v>
      </c>
      <c r="M42" s="391"/>
    </row>
    <row r="43" spans="1:13" ht="15" x14ac:dyDescent="0.3">
      <c r="A43" s="508" t="s">
        <v>619</v>
      </c>
      <c r="B43" s="508"/>
      <c r="C43" s="508"/>
      <c r="D43" s="508"/>
      <c r="E43" s="508"/>
      <c r="F43" s="508"/>
      <c r="G43" s="508"/>
      <c r="H43" s="508"/>
      <c r="I43" s="508"/>
      <c r="J43" s="508"/>
      <c r="K43" s="508"/>
      <c r="L43" s="508"/>
      <c r="M43" s="391"/>
    </row>
    <row r="44" spans="1:13" ht="93" x14ac:dyDescent="0.3">
      <c r="A44" s="369">
        <v>23</v>
      </c>
      <c r="B44" s="374" t="s">
        <v>620</v>
      </c>
      <c r="C44" s="375" t="s">
        <v>621</v>
      </c>
      <c r="D44" s="386">
        <v>0</v>
      </c>
      <c r="E44" s="386">
        <v>0</v>
      </c>
      <c r="F44" s="386">
        <v>0</v>
      </c>
      <c r="G44" s="386">
        <v>0</v>
      </c>
      <c r="H44" s="386">
        <v>0</v>
      </c>
      <c r="I44" s="386">
        <v>0</v>
      </c>
      <c r="J44" s="386">
        <v>0</v>
      </c>
      <c r="K44" s="386">
        <v>0</v>
      </c>
      <c r="L44" s="386">
        <v>0</v>
      </c>
      <c r="M44" s="391"/>
    </row>
    <row r="45" spans="1:13" ht="93" x14ac:dyDescent="0.3">
      <c r="A45" s="369">
        <v>24</v>
      </c>
      <c r="B45" s="383" t="s">
        <v>622</v>
      </c>
      <c r="C45" s="375" t="s">
        <v>621</v>
      </c>
      <c r="D45" s="386">
        <v>0</v>
      </c>
      <c r="E45" s="386">
        <v>0</v>
      </c>
      <c r="F45" s="386">
        <v>0</v>
      </c>
      <c r="G45" s="386">
        <v>0</v>
      </c>
      <c r="H45" s="386">
        <v>0</v>
      </c>
      <c r="I45" s="386">
        <v>0</v>
      </c>
      <c r="J45" s="386">
        <v>0</v>
      </c>
      <c r="K45" s="386">
        <v>0</v>
      </c>
      <c r="L45" s="386">
        <v>0</v>
      </c>
      <c r="M45" s="391"/>
    </row>
    <row r="46" spans="1:13" ht="93" x14ac:dyDescent="0.3">
      <c r="A46" s="369">
        <v>25</v>
      </c>
      <c r="B46" s="374" t="s">
        <v>623</v>
      </c>
      <c r="C46" s="375" t="s">
        <v>624</v>
      </c>
      <c r="D46" s="379">
        <v>203380</v>
      </c>
      <c r="E46" s="379">
        <v>199311.8</v>
      </c>
      <c r="F46" s="379">
        <v>5805.5</v>
      </c>
      <c r="G46" s="379">
        <f>E46+F46</f>
        <v>205117.3</v>
      </c>
      <c r="H46" s="379">
        <v>199311.8</v>
      </c>
      <c r="I46" s="379">
        <v>5805.5</v>
      </c>
      <c r="J46" s="379">
        <f>H46+I46</f>
        <v>205117.3</v>
      </c>
      <c r="K46" s="379">
        <v>0</v>
      </c>
      <c r="L46" s="379">
        <f>G46-D46</f>
        <v>1737.2999999999884</v>
      </c>
      <c r="M46" s="391" t="s">
        <v>625</v>
      </c>
    </row>
    <row r="47" spans="1:13" ht="62" x14ac:dyDescent="0.3">
      <c r="A47" s="369">
        <v>26</v>
      </c>
      <c r="B47" s="374" t="s">
        <v>626</v>
      </c>
      <c r="C47" s="375" t="s">
        <v>627</v>
      </c>
      <c r="D47" s="376">
        <v>73150</v>
      </c>
      <c r="E47" s="376">
        <v>108552.2</v>
      </c>
      <c r="F47" s="376">
        <v>6355.6</v>
      </c>
      <c r="G47" s="376">
        <f>E47+F47</f>
        <v>114907.8</v>
      </c>
      <c r="H47" s="376">
        <v>108552.2</v>
      </c>
      <c r="I47" s="376">
        <v>6355.6</v>
      </c>
      <c r="J47" s="376">
        <f>H47+I47</f>
        <v>114907.8</v>
      </c>
      <c r="K47" s="376">
        <v>0</v>
      </c>
      <c r="L47" s="386">
        <f>G47-D47</f>
        <v>41757.800000000003</v>
      </c>
      <c r="M47" s="391"/>
    </row>
    <row r="48" spans="1:13" ht="15.5" x14ac:dyDescent="0.3">
      <c r="A48" s="369"/>
      <c r="B48" s="504" t="s">
        <v>55</v>
      </c>
      <c r="C48" s="505"/>
      <c r="D48" s="394">
        <f>SUM(D44:D47)</f>
        <v>276530</v>
      </c>
      <c r="E48" s="394">
        <f t="shared" ref="E48:L48" si="15">SUM(E44:E47)</f>
        <v>307864</v>
      </c>
      <c r="F48" s="394">
        <f t="shared" si="15"/>
        <v>12161.1</v>
      </c>
      <c r="G48" s="394">
        <f t="shared" si="15"/>
        <v>320025.09999999998</v>
      </c>
      <c r="H48" s="394">
        <f t="shared" si="15"/>
        <v>307864</v>
      </c>
      <c r="I48" s="394">
        <f t="shared" si="15"/>
        <v>12161.1</v>
      </c>
      <c r="J48" s="394">
        <f t="shared" si="15"/>
        <v>320025.09999999998</v>
      </c>
      <c r="K48" s="394">
        <f t="shared" si="15"/>
        <v>0</v>
      </c>
      <c r="L48" s="394">
        <f t="shared" si="15"/>
        <v>43495.099999999991</v>
      </c>
      <c r="M48" s="391"/>
    </row>
    <row r="49" spans="1:13" ht="15" x14ac:dyDescent="0.3">
      <c r="A49" s="508" t="s">
        <v>628</v>
      </c>
      <c r="B49" s="508"/>
      <c r="C49" s="508"/>
      <c r="D49" s="508"/>
      <c r="E49" s="508"/>
      <c r="F49" s="508"/>
      <c r="G49" s="508"/>
      <c r="H49" s="508"/>
      <c r="I49" s="508"/>
      <c r="J49" s="508"/>
      <c r="K49" s="508"/>
      <c r="L49" s="508"/>
      <c r="M49" s="391"/>
    </row>
    <row r="50" spans="1:13" ht="62" x14ac:dyDescent="0.3">
      <c r="A50" s="369">
        <v>27</v>
      </c>
      <c r="B50" s="411" t="s">
        <v>629</v>
      </c>
      <c r="C50" s="395" t="s">
        <v>630</v>
      </c>
      <c r="D50" s="379">
        <v>3446770</v>
      </c>
      <c r="E50" s="379">
        <v>568000</v>
      </c>
      <c r="F50" s="379">
        <v>2454533.4</v>
      </c>
      <c r="G50" s="379">
        <f>E50+F50</f>
        <v>3022533.4</v>
      </c>
      <c r="H50" s="379">
        <v>568000</v>
      </c>
      <c r="I50" s="379">
        <v>2454533.4</v>
      </c>
      <c r="J50" s="379">
        <v>3022533.4</v>
      </c>
      <c r="K50" s="379">
        <f>G50-J50</f>
        <v>0</v>
      </c>
      <c r="L50" s="379">
        <f>G50-D50</f>
        <v>-424236.60000000009</v>
      </c>
      <c r="M50" s="391"/>
    </row>
    <row r="51" spans="1:13" ht="62" x14ac:dyDescent="0.3">
      <c r="A51" s="369">
        <v>28</v>
      </c>
      <c r="B51" s="412" t="s">
        <v>631</v>
      </c>
      <c r="C51" s="396" t="s">
        <v>630</v>
      </c>
      <c r="D51" s="379">
        <v>63470</v>
      </c>
      <c r="E51" s="379">
        <v>0</v>
      </c>
      <c r="F51" s="379">
        <v>94185.4</v>
      </c>
      <c r="G51" s="379">
        <f>E51+F51</f>
        <v>94185.4</v>
      </c>
      <c r="H51" s="379">
        <v>0</v>
      </c>
      <c r="I51" s="379">
        <v>94185.4</v>
      </c>
      <c r="J51" s="379">
        <v>94185.4</v>
      </c>
      <c r="K51" s="379">
        <v>0</v>
      </c>
      <c r="L51" s="379">
        <f>G51-D51</f>
        <v>30715.399999999994</v>
      </c>
      <c r="M51" s="391"/>
    </row>
    <row r="52" spans="1:13" ht="62" x14ac:dyDescent="0.3">
      <c r="A52" s="523">
        <v>29</v>
      </c>
      <c r="B52" s="526" t="s">
        <v>632</v>
      </c>
      <c r="C52" s="396" t="s">
        <v>630</v>
      </c>
      <c r="D52" s="376">
        <v>30000</v>
      </c>
      <c r="E52" s="376">
        <v>0</v>
      </c>
      <c r="F52" s="376">
        <v>18000</v>
      </c>
      <c r="G52" s="376">
        <v>18000</v>
      </c>
      <c r="H52" s="376">
        <v>0</v>
      </c>
      <c r="I52" s="376">
        <v>18000</v>
      </c>
      <c r="J52" s="376">
        <v>18000</v>
      </c>
      <c r="K52" s="376">
        <v>0</v>
      </c>
      <c r="L52" s="376">
        <f>G52-D52</f>
        <v>-12000</v>
      </c>
      <c r="M52" s="391"/>
    </row>
    <row r="53" spans="1:13" ht="62" x14ac:dyDescent="0.3">
      <c r="A53" s="524"/>
      <c r="B53" s="527"/>
      <c r="C53" s="375" t="s">
        <v>597</v>
      </c>
      <c r="D53" s="379">
        <v>7762.5</v>
      </c>
      <c r="E53" s="376">
        <v>0</v>
      </c>
      <c r="F53" s="379">
        <v>7762.5</v>
      </c>
      <c r="G53" s="379">
        <v>7762.5</v>
      </c>
      <c r="H53" s="376">
        <v>0</v>
      </c>
      <c r="I53" s="379">
        <v>7762.5</v>
      </c>
      <c r="J53" s="379">
        <v>7762.5</v>
      </c>
      <c r="K53" s="376">
        <v>0</v>
      </c>
      <c r="L53" s="376">
        <v>0</v>
      </c>
      <c r="M53" s="391"/>
    </row>
    <row r="54" spans="1:13" ht="62" x14ac:dyDescent="0.3">
      <c r="A54" s="524"/>
      <c r="B54" s="527"/>
      <c r="C54" s="375" t="s">
        <v>633</v>
      </c>
      <c r="D54" s="379">
        <v>45000</v>
      </c>
      <c r="E54" s="397">
        <v>0</v>
      </c>
      <c r="F54" s="398">
        <v>45000</v>
      </c>
      <c r="G54" s="398">
        <v>45000</v>
      </c>
      <c r="H54" s="397">
        <v>0</v>
      </c>
      <c r="I54" s="398">
        <v>45000</v>
      </c>
      <c r="J54" s="398">
        <v>45000</v>
      </c>
      <c r="K54" s="376">
        <v>0</v>
      </c>
      <c r="L54" s="376">
        <v>0</v>
      </c>
      <c r="M54" s="391"/>
    </row>
    <row r="55" spans="1:13" ht="201.5" x14ac:dyDescent="0.3">
      <c r="A55" s="524"/>
      <c r="B55" s="527"/>
      <c r="C55" s="375" t="s">
        <v>634</v>
      </c>
      <c r="D55" s="379">
        <v>3416</v>
      </c>
      <c r="E55" s="397">
        <v>0</v>
      </c>
      <c r="F55" s="398">
        <v>3416</v>
      </c>
      <c r="G55" s="398">
        <v>3416</v>
      </c>
      <c r="H55" s="397">
        <v>0</v>
      </c>
      <c r="I55" s="398">
        <v>3416</v>
      </c>
      <c r="J55" s="398">
        <v>3416</v>
      </c>
      <c r="K55" s="376">
        <v>0</v>
      </c>
      <c r="L55" s="376">
        <v>0</v>
      </c>
      <c r="M55" s="391"/>
    </row>
    <row r="56" spans="1:13" ht="155" x14ac:dyDescent="0.3">
      <c r="A56" s="525"/>
      <c r="B56" s="528"/>
      <c r="C56" s="375" t="s">
        <v>635</v>
      </c>
      <c r="D56" s="379">
        <v>2000</v>
      </c>
      <c r="E56" s="397">
        <v>0</v>
      </c>
      <c r="F56" s="398">
        <v>0</v>
      </c>
      <c r="G56" s="398">
        <v>0</v>
      </c>
      <c r="H56" s="397">
        <v>0</v>
      </c>
      <c r="I56" s="398">
        <v>0</v>
      </c>
      <c r="J56" s="398">
        <v>0</v>
      </c>
      <c r="K56" s="376">
        <v>-2000</v>
      </c>
      <c r="L56" s="376">
        <v>-2000</v>
      </c>
      <c r="M56" s="391"/>
    </row>
    <row r="57" spans="1:13" ht="15.5" x14ac:dyDescent="0.3">
      <c r="A57" s="369"/>
      <c r="B57" s="504" t="s">
        <v>55</v>
      </c>
      <c r="C57" s="505"/>
      <c r="D57" s="394">
        <f>SUM(D50:D56)</f>
        <v>3598418.5</v>
      </c>
      <c r="E57" s="394">
        <f t="shared" ref="E57:L57" si="16">SUM(E50:E56)</f>
        <v>568000</v>
      </c>
      <c r="F57" s="394">
        <f t="shared" si="16"/>
        <v>2622897.2999999998</v>
      </c>
      <c r="G57" s="394">
        <f t="shared" si="16"/>
        <v>3190897.3</v>
      </c>
      <c r="H57" s="394">
        <f t="shared" si="16"/>
        <v>568000</v>
      </c>
      <c r="I57" s="394">
        <f t="shared" si="16"/>
        <v>2622897.2999999998</v>
      </c>
      <c r="J57" s="394">
        <f t="shared" si="16"/>
        <v>3190897.3</v>
      </c>
      <c r="K57" s="394">
        <f t="shared" si="16"/>
        <v>-2000</v>
      </c>
      <c r="L57" s="394">
        <f t="shared" si="16"/>
        <v>-407521.20000000007</v>
      </c>
      <c r="M57" s="391"/>
    </row>
    <row r="58" spans="1:13" ht="15" x14ac:dyDescent="0.3">
      <c r="A58" s="508" t="s">
        <v>636</v>
      </c>
      <c r="B58" s="508"/>
      <c r="C58" s="508"/>
      <c r="D58" s="508"/>
      <c r="E58" s="508"/>
      <c r="F58" s="508"/>
      <c r="G58" s="508"/>
      <c r="H58" s="508"/>
      <c r="I58" s="508"/>
      <c r="J58" s="508"/>
      <c r="K58" s="508"/>
      <c r="L58" s="508"/>
      <c r="M58" s="391"/>
    </row>
    <row r="59" spans="1:13" ht="15.5" x14ac:dyDescent="0.3">
      <c r="A59" s="369">
        <v>30</v>
      </c>
      <c r="B59" s="374" t="s">
        <v>637</v>
      </c>
      <c r="C59" s="375"/>
      <c r="D59" s="369">
        <v>0</v>
      </c>
      <c r="E59" s="369">
        <v>0</v>
      </c>
      <c r="F59" s="369">
        <v>0</v>
      </c>
      <c r="G59" s="369">
        <v>0</v>
      </c>
      <c r="H59" s="369">
        <v>0</v>
      </c>
      <c r="I59" s="369">
        <v>0</v>
      </c>
      <c r="J59" s="369">
        <v>0</v>
      </c>
      <c r="K59" s="369">
        <v>0</v>
      </c>
      <c r="L59" s="369">
        <v>0</v>
      </c>
      <c r="M59" s="391"/>
    </row>
    <row r="60" spans="1:13" ht="15.5" x14ac:dyDescent="0.3">
      <c r="A60" s="369">
        <v>31</v>
      </c>
      <c r="B60" s="374" t="s">
        <v>638</v>
      </c>
      <c r="C60" s="375"/>
      <c r="D60" s="369">
        <v>0</v>
      </c>
      <c r="E60" s="369">
        <v>0</v>
      </c>
      <c r="F60" s="369">
        <v>0</v>
      </c>
      <c r="G60" s="369">
        <v>0</v>
      </c>
      <c r="H60" s="369">
        <v>0</v>
      </c>
      <c r="I60" s="369">
        <v>0</v>
      </c>
      <c r="J60" s="369">
        <v>0</v>
      </c>
      <c r="K60" s="369">
        <v>0</v>
      </c>
      <c r="L60" s="399">
        <v>0</v>
      </c>
      <c r="M60" s="391"/>
    </row>
    <row r="61" spans="1:13" ht="15.5" x14ac:dyDescent="0.3">
      <c r="A61" s="369">
        <v>32</v>
      </c>
      <c r="B61" s="374" t="s">
        <v>639</v>
      </c>
      <c r="C61" s="375"/>
      <c r="D61" s="369">
        <v>0</v>
      </c>
      <c r="E61" s="369">
        <v>0</v>
      </c>
      <c r="F61" s="369">
        <v>0</v>
      </c>
      <c r="G61" s="369">
        <v>0</v>
      </c>
      <c r="H61" s="369">
        <v>0</v>
      </c>
      <c r="I61" s="369">
        <v>0</v>
      </c>
      <c r="J61" s="369">
        <v>0</v>
      </c>
      <c r="K61" s="369">
        <v>0</v>
      </c>
      <c r="L61" s="369">
        <v>0</v>
      </c>
      <c r="M61" s="391"/>
    </row>
    <row r="62" spans="1:13" ht="15.5" x14ac:dyDescent="0.3">
      <c r="A62" s="369">
        <v>33</v>
      </c>
      <c r="B62" s="374" t="s">
        <v>640</v>
      </c>
      <c r="C62" s="375"/>
      <c r="D62" s="369">
        <v>0</v>
      </c>
      <c r="E62" s="369">
        <v>0</v>
      </c>
      <c r="F62" s="369">
        <v>0</v>
      </c>
      <c r="G62" s="369">
        <v>0</v>
      </c>
      <c r="H62" s="369">
        <v>0</v>
      </c>
      <c r="I62" s="369">
        <v>0</v>
      </c>
      <c r="J62" s="369">
        <v>0</v>
      </c>
      <c r="K62" s="369">
        <v>0</v>
      </c>
      <c r="L62" s="369">
        <v>0</v>
      </c>
      <c r="M62" s="391"/>
    </row>
    <row r="63" spans="1:13" ht="26" x14ac:dyDescent="0.3">
      <c r="A63" s="369">
        <v>34</v>
      </c>
      <c r="B63" s="374" t="s">
        <v>641</v>
      </c>
      <c r="C63" s="375"/>
      <c r="D63" s="369">
        <v>0</v>
      </c>
      <c r="E63" s="369">
        <v>0</v>
      </c>
      <c r="F63" s="369">
        <v>0</v>
      </c>
      <c r="G63" s="369">
        <v>0</v>
      </c>
      <c r="H63" s="369">
        <v>0</v>
      </c>
      <c r="I63" s="369">
        <v>0</v>
      </c>
      <c r="J63" s="369">
        <v>0</v>
      </c>
      <c r="K63" s="369">
        <v>0</v>
      </c>
      <c r="L63" s="369">
        <v>0</v>
      </c>
      <c r="M63" s="391"/>
    </row>
    <row r="64" spans="1:13" ht="15.5" x14ac:dyDescent="0.3">
      <c r="A64" s="369"/>
      <c r="B64" s="504" t="s">
        <v>55</v>
      </c>
      <c r="C64" s="505"/>
      <c r="D64" s="400"/>
      <c r="E64" s="401"/>
      <c r="F64" s="401"/>
      <c r="G64" s="401"/>
      <c r="H64" s="401"/>
      <c r="I64" s="401"/>
      <c r="J64" s="401"/>
      <c r="K64" s="402"/>
      <c r="L64" s="402"/>
      <c r="M64" s="391"/>
    </row>
    <row r="65" spans="1:13" ht="15" x14ac:dyDescent="0.3">
      <c r="A65" s="508" t="s">
        <v>642</v>
      </c>
      <c r="B65" s="508"/>
      <c r="C65" s="508"/>
      <c r="D65" s="508"/>
      <c r="E65" s="508"/>
      <c r="F65" s="508"/>
      <c r="G65" s="508"/>
      <c r="H65" s="508"/>
      <c r="I65" s="508"/>
      <c r="J65" s="508"/>
      <c r="K65" s="508"/>
      <c r="L65" s="508"/>
      <c r="M65" s="391"/>
    </row>
    <row r="66" spans="1:13" ht="46.5" x14ac:dyDescent="0.3">
      <c r="A66" s="523">
        <v>35</v>
      </c>
      <c r="B66" s="519" t="s">
        <v>643</v>
      </c>
      <c r="C66" s="375" t="s">
        <v>647</v>
      </c>
      <c r="D66" s="529">
        <f>72.72*1000</f>
        <v>72720</v>
      </c>
      <c r="E66" s="379">
        <f>21980.6+5000</f>
        <v>26980.6</v>
      </c>
      <c r="F66" s="379">
        <f>2442.3+500</f>
        <v>2942.3</v>
      </c>
      <c r="G66" s="379">
        <f>E66+F66</f>
        <v>29922.899999999998</v>
      </c>
      <c r="H66" s="379">
        <f>21980.6+5000</f>
        <v>26980.6</v>
      </c>
      <c r="I66" s="379">
        <f>2442.3+500</f>
        <v>2942.3</v>
      </c>
      <c r="J66" s="379">
        <f t="shared" ref="J66:J69" si="17">H66+I66</f>
        <v>29922.899999999998</v>
      </c>
      <c r="K66" s="376">
        <f>G66-J66</f>
        <v>0</v>
      </c>
      <c r="L66" s="531">
        <f>G66+G67-D66</f>
        <v>5002.8999999999942</v>
      </c>
      <c r="M66" s="533" t="s">
        <v>644</v>
      </c>
    </row>
    <row r="67" spans="1:13" ht="31" x14ac:dyDescent="0.3">
      <c r="A67" s="525"/>
      <c r="B67" s="521"/>
      <c r="C67" s="375" t="s">
        <v>645</v>
      </c>
      <c r="D67" s="530"/>
      <c r="E67" s="379">
        <v>30000</v>
      </c>
      <c r="F67" s="379">
        <v>17800</v>
      </c>
      <c r="G67" s="379">
        <f>E67+F67</f>
        <v>47800</v>
      </c>
      <c r="H67" s="379">
        <v>30000</v>
      </c>
      <c r="I67" s="379">
        <v>17800</v>
      </c>
      <c r="J67" s="379">
        <f>H67+I67</f>
        <v>47800</v>
      </c>
      <c r="K67" s="376">
        <f>G67-J67</f>
        <v>0</v>
      </c>
      <c r="L67" s="532"/>
      <c r="M67" s="533"/>
    </row>
    <row r="68" spans="1:13" ht="46.5" x14ac:dyDescent="0.3">
      <c r="A68" s="369">
        <v>36</v>
      </c>
      <c r="B68" s="374" t="s">
        <v>646</v>
      </c>
      <c r="C68" s="375" t="s">
        <v>647</v>
      </c>
      <c r="D68" s="379">
        <f>6.73*1000</f>
        <v>6730</v>
      </c>
      <c r="E68" s="379">
        <v>0</v>
      </c>
      <c r="F68" s="379">
        <v>6730</v>
      </c>
      <c r="G68" s="379">
        <f t="shared" ref="G68:G69" si="18">E68+F68</f>
        <v>6730</v>
      </c>
      <c r="H68" s="379">
        <v>0</v>
      </c>
      <c r="I68" s="379">
        <v>6730</v>
      </c>
      <c r="J68" s="379">
        <f t="shared" si="17"/>
        <v>6730</v>
      </c>
      <c r="K68" s="376">
        <f t="shared" ref="K68:K70" si="19">G68-J68</f>
        <v>0</v>
      </c>
      <c r="L68" s="376">
        <f>G68-D68</f>
        <v>0</v>
      </c>
      <c r="M68" s="403"/>
    </row>
    <row r="69" spans="1:13" ht="140" x14ac:dyDescent="0.3">
      <c r="A69" s="369">
        <v>37</v>
      </c>
      <c r="B69" s="374" t="s">
        <v>648</v>
      </c>
      <c r="C69" s="375" t="s">
        <v>647</v>
      </c>
      <c r="D69" s="379">
        <f>0.2*1000</f>
        <v>200</v>
      </c>
      <c r="E69" s="379">
        <v>3500</v>
      </c>
      <c r="F69" s="379">
        <v>300</v>
      </c>
      <c r="G69" s="379">
        <f t="shared" si="18"/>
        <v>3800</v>
      </c>
      <c r="H69" s="379">
        <v>3500</v>
      </c>
      <c r="I69" s="379">
        <v>300</v>
      </c>
      <c r="J69" s="379">
        <f t="shared" si="17"/>
        <v>3800</v>
      </c>
      <c r="K69" s="376">
        <f t="shared" si="19"/>
        <v>0</v>
      </c>
      <c r="L69" s="376">
        <f>G69-D69</f>
        <v>3600</v>
      </c>
      <c r="M69" s="403" t="s">
        <v>649</v>
      </c>
    </row>
    <row r="70" spans="1:13" ht="15.5" x14ac:dyDescent="0.3">
      <c r="A70" s="369"/>
      <c r="B70" s="534" t="s">
        <v>55</v>
      </c>
      <c r="C70" s="534"/>
      <c r="D70" s="404">
        <f>SUM(D66:D69)</f>
        <v>79650</v>
      </c>
      <c r="E70" s="392">
        <f>SUM(E66:E69)</f>
        <v>60480.6</v>
      </c>
      <c r="F70" s="392">
        <f t="shared" ref="F70:J70" si="20">SUM(F66:F69)</f>
        <v>27772.3</v>
      </c>
      <c r="G70" s="392">
        <f t="shared" si="20"/>
        <v>88252.9</v>
      </c>
      <c r="H70" s="392">
        <f t="shared" si="20"/>
        <v>60480.6</v>
      </c>
      <c r="I70" s="392">
        <f t="shared" si="20"/>
        <v>27772.3</v>
      </c>
      <c r="J70" s="392">
        <f t="shared" si="20"/>
        <v>88252.9</v>
      </c>
      <c r="K70" s="392">
        <f t="shared" si="19"/>
        <v>0</v>
      </c>
      <c r="L70" s="392">
        <f>G70-D70</f>
        <v>8602.8999999999942</v>
      </c>
      <c r="M70" s="391"/>
    </row>
    <row r="71" spans="1:13" ht="15" x14ac:dyDescent="0.3">
      <c r="A71" s="508" t="s">
        <v>650</v>
      </c>
      <c r="B71" s="508"/>
      <c r="C71" s="508"/>
      <c r="D71" s="508"/>
      <c r="E71" s="508"/>
      <c r="F71" s="508"/>
      <c r="G71" s="508"/>
      <c r="H71" s="508"/>
      <c r="I71" s="508"/>
      <c r="J71" s="508"/>
      <c r="K71" s="508"/>
      <c r="L71" s="508"/>
      <c r="M71" s="391"/>
    </row>
    <row r="72" spans="1:13" ht="93" x14ac:dyDescent="0.3">
      <c r="A72" s="369">
        <v>38</v>
      </c>
      <c r="B72" s="383" t="s">
        <v>651</v>
      </c>
      <c r="C72" s="375" t="s">
        <v>652</v>
      </c>
      <c r="D72" s="376">
        <v>0</v>
      </c>
      <c r="E72" s="376">
        <v>0</v>
      </c>
      <c r="F72" s="376">
        <v>0</v>
      </c>
      <c r="G72" s="376">
        <f>E72+F72</f>
        <v>0</v>
      </c>
      <c r="H72" s="376">
        <v>0</v>
      </c>
      <c r="I72" s="376">
        <v>0</v>
      </c>
      <c r="J72" s="376">
        <f>H72+I72</f>
        <v>0</v>
      </c>
      <c r="K72" s="376">
        <f>G72-J72</f>
        <v>0</v>
      </c>
      <c r="L72" s="376">
        <f>G72-D72</f>
        <v>0</v>
      </c>
      <c r="M72" s="391" t="s">
        <v>653</v>
      </c>
    </row>
    <row r="73" spans="1:13" ht="93" x14ac:dyDescent="0.3">
      <c r="A73" s="369">
        <v>39</v>
      </c>
      <c r="B73" s="383" t="s">
        <v>654</v>
      </c>
      <c r="C73" s="375" t="s">
        <v>652</v>
      </c>
      <c r="D73" s="379">
        <v>11580</v>
      </c>
      <c r="E73" s="379">
        <v>5022.2</v>
      </c>
      <c r="F73" s="369">
        <v>102.5</v>
      </c>
      <c r="G73" s="379">
        <f>E73+F73</f>
        <v>5124.7</v>
      </c>
      <c r="H73" s="379">
        <v>5022.2</v>
      </c>
      <c r="I73" s="369">
        <v>102.5</v>
      </c>
      <c r="J73" s="379">
        <f>H73+I73</f>
        <v>5124.7</v>
      </c>
      <c r="K73" s="376">
        <f t="shared" ref="K73:K74" si="21">G73-J73</f>
        <v>0</v>
      </c>
      <c r="L73" s="376">
        <f>G73-D73</f>
        <v>-6455.3</v>
      </c>
      <c r="M73" s="391" t="s">
        <v>655</v>
      </c>
    </row>
    <row r="74" spans="1:13" ht="93" x14ac:dyDescent="0.3">
      <c r="A74" s="369">
        <v>40</v>
      </c>
      <c r="B74" s="383" t="s">
        <v>656</v>
      </c>
      <c r="C74" s="375" t="s">
        <v>652</v>
      </c>
      <c r="D74" s="379">
        <v>79780</v>
      </c>
      <c r="E74" s="379">
        <v>70035.8</v>
      </c>
      <c r="F74" s="379">
        <v>76756.899999999994</v>
      </c>
      <c r="G74" s="379">
        <f>E74+F74</f>
        <v>146792.70000000001</v>
      </c>
      <c r="H74" s="379">
        <v>70035.8</v>
      </c>
      <c r="I74" s="379">
        <v>76756.899999999994</v>
      </c>
      <c r="J74" s="379">
        <f>H74+I74</f>
        <v>146792.70000000001</v>
      </c>
      <c r="K74" s="376">
        <f t="shared" si="21"/>
        <v>0</v>
      </c>
      <c r="L74" s="376">
        <f>G74-D74</f>
        <v>67012.700000000012</v>
      </c>
      <c r="M74" s="391" t="s">
        <v>655</v>
      </c>
    </row>
    <row r="75" spans="1:13" ht="139.5" x14ac:dyDescent="0.3">
      <c r="A75" s="369">
        <v>41</v>
      </c>
      <c r="B75" s="383" t="s">
        <v>657</v>
      </c>
      <c r="C75" s="375" t="s">
        <v>658</v>
      </c>
      <c r="D75" s="376">
        <v>9650</v>
      </c>
      <c r="E75" s="376">
        <v>9488.7000000000007</v>
      </c>
      <c r="F75" s="376">
        <v>193.6</v>
      </c>
      <c r="G75" s="376">
        <f>E75+F75</f>
        <v>9682.3000000000011</v>
      </c>
      <c r="H75" s="376">
        <v>9488.7000000000007</v>
      </c>
      <c r="I75" s="376">
        <v>1118.8</v>
      </c>
      <c r="J75" s="376">
        <v>10607.5</v>
      </c>
      <c r="K75" s="399">
        <v>0</v>
      </c>
      <c r="L75" s="376">
        <f>G75-D75</f>
        <v>32.300000000001091</v>
      </c>
      <c r="M75" s="405" t="s">
        <v>659</v>
      </c>
    </row>
    <row r="76" spans="1:13" ht="93" x14ac:dyDescent="0.3">
      <c r="A76" s="369">
        <v>42</v>
      </c>
      <c r="B76" s="383" t="s">
        <v>660</v>
      </c>
      <c r="C76" s="375" t="s">
        <v>652</v>
      </c>
      <c r="D76" s="379">
        <v>6240</v>
      </c>
      <c r="E76" s="379">
        <v>4667.1000000000004</v>
      </c>
      <c r="F76" s="369">
        <v>95.2</v>
      </c>
      <c r="G76" s="379">
        <v>4762.3</v>
      </c>
      <c r="H76" s="379">
        <v>4667.1000000000004</v>
      </c>
      <c r="I76" s="369">
        <v>95.2</v>
      </c>
      <c r="J76" s="379">
        <v>4762.3</v>
      </c>
      <c r="K76" s="376">
        <f>G76-J76</f>
        <v>0</v>
      </c>
      <c r="L76" s="376">
        <v>-1477.7</v>
      </c>
      <c r="M76" s="391" t="s">
        <v>655</v>
      </c>
    </row>
    <row r="77" spans="1:13" ht="15.5" x14ac:dyDescent="0.3">
      <c r="A77" s="369"/>
      <c r="B77" s="504" t="s">
        <v>55</v>
      </c>
      <c r="C77" s="522"/>
      <c r="D77" s="406">
        <f>SUM(D72:D76)</f>
        <v>107250</v>
      </c>
      <c r="E77" s="406">
        <f t="shared" ref="E77:L77" si="22">SUM(E72:E76)</f>
        <v>89213.8</v>
      </c>
      <c r="F77" s="406">
        <f t="shared" si="22"/>
        <v>77148.2</v>
      </c>
      <c r="G77" s="406">
        <f t="shared" si="22"/>
        <v>166362</v>
      </c>
      <c r="H77" s="406">
        <f t="shared" si="22"/>
        <v>89213.8</v>
      </c>
      <c r="I77" s="406">
        <f t="shared" si="22"/>
        <v>78073.399999999994</v>
      </c>
      <c r="J77" s="406">
        <f t="shared" si="22"/>
        <v>167287.20000000001</v>
      </c>
      <c r="K77" s="406">
        <f t="shared" si="22"/>
        <v>0</v>
      </c>
      <c r="L77" s="406">
        <f t="shared" si="22"/>
        <v>59112.000000000015</v>
      </c>
      <c r="M77" s="391"/>
    </row>
    <row r="78" spans="1:13" ht="15" x14ac:dyDescent="0.3">
      <c r="A78" s="508" t="s">
        <v>661</v>
      </c>
      <c r="B78" s="508"/>
      <c r="C78" s="508"/>
      <c r="D78" s="508"/>
      <c r="E78" s="508"/>
      <c r="F78" s="508"/>
      <c r="G78" s="508"/>
      <c r="H78" s="508"/>
      <c r="I78" s="508"/>
      <c r="J78" s="508"/>
      <c r="K78" s="508"/>
      <c r="L78" s="508"/>
      <c r="M78" s="391"/>
    </row>
    <row r="79" spans="1:13" ht="139.5" x14ac:dyDescent="0.3">
      <c r="A79" s="369">
        <v>43</v>
      </c>
      <c r="B79" s="374" t="s">
        <v>662</v>
      </c>
      <c r="C79" s="375" t="s">
        <v>663</v>
      </c>
      <c r="D79" s="369">
        <v>0</v>
      </c>
      <c r="E79" s="369">
        <v>0</v>
      </c>
      <c r="F79" s="369">
        <v>0</v>
      </c>
      <c r="G79" s="369">
        <v>0</v>
      </c>
      <c r="H79" s="369">
        <v>0</v>
      </c>
      <c r="I79" s="369">
        <v>0</v>
      </c>
      <c r="J79" s="369">
        <v>0</v>
      </c>
      <c r="K79" s="376">
        <v>0</v>
      </c>
      <c r="L79" s="376">
        <v>0</v>
      </c>
      <c r="M79" s="391"/>
    </row>
    <row r="80" spans="1:13" ht="93" x14ac:dyDescent="0.3">
      <c r="A80" s="369">
        <v>44</v>
      </c>
      <c r="B80" s="374" t="s">
        <v>664</v>
      </c>
      <c r="C80" s="375" t="s">
        <v>652</v>
      </c>
      <c r="D80" s="369">
        <v>0</v>
      </c>
      <c r="E80" s="369">
        <v>0</v>
      </c>
      <c r="F80" s="369">
        <v>0</v>
      </c>
      <c r="G80" s="369">
        <v>0</v>
      </c>
      <c r="H80" s="369">
        <v>0</v>
      </c>
      <c r="I80" s="369">
        <v>0</v>
      </c>
      <c r="J80" s="369">
        <v>0</v>
      </c>
      <c r="K80" s="369">
        <v>0</v>
      </c>
      <c r="L80" s="369">
        <v>0</v>
      </c>
      <c r="M80" s="391" t="s">
        <v>665</v>
      </c>
    </row>
    <row r="81" spans="1:13" ht="93" x14ac:dyDescent="0.3">
      <c r="A81" s="369">
        <v>45</v>
      </c>
      <c r="B81" s="383" t="s">
        <v>666</v>
      </c>
      <c r="C81" s="375" t="s">
        <v>652</v>
      </c>
      <c r="D81" s="369">
        <v>0</v>
      </c>
      <c r="E81" s="369">
        <v>0</v>
      </c>
      <c r="F81" s="369">
        <v>0</v>
      </c>
      <c r="G81" s="369">
        <v>0</v>
      </c>
      <c r="H81" s="369">
        <v>0</v>
      </c>
      <c r="I81" s="369">
        <v>0</v>
      </c>
      <c r="J81" s="369">
        <v>0</v>
      </c>
      <c r="K81" s="369">
        <v>0</v>
      </c>
      <c r="L81" s="369">
        <v>0</v>
      </c>
      <c r="M81" s="391" t="s">
        <v>665</v>
      </c>
    </row>
    <row r="82" spans="1:13" ht="62" x14ac:dyDescent="0.3">
      <c r="A82" s="369">
        <v>46</v>
      </c>
      <c r="B82" s="383" t="s">
        <v>667</v>
      </c>
      <c r="C82" s="375" t="s">
        <v>668</v>
      </c>
      <c r="D82" s="407">
        <v>1222222.2</v>
      </c>
      <c r="E82" s="408">
        <v>1100000</v>
      </c>
      <c r="F82" s="408">
        <v>122222.2</v>
      </c>
      <c r="G82" s="408">
        <f>E82+F82</f>
        <v>1222222.2</v>
      </c>
      <c r="H82" s="408">
        <v>1100000</v>
      </c>
      <c r="I82" s="408">
        <v>122222.2</v>
      </c>
      <c r="J82" s="408">
        <f>H82+I82</f>
        <v>1222222.2</v>
      </c>
      <c r="K82" s="376">
        <v>0</v>
      </c>
      <c r="L82" s="376">
        <v>0</v>
      </c>
      <c r="M82" s="391"/>
    </row>
    <row r="83" spans="1:13" ht="15.5" x14ac:dyDescent="0.3">
      <c r="A83" s="369"/>
      <c r="B83" s="504" t="s">
        <v>55</v>
      </c>
      <c r="C83" s="522"/>
      <c r="D83" s="404">
        <f>SUM(D79:D82)</f>
        <v>1222222.2</v>
      </c>
      <c r="E83" s="404">
        <f t="shared" ref="E83:L83" si="23">SUM(E79:E82)</f>
        <v>1100000</v>
      </c>
      <c r="F83" s="404">
        <f t="shared" si="23"/>
        <v>122222.2</v>
      </c>
      <c r="G83" s="404">
        <f t="shared" si="23"/>
        <v>1222222.2</v>
      </c>
      <c r="H83" s="404">
        <f t="shared" si="23"/>
        <v>1100000</v>
      </c>
      <c r="I83" s="404">
        <f t="shared" si="23"/>
        <v>122222.2</v>
      </c>
      <c r="J83" s="404">
        <f t="shared" si="23"/>
        <v>1222222.2</v>
      </c>
      <c r="K83" s="404">
        <f t="shared" si="23"/>
        <v>0</v>
      </c>
      <c r="L83" s="404">
        <f t="shared" si="23"/>
        <v>0</v>
      </c>
      <c r="M83" s="391"/>
    </row>
    <row r="84" spans="1:13" ht="15" x14ac:dyDescent="0.3">
      <c r="A84" s="508" t="s">
        <v>669</v>
      </c>
      <c r="B84" s="508"/>
      <c r="C84" s="508"/>
      <c r="D84" s="508"/>
      <c r="E84" s="508"/>
      <c r="F84" s="508"/>
      <c r="G84" s="508"/>
      <c r="H84" s="508"/>
      <c r="I84" s="508"/>
      <c r="J84" s="508"/>
      <c r="K84" s="508"/>
      <c r="L84" s="508"/>
      <c r="M84" s="391"/>
    </row>
    <row r="85" spans="1:13" ht="93" x14ac:dyDescent="0.3">
      <c r="A85" s="369">
        <v>47</v>
      </c>
      <c r="B85" s="383" t="s">
        <v>670</v>
      </c>
      <c r="C85" s="375" t="s">
        <v>652</v>
      </c>
      <c r="D85" s="379">
        <v>0</v>
      </c>
      <c r="E85" s="379">
        <v>0</v>
      </c>
      <c r="F85" s="379">
        <v>10000</v>
      </c>
      <c r="G85" s="379">
        <v>10000</v>
      </c>
      <c r="H85" s="379">
        <v>0</v>
      </c>
      <c r="I85" s="379">
        <v>10000</v>
      </c>
      <c r="J85" s="379">
        <v>10000</v>
      </c>
      <c r="K85" s="379">
        <v>0</v>
      </c>
      <c r="L85" s="379">
        <v>10000</v>
      </c>
      <c r="M85" s="391" t="s">
        <v>671</v>
      </c>
    </row>
    <row r="86" spans="1:13" ht="15.5" x14ac:dyDescent="0.3">
      <c r="A86" s="369"/>
      <c r="B86" s="504" t="s">
        <v>55</v>
      </c>
      <c r="C86" s="522"/>
      <c r="D86" s="404">
        <v>0</v>
      </c>
      <c r="E86" s="409">
        <v>0</v>
      </c>
      <c r="F86" s="409">
        <v>10000</v>
      </c>
      <c r="G86" s="409">
        <v>10000</v>
      </c>
      <c r="H86" s="409">
        <v>0</v>
      </c>
      <c r="I86" s="409">
        <v>10000</v>
      </c>
      <c r="J86" s="409">
        <v>10000</v>
      </c>
      <c r="K86" s="409">
        <v>0</v>
      </c>
      <c r="L86" s="402">
        <v>10000</v>
      </c>
      <c r="M86" s="378"/>
    </row>
  </sheetData>
  <mergeCells count="43">
    <mergeCell ref="A84:L84"/>
    <mergeCell ref="B86:C86"/>
    <mergeCell ref="M66:M67"/>
    <mergeCell ref="B70:C70"/>
    <mergeCell ref="A71:L71"/>
    <mergeCell ref="B77:C77"/>
    <mergeCell ref="A78:L78"/>
    <mergeCell ref="B83:C83"/>
    <mergeCell ref="A58:L58"/>
    <mergeCell ref="B64:C64"/>
    <mergeCell ref="A65:L65"/>
    <mergeCell ref="A66:A67"/>
    <mergeCell ref="B66:B67"/>
    <mergeCell ref="D66:D67"/>
    <mergeCell ref="L66:L67"/>
    <mergeCell ref="B57:C57"/>
    <mergeCell ref="A20:L20"/>
    <mergeCell ref="B28:C28"/>
    <mergeCell ref="A29:L29"/>
    <mergeCell ref="B37:C37"/>
    <mergeCell ref="A38:L38"/>
    <mergeCell ref="B42:C42"/>
    <mergeCell ref="A43:L43"/>
    <mergeCell ref="B48:C48"/>
    <mergeCell ref="A49:L49"/>
    <mergeCell ref="A52:A56"/>
    <mergeCell ref="B52:B56"/>
    <mergeCell ref="B19:C19"/>
    <mergeCell ref="B2:M2"/>
    <mergeCell ref="A4:A5"/>
    <mergeCell ref="B4:B5"/>
    <mergeCell ref="C4:C5"/>
    <mergeCell ref="D4:D5"/>
    <mergeCell ref="E4:G4"/>
    <mergeCell ref="H4:J4"/>
    <mergeCell ref="K4:K5"/>
    <mergeCell ref="L4:L5"/>
    <mergeCell ref="M4:M5"/>
    <mergeCell ref="A8:L8"/>
    <mergeCell ref="A10:A12"/>
    <mergeCell ref="B10:B12"/>
    <mergeCell ref="A13:A16"/>
    <mergeCell ref="B13:B16"/>
  </mergeCells>
  <pageMargins left="0.39370078740157483" right="0.39370078740157483" top="0.74803149606299213" bottom="0.59055118110236227" header="0.31496062992125984" footer="0.31496062992125984"/>
  <pageSetup paperSize="9" scale="54" fitToHeight="0" orientation="landscape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1_СЭР</vt:lpstr>
      <vt:lpstr>2_Доходы ОБ</vt:lpstr>
      <vt:lpstr>3_Расходы ГРБС</vt:lpstr>
      <vt:lpstr>4_Функц.</vt:lpstr>
      <vt:lpstr>5_Госорганы</vt:lpstr>
      <vt:lpstr>6_Учреждения</vt:lpstr>
      <vt:lpstr>7_Программы</vt:lpstr>
      <vt:lpstr>8_Нацпроекты</vt:lpstr>
      <vt:lpstr>'1_СЭР'!Заголовки_для_печати</vt:lpstr>
      <vt:lpstr>'2_Доходы ОБ'!Заголовки_для_печати</vt:lpstr>
      <vt:lpstr>'3_Расходы ГРБС'!Заголовки_для_печати</vt:lpstr>
      <vt:lpstr>'4_Функц.'!Заголовки_для_печати</vt:lpstr>
      <vt:lpstr>'5_Госорганы'!Заголовки_для_печати</vt:lpstr>
      <vt:lpstr>'7_Программы'!Заголовки_для_печати</vt:lpstr>
      <vt:lpstr>'8_Нацпроекты'!Заголовки_для_печати</vt:lpstr>
      <vt:lpstr>'1_СЭР'!Область_печати</vt:lpstr>
      <vt:lpstr>'3_Расходы ГРБС'!Область_печати</vt:lpstr>
      <vt:lpstr>'4_Функц.'!Область_печати</vt:lpstr>
      <vt:lpstr>'5_Госорганы'!Область_печати</vt:lpstr>
      <vt:lpstr>'6_Учреждения'!Область_печати</vt:lpstr>
      <vt:lpstr>'7_Программы'!Область_печати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 Пономарёва</dc:creator>
  <cp:lastModifiedBy>Калинин С.Ф.</cp:lastModifiedBy>
  <cp:lastPrinted>2019-11-05T06:32:45Z</cp:lastPrinted>
  <dcterms:created xsi:type="dcterms:W3CDTF">2013-10-21T15:19:43Z</dcterms:created>
  <dcterms:modified xsi:type="dcterms:W3CDTF">2019-11-05T06:33:33Z</dcterms:modified>
</cp:coreProperties>
</file>